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303929D1-B60E-42FA-9FC8-104F8A81176E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发票登记" sheetId="2" r:id="rId1"/>
    <sheet name="公司信息" sheetId="1" r:id="rId2"/>
    <sheet name="数据维护" sheetId="3" r:id="rId3"/>
    <sheet name="Sheet1" sheetId="4" r:id="rId4"/>
  </sheets>
  <definedNames>
    <definedName name="公司税号">公司信息!$B$2:$B$19</definedName>
    <definedName name="归属公司">数据维护!$D$2:$D$4</definedName>
    <definedName name="税率">数据维护!$G$2:$G$8</definedName>
    <definedName name="业务类型">数据维护!$B$2:$B$12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2" l="1"/>
  <c r="I63" i="2"/>
  <c r="K63" i="2" s="1"/>
  <c r="E62" i="2"/>
  <c r="I62" i="2"/>
  <c r="K62" i="2" s="1"/>
  <c r="E61" i="2"/>
  <c r="K61" i="2"/>
  <c r="G60" i="2"/>
  <c r="K60" i="2" s="1"/>
  <c r="E60" i="2"/>
  <c r="G59" i="2"/>
  <c r="E59" i="2"/>
  <c r="I59" i="2"/>
  <c r="K59" i="2" s="1"/>
  <c r="J58" i="2"/>
  <c r="E58" i="2"/>
  <c r="I58" i="2"/>
  <c r="E57" i="2"/>
  <c r="I57" i="2"/>
  <c r="K57" i="2" s="1"/>
  <c r="G56" i="2"/>
  <c r="E56" i="2"/>
  <c r="I56" i="2"/>
  <c r="K56" i="2" s="1"/>
  <c r="I55" i="2"/>
  <c r="K55" i="2" s="1"/>
  <c r="E55" i="2"/>
  <c r="G52" i="2"/>
  <c r="I53" i="2"/>
  <c r="E54" i="2"/>
  <c r="I54" i="2"/>
  <c r="K54" i="2" s="1"/>
  <c r="K53" i="2"/>
  <c r="E53" i="2"/>
  <c r="I52" i="2"/>
  <c r="K52" i="2" s="1"/>
  <c r="E52" i="2"/>
  <c r="G51" i="2"/>
  <c r="E51" i="2"/>
  <c r="I51" i="2"/>
  <c r="K51" i="2" s="1"/>
  <c r="G50" i="2"/>
  <c r="G49" i="2"/>
  <c r="G48" i="2"/>
  <c r="G47" i="2"/>
  <c r="G46" i="2"/>
  <c r="I46" i="2" s="1"/>
  <c r="G45" i="2"/>
  <c r="I45" i="2" s="1"/>
  <c r="G44" i="2"/>
  <c r="I44" i="2" s="1"/>
  <c r="E50" i="2"/>
  <c r="I50" i="2"/>
  <c r="E49" i="2"/>
  <c r="I49" i="2"/>
  <c r="E48" i="2"/>
  <c r="I48" i="2"/>
  <c r="E47" i="2"/>
  <c r="I47" i="2"/>
  <c r="E46" i="2"/>
  <c r="E45" i="2"/>
  <c r="E44" i="2"/>
  <c r="E43" i="2"/>
  <c r="I43" i="2"/>
  <c r="K43" i="2" s="1"/>
  <c r="E42" i="2"/>
  <c r="I42" i="2"/>
  <c r="K42" i="2" s="1"/>
  <c r="E41" i="2"/>
  <c r="I41" i="2"/>
  <c r="K41" i="2" s="1"/>
  <c r="E40" i="2"/>
  <c r="I40" i="2"/>
  <c r="K40" i="2" s="1"/>
  <c r="E39" i="2"/>
  <c r="I39" i="2"/>
  <c r="K39" i="2" s="1"/>
  <c r="K58" i="2" l="1"/>
  <c r="E38" i="2"/>
  <c r="I38" i="2"/>
  <c r="K38" i="2" s="1"/>
  <c r="I37" i="2"/>
  <c r="K37" i="2" s="1"/>
  <c r="E37" i="2"/>
  <c r="E36" i="2"/>
  <c r="I36" i="2"/>
  <c r="K36" i="2" s="1"/>
  <c r="I35" i="2"/>
  <c r="K35" i="2" s="1"/>
  <c r="E35" i="2"/>
  <c r="K34" i="2"/>
  <c r="E34" i="2"/>
  <c r="E33" i="2"/>
  <c r="I33" i="2"/>
  <c r="K33" i="2" s="1"/>
  <c r="I32" i="2"/>
  <c r="K32" i="2" s="1"/>
  <c r="E32" i="2"/>
  <c r="K31" i="2"/>
  <c r="E31" i="2"/>
  <c r="E30" i="2"/>
  <c r="I30" i="2"/>
  <c r="K30" i="2" s="1"/>
  <c r="I29" i="2" l="1"/>
  <c r="K29" i="2" s="1"/>
  <c r="E29" i="2"/>
  <c r="E28" i="2"/>
  <c r="I28" i="2"/>
  <c r="K28" i="2" s="1"/>
  <c r="E27" i="2" l="1"/>
  <c r="I27" i="2"/>
  <c r="K27" i="2" s="1"/>
  <c r="E26" i="2" l="1"/>
  <c r="I26" i="2"/>
  <c r="K26" i="2" s="1"/>
  <c r="I25" i="2"/>
  <c r="K25" i="2" s="1"/>
  <c r="E25" i="2"/>
  <c r="I24" i="2"/>
  <c r="K24" i="2" s="1"/>
  <c r="E24" i="2"/>
  <c r="E23" i="2"/>
  <c r="I23" i="2"/>
  <c r="K23" i="2" s="1"/>
  <c r="I22" i="2"/>
  <c r="K22" i="2" s="1"/>
  <c r="E22" i="2"/>
  <c r="E21" i="2"/>
  <c r="I21" i="2"/>
  <c r="K21" i="2" s="1"/>
  <c r="E20" i="2"/>
  <c r="I20" i="2"/>
  <c r="K20" i="2" s="1"/>
  <c r="E19" i="2"/>
  <c r="I19" i="2"/>
  <c r="K19" i="2" l="1"/>
  <c r="I18" i="2"/>
  <c r="K18" i="2" s="1"/>
  <c r="E18" i="2"/>
  <c r="G16" i="2"/>
  <c r="I16" i="2" s="1"/>
  <c r="K16" i="2" s="1"/>
  <c r="G15" i="2"/>
  <c r="I15" i="2" s="1"/>
  <c r="K15" i="2" s="1"/>
  <c r="G14" i="2"/>
  <c r="I14" i="2" s="1"/>
  <c r="K14" i="2" s="1"/>
  <c r="G13" i="2"/>
  <c r="I13" i="2" s="1"/>
  <c r="K13" i="2" s="1"/>
  <c r="G12" i="2"/>
  <c r="I12" i="2" s="1"/>
  <c r="K12" i="2" s="1"/>
  <c r="G11" i="2"/>
  <c r="I11" i="2" s="1"/>
  <c r="K11" i="2" s="1"/>
  <c r="G10" i="2"/>
  <c r="I10" i="2" s="1"/>
  <c r="K10" i="2" s="1"/>
  <c r="G9" i="2"/>
  <c r="I9" i="2" s="1"/>
  <c r="K9" i="2" s="1"/>
  <c r="E17" i="2" l="1"/>
  <c r="I17" i="2"/>
  <c r="K17" i="2" s="1"/>
  <c r="E16" i="2"/>
  <c r="E15" i="2"/>
  <c r="E14" i="2"/>
  <c r="E13" i="2"/>
  <c r="E12" i="2"/>
  <c r="E11" i="2"/>
  <c r="E10" i="2"/>
  <c r="C9" i="4"/>
  <c r="B9" i="4"/>
  <c r="E9" i="2"/>
  <c r="E8" i="2"/>
  <c r="I8" i="2"/>
  <c r="K8" i="2" s="1"/>
  <c r="I7" i="2"/>
  <c r="K7" i="2" s="1"/>
  <c r="E7" i="2"/>
  <c r="G6" i="2"/>
  <c r="I6" i="2" s="1"/>
  <c r="E6" i="2"/>
  <c r="E3" i="2"/>
  <c r="E4" i="2"/>
  <c r="E5" i="2"/>
  <c r="K6" i="2" l="1"/>
  <c r="G5" i="2"/>
  <c r="I5" i="2" s="1"/>
  <c r="K5" i="2" s="1"/>
  <c r="I3" i="2"/>
  <c r="K3" i="2" s="1"/>
  <c r="G4" i="2"/>
  <c r="G2" i="2"/>
  <c r="I2" i="2" s="1"/>
  <c r="K2" i="2" s="1"/>
  <c r="E2" i="2"/>
  <c r="I4" i="2" l="1"/>
  <c r="K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CBL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CBL</t>
        </r>
      </text>
    </comment>
    <comment ref="E4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CBL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5" authorId="0" shapeId="0" xr:uid="{24076E42-D936-4D35-8741-4D77EF41264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每月20号出发票</t>
        </r>
      </text>
    </comment>
    <comment ref="C6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CBL运输公司</t>
        </r>
      </text>
    </comment>
    <comment ref="E6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foxmai邮件查收发票</t>
        </r>
      </text>
    </comment>
    <comment ref="C7" authorId="0" shapeId="0" xr:uid="{EE075D55-7DC6-4FDF-86FF-D2C7F0D1318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运输费</t>
        </r>
      </text>
    </comment>
    <comment ref="C1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饮用水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7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ALQUILER NAVE LONDRES,44</t>
        </r>
      </text>
    </comment>
    <comment ref="B8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律师楼咨询费</t>
        </r>
      </text>
    </comment>
  </commentList>
</comments>
</file>

<file path=xl/sharedStrings.xml><?xml version="1.0" encoding="utf-8"?>
<sst xmlns="http://schemas.openxmlformats.org/spreadsheetml/2006/main" count="529" uniqueCount="256">
  <si>
    <t>序号</t>
    <phoneticPr fontId="1" type="noConversion"/>
  </si>
  <si>
    <t>公司名称</t>
    <phoneticPr fontId="1" type="noConversion"/>
  </si>
  <si>
    <t>发票下载链接</t>
    <phoneticPr fontId="1" type="noConversion"/>
  </si>
  <si>
    <t>账号</t>
    <phoneticPr fontId="1" type="noConversion"/>
  </si>
  <si>
    <t>密码</t>
    <phoneticPr fontId="1" type="noConversion"/>
  </si>
  <si>
    <t>扣款时间</t>
    <phoneticPr fontId="1" type="noConversion"/>
  </si>
  <si>
    <t>发票查询时间</t>
    <phoneticPr fontId="1" type="noConversion"/>
  </si>
  <si>
    <t>业务类型</t>
    <phoneticPr fontId="1" type="noConversion"/>
  </si>
  <si>
    <t>税号</t>
    <phoneticPr fontId="1" type="noConversion"/>
  </si>
  <si>
    <t>公司名称</t>
    <phoneticPr fontId="1" type="noConversion"/>
  </si>
  <si>
    <t>IVA</t>
    <phoneticPr fontId="1" type="noConversion"/>
  </si>
  <si>
    <t>BASE</t>
    <phoneticPr fontId="1" type="noConversion"/>
  </si>
  <si>
    <t>税率%</t>
    <phoneticPr fontId="1" type="noConversion"/>
  </si>
  <si>
    <t>REN</t>
    <phoneticPr fontId="1" type="noConversion"/>
  </si>
  <si>
    <t>发票号</t>
    <phoneticPr fontId="1" type="noConversion"/>
  </si>
  <si>
    <t>备注</t>
    <phoneticPr fontId="1" type="noConversion"/>
  </si>
  <si>
    <t>业务类型</t>
    <phoneticPr fontId="1" type="noConversion"/>
  </si>
  <si>
    <t>Seur1237</t>
    <phoneticPr fontId="1" type="noConversion"/>
  </si>
  <si>
    <t>SEUR GEOPOST, S.L.U.</t>
    <phoneticPr fontId="1" type="noConversion"/>
  </si>
  <si>
    <t>B82516600</t>
    <phoneticPr fontId="1" type="noConversion"/>
  </si>
  <si>
    <t>公司税号</t>
    <phoneticPr fontId="1" type="noConversion"/>
  </si>
  <si>
    <t>运输费</t>
  </si>
  <si>
    <t>运输费</t>
    <phoneticPr fontId="1" type="noConversion"/>
  </si>
  <si>
    <t>饮用水</t>
    <phoneticPr fontId="1" type="noConversion"/>
  </si>
  <si>
    <t>电费</t>
    <phoneticPr fontId="1" type="noConversion"/>
  </si>
  <si>
    <t>备注</t>
    <phoneticPr fontId="1" type="noConversion"/>
  </si>
  <si>
    <t>发票时间</t>
    <phoneticPr fontId="1" type="noConversion"/>
  </si>
  <si>
    <t>归属公司</t>
    <phoneticPr fontId="1" type="noConversion"/>
  </si>
  <si>
    <t>归属公司</t>
    <phoneticPr fontId="1" type="noConversion"/>
  </si>
  <si>
    <t>税号</t>
    <phoneticPr fontId="1" type="noConversion"/>
  </si>
  <si>
    <t>UNICO STAR EUROPA SL</t>
  </si>
  <si>
    <t>UNICO STAR EUROPA SL</t>
    <phoneticPr fontId="1" type="noConversion"/>
  </si>
  <si>
    <t>VERMELHIMODERNO, UNIPESSOAL LDA</t>
  </si>
  <si>
    <t>VERMELHIMODERNO, UNIPESSOAL LDA</t>
    <phoneticPr fontId="1" type="noConversion"/>
  </si>
  <si>
    <t>PT516700987</t>
    <phoneticPr fontId="1" type="noConversion"/>
  </si>
  <si>
    <t>FUTURE TELECOM PLUS, S.L.</t>
  </si>
  <si>
    <t>FUTURE TELECOM PLUS, S.L.</t>
    <phoneticPr fontId="1" type="noConversion"/>
  </si>
  <si>
    <t>ESB09899717</t>
    <phoneticPr fontId="1" type="noConversion"/>
  </si>
  <si>
    <t>A79818746</t>
  </si>
  <si>
    <t>A79818746</t>
    <phoneticPr fontId="1" type="noConversion"/>
  </si>
  <si>
    <t>INMUEBLES Y LOGISTICA, S.A.U.</t>
    <phoneticPr fontId="1" type="noConversion"/>
  </si>
  <si>
    <t>WEB78275-28</t>
    <phoneticPr fontId="1" type="noConversion"/>
  </si>
  <si>
    <t>每月5号左右</t>
    <phoneticPr fontId="1" type="noConversion"/>
  </si>
  <si>
    <t>当月初发上月整月发票
CBL</t>
    <phoneticPr fontId="1" type="noConversion"/>
  </si>
  <si>
    <t>1A/234129</t>
    <phoneticPr fontId="1" type="noConversion"/>
  </si>
  <si>
    <t>列1</t>
    <phoneticPr fontId="1" type="noConversion"/>
  </si>
  <si>
    <t>1A/234236</t>
    <phoneticPr fontId="1" type="noConversion"/>
  </si>
  <si>
    <t>税率</t>
    <phoneticPr fontId="1" type="noConversion"/>
  </si>
  <si>
    <t>1A/234273</t>
    <phoneticPr fontId="1" type="noConversion"/>
  </si>
  <si>
    <t>ESB88319900</t>
    <phoneticPr fontId="1" type="noConversion"/>
  </si>
  <si>
    <t>PIN:9900</t>
    <phoneticPr fontId="1" type="noConversion"/>
  </si>
  <si>
    <t>VIVA AQUA SERVICE SPAIN S.A</t>
    <phoneticPr fontId="1" type="noConversion"/>
  </si>
  <si>
    <t>A41810920</t>
    <phoneticPr fontId="1" type="noConversion"/>
  </si>
  <si>
    <t>饮用水</t>
    <phoneticPr fontId="1" type="noConversion"/>
  </si>
  <si>
    <t>NIF:B88319900
oficina.es@unicostar.com</t>
    <phoneticPr fontId="1" type="noConversion"/>
  </si>
  <si>
    <t>info.eu@unicostar.com邮箱接受
发件人：madrid.facturacion</t>
    <phoneticPr fontId="1" type="noConversion"/>
  </si>
  <si>
    <t>标题：Factura CBL (280-1A-234129)</t>
    <phoneticPr fontId="1" type="noConversion"/>
  </si>
  <si>
    <t>3家公司都有</t>
    <phoneticPr fontId="1" type="noConversion"/>
  </si>
  <si>
    <t>所属公司</t>
    <phoneticPr fontId="1" type="noConversion"/>
  </si>
  <si>
    <t>https://www.aquaservice.com/area-clientes</t>
    <phoneticPr fontId="1" type="noConversion"/>
  </si>
  <si>
    <t>unico</t>
    <phoneticPr fontId="1" type="noConversion"/>
  </si>
  <si>
    <t>饮用水</t>
  </si>
  <si>
    <t>A41810920</t>
  </si>
  <si>
    <t>231109989012</t>
    <phoneticPr fontId="1" type="noConversion"/>
  </si>
  <si>
    <t>231110172601</t>
    <phoneticPr fontId="1" type="noConversion"/>
  </si>
  <si>
    <t>https://www.seur.com/es/index.html</t>
    <phoneticPr fontId="1" type="noConversion"/>
  </si>
  <si>
    <t>3家公司都有</t>
    <phoneticPr fontId="1" type="noConversion"/>
  </si>
  <si>
    <t>https://oficinavirtual.canaldeisabelsegunda.es/</t>
    <phoneticPr fontId="1" type="noConversion"/>
  </si>
  <si>
    <t>VIA VERDE</t>
    <phoneticPr fontId="1" type="noConversion"/>
  </si>
  <si>
    <t>标题：Extracto Digital Via Verde Portugal</t>
    <phoneticPr fontId="1" type="noConversion"/>
  </si>
  <si>
    <t>葡萄牙公司</t>
    <phoneticPr fontId="1" type="noConversion"/>
  </si>
  <si>
    <t>Nº de Fatura/Recibo: FR E12023/001690983</t>
  </si>
  <si>
    <t>Nº de Fatura/Recibo: FR N12023/001387506</t>
  </si>
  <si>
    <t>Nº de Fatura/Recibo: FR O12023/000389870</t>
  </si>
  <si>
    <t>Nº de Fatura/Recibo: FR LS2023/002232159</t>
  </si>
  <si>
    <t>Nº de Fatura/Recibo: FR BP2023/000362961</t>
  </si>
  <si>
    <t>Nº de Fatura/Recibo: FR TM2023/000419636</t>
  </si>
  <si>
    <t>Débito a 2023-06-01 no cartão nº</t>
    <phoneticPr fontId="1" type="noConversion"/>
  </si>
  <si>
    <t>Débito a 2023-06-08 no cartão nº</t>
    <phoneticPr fontId="1" type="noConversion"/>
  </si>
  <si>
    <t>Débito a 2023-06-22 no cartão nº</t>
    <phoneticPr fontId="1" type="noConversion"/>
  </si>
  <si>
    <t>Débito a 2023-06-01 no cartão nº</t>
    <phoneticPr fontId="1" type="noConversion"/>
  </si>
  <si>
    <t>Débito a 2023-06-08 no cartão nº</t>
    <phoneticPr fontId="1" type="noConversion"/>
  </si>
  <si>
    <t>Nº de Fatura/Recibo: FR BR2023/006937367</t>
    <phoneticPr fontId="1" type="noConversion"/>
  </si>
  <si>
    <t>过路费</t>
  </si>
  <si>
    <t>过路费</t>
    <phoneticPr fontId="1" type="noConversion"/>
  </si>
  <si>
    <t>via verde</t>
  </si>
  <si>
    <t>via verde</t>
    <phoneticPr fontId="1" type="noConversion"/>
  </si>
  <si>
    <t>Nº de Fatura/Recibo: FR P32023/002250093</t>
    <phoneticPr fontId="1" type="noConversion"/>
  </si>
  <si>
    <t>FR BR2023/006937367</t>
    <phoneticPr fontId="1" type="noConversion"/>
  </si>
  <si>
    <t>FR BP2023/000362961</t>
    <phoneticPr fontId="1" type="noConversion"/>
  </si>
  <si>
    <t>MEO</t>
  </si>
  <si>
    <t>MEO</t>
    <phoneticPr fontId="1" type="noConversion"/>
  </si>
  <si>
    <t>Iinfo邮箱
发件人extractoelectronico</t>
    <phoneticPr fontId="1" type="noConversion"/>
  </si>
  <si>
    <t>Iinfo邮箱
MEO Empresas</t>
    <phoneticPr fontId="1" type="noConversion"/>
  </si>
  <si>
    <t>标题：Envio de Fatura Eletrónica: FT MV/562364813 de 2023-07-04</t>
    <phoneticPr fontId="1" type="noConversion"/>
  </si>
  <si>
    <t>西班牙公司电话费</t>
  </si>
  <si>
    <t>西班牙公司电话费</t>
    <phoneticPr fontId="1" type="noConversion"/>
  </si>
  <si>
    <t>FT MV/562364813</t>
    <phoneticPr fontId="1" type="noConversion"/>
  </si>
  <si>
    <t>登记状态</t>
    <phoneticPr fontId="1" type="noConversion"/>
  </si>
  <si>
    <t>TOTAL IMPORTE</t>
    <phoneticPr fontId="1" type="noConversion"/>
  </si>
  <si>
    <t>A78492378</t>
  </si>
  <si>
    <t>A78492378</t>
    <phoneticPr fontId="1" type="noConversion"/>
  </si>
  <si>
    <t>EMPOLIME S.A</t>
    <phoneticPr fontId="1" type="noConversion"/>
  </si>
  <si>
    <t>contable邮箱
发件人EMPOLIME EPS</t>
    <phoneticPr fontId="1" type="noConversion"/>
  </si>
  <si>
    <t>标题：FACTURA 23/7</t>
    <phoneticPr fontId="1" type="noConversion"/>
  </si>
  <si>
    <t>unico</t>
    <phoneticPr fontId="1" type="noConversion"/>
  </si>
  <si>
    <t>房租_ALQUILER</t>
  </si>
  <si>
    <t>房租_ALQUILER</t>
    <phoneticPr fontId="1" type="noConversion"/>
  </si>
  <si>
    <t>23/7</t>
    <phoneticPr fontId="1" type="noConversion"/>
  </si>
  <si>
    <t>已登记</t>
  </si>
  <si>
    <t>CBL</t>
    <phoneticPr fontId="1" type="noConversion"/>
  </si>
  <si>
    <t>饮用水</t>
    <phoneticPr fontId="1" type="noConversion"/>
  </si>
  <si>
    <t>FR P32023/002250093</t>
    <phoneticPr fontId="1" type="noConversion"/>
  </si>
  <si>
    <t>FR E12023/001690983</t>
    <phoneticPr fontId="1" type="noConversion"/>
  </si>
  <si>
    <t>FR N12023/001387506</t>
    <phoneticPr fontId="1" type="noConversion"/>
  </si>
  <si>
    <t>FR O12023/000389870</t>
    <phoneticPr fontId="1" type="noConversion"/>
  </si>
  <si>
    <t>FR LS2023/002232159</t>
    <phoneticPr fontId="1" type="noConversion"/>
  </si>
  <si>
    <t>FR TM2023/000419636</t>
    <phoneticPr fontId="1" type="noConversion"/>
  </si>
  <si>
    <t>VIA VERDE</t>
    <phoneticPr fontId="1" type="noConversion"/>
  </si>
  <si>
    <t>SERVICOS DE COMUNICACOES E MULTIMEDIA S.A.</t>
    <phoneticPr fontId="1" type="noConversion"/>
  </si>
  <si>
    <t>SERVICOS DE COMUNICACOES</t>
  </si>
  <si>
    <t>EMPOLIME</t>
    <phoneticPr fontId="1" type="noConversion"/>
  </si>
  <si>
    <t>X6955719J</t>
  </si>
  <si>
    <t>XIAOBIN LIN</t>
    <phoneticPr fontId="1" type="noConversion"/>
  </si>
  <si>
    <t>future邮箱
发件人winnergestores</t>
    <phoneticPr fontId="1" type="noConversion"/>
  </si>
  <si>
    <t>标题：FACTURA TRANSPORTE XIAOBIN LIN</t>
    <phoneticPr fontId="1" type="noConversion"/>
  </si>
  <si>
    <t>future</t>
    <phoneticPr fontId="1" type="noConversion"/>
  </si>
  <si>
    <t>运输费</t>
    <phoneticPr fontId="1" type="noConversion"/>
  </si>
  <si>
    <t>2023/6</t>
    <phoneticPr fontId="1" type="noConversion"/>
  </si>
  <si>
    <t>XIAOBIN</t>
    <phoneticPr fontId="1" type="noConversion"/>
  </si>
  <si>
    <t>会计和劳工月度服务费</t>
  </si>
  <si>
    <t>会计和劳工月度服务费</t>
    <phoneticPr fontId="1" type="noConversion"/>
  </si>
  <si>
    <t>WINNER GESTORES, S.L.</t>
    <phoneticPr fontId="1" type="noConversion"/>
  </si>
  <si>
    <t>B86075751</t>
  </si>
  <si>
    <t>B86075751</t>
    <phoneticPr fontId="1" type="noConversion"/>
  </si>
  <si>
    <t>标题：FACTURA ASESORIA JULIO 2023</t>
    <phoneticPr fontId="1" type="noConversion"/>
  </si>
  <si>
    <t>future</t>
    <phoneticPr fontId="1" type="noConversion"/>
  </si>
  <si>
    <t>会计和劳工月度服务费</t>
    <phoneticPr fontId="1" type="noConversion"/>
  </si>
  <si>
    <t>517</t>
    <phoneticPr fontId="1" type="noConversion"/>
  </si>
  <si>
    <t>WINNER GESTORES</t>
  </si>
  <si>
    <t>B73092454</t>
  </si>
  <si>
    <t>B73092454</t>
    <phoneticPr fontId="1" type="noConversion"/>
  </si>
  <si>
    <t>A.T.La Espada S.L</t>
    <phoneticPr fontId="1" type="noConversion"/>
  </si>
  <si>
    <t>future邮箱
发件人mcarrillo</t>
    <phoneticPr fontId="1" type="noConversion"/>
  </si>
  <si>
    <t>标题：Adjunto factura: 2023/MAR2243</t>
    <phoneticPr fontId="1" type="noConversion"/>
  </si>
  <si>
    <t>future</t>
    <phoneticPr fontId="1" type="noConversion"/>
  </si>
  <si>
    <t>ESP运输费</t>
    <phoneticPr fontId="1" type="noConversion"/>
  </si>
  <si>
    <t>2023/MAR/2243</t>
    <phoneticPr fontId="1" type="noConversion"/>
  </si>
  <si>
    <t>2023/MAR/2242</t>
    <phoneticPr fontId="1" type="noConversion"/>
  </si>
  <si>
    <t>B86948700</t>
  </si>
  <si>
    <t>B86948700</t>
    <phoneticPr fontId="1" type="noConversion"/>
  </si>
  <si>
    <t>future邮箱
发件人admin@youmobile.es</t>
    <phoneticPr fontId="1" type="noConversion"/>
  </si>
  <si>
    <t>标题：Aviso de factura de junio</t>
    <phoneticPr fontId="1" type="noConversion"/>
  </si>
  <si>
    <t>future</t>
    <phoneticPr fontId="1" type="noConversion"/>
  </si>
  <si>
    <t>电话费</t>
  </si>
  <si>
    <t>电话费</t>
    <phoneticPr fontId="1" type="noConversion"/>
  </si>
  <si>
    <t>电话费688183667</t>
    <phoneticPr fontId="1" type="noConversion"/>
  </si>
  <si>
    <t>2307103073</t>
    <phoneticPr fontId="1" type="noConversion"/>
  </si>
  <si>
    <t>Youmobile Telecom Spain S.L</t>
    <phoneticPr fontId="1" type="noConversion"/>
  </si>
  <si>
    <t>Youmobile Telecom</t>
    <phoneticPr fontId="1" type="noConversion"/>
  </si>
  <si>
    <t>2023/MAR/2447</t>
    <phoneticPr fontId="1" type="noConversion"/>
  </si>
  <si>
    <t>IBERDROLA CLIENTES, S.A.U.</t>
    <phoneticPr fontId="1" type="noConversion"/>
  </si>
  <si>
    <t>https://www.iberdrola.es</t>
    <phoneticPr fontId="1" type="noConversion"/>
  </si>
  <si>
    <t>UNICOSTAREUR</t>
    <phoneticPr fontId="1" type="noConversion"/>
  </si>
  <si>
    <t>Linxiaobin1017</t>
    <phoneticPr fontId="1" type="noConversion"/>
  </si>
  <si>
    <t>电费+煤气费，最贵的是黄子航的电费44</t>
    <phoneticPr fontId="1" type="noConversion"/>
  </si>
  <si>
    <t>电费</t>
  </si>
  <si>
    <t>21230718010266791</t>
    <phoneticPr fontId="1" type="noConversion"/>
  </si>
  <si>
    <t>FT MV/562364813</t>
    <phoneticPr fontId="1" type="noConversion"/>
  </si>
  <si>
    <t>2023/MAR/2726</t>
    <phoneticPr fontId="1" type="noConversion"/>
  </si>
  <si>
    <t>2023/MAR/2728</t>
    <phoneticPr fontId="1" type="noConversion"/>
  </si>
  <si>
    <t>已登记</t>
    <phoneticPr fontId="1" type="noConversion"/>
  </si>
  <si>
    <t>593</t>
    <phoneticPr fontId="1" type="noConversion"/>
  </si>
  <si>
    <t>2023/7</t>
    <phoneticPr fontId="1" type="noConversion"/>
  </si>
  <si>
    <t>1A/234979</t>
    <phoneticPr fontId="1" type="noConversion"/>
  </si>
  <si>
    <t>NIE: X6955731W</t>
    <phoneticPr fontId="1" type="noConversion"/>
  </si>
  <si>
    <t>Unico12345</t>
  </si>
  <si>
    <t>Canal de Isabel II</t>
    <phoneticPr fontId="1" type="noConversion"/>
  </si>
  <si>
    <t>A86488087</t>
    <phoneticPr fontId="1" type="noConversion"/>
  </si>
  <si>
    <t>X6955719J</t>
    <phoneticPr fontId="1" type="noConversion"/>
  </si>
  <si>
    <t>房租
每月1号出发票</t>
    <phoneticPr fontId="1" type="noConversion"/>
  </si>
  <si>
    <t>23/8</t>
    <phoneticPr fontId="1" type="noConversion"/>
  </si>
  <si>
    <t>A95758389</t>
    <phoneticPr fontId="1" type="noConversion"/>
  </si>
  <si>
    <t>MOSCA MARITIMOS.L</t>
    <phoneticPr fontId="1" type="noConversion"/>
  </si>
  <si>
    <t>B30464721</t>
  </si>
  <si>
    <t>B30464721</t>
    <phoneticPr fontId="1" type="noConversion"/>
  </si>
  <si>
    <t>contable邮箱
发件人info.eu</t>
    <phoneticPr fontId="1" type="noConversion"/>
  </si>
  <si>
    <t>2307041314</t>
    <phoneticPr fontId="1" type="noConversion"/>
  </si>
  <si>
    <t>607</t>
    <phoneticPr fontId="1" type="noConversion"/>
  </si>
  <si>
    <t>1A/234946</t>
    <phoneticPr fontId="1" type="noConversion"/>
  </si>
  <si>
    <t>1A/234842</t>
    <phoneticPr fontId="1" type="noConversion"/>
  </si>
  <si>
    <t>CBL LOGISTICA</t>
  </si>
  <si>
    <t>Mosca-maritimo S.l</t>
  </si>
  <si>
    <t>FR BR2023/008283008</t>
    <phoneticPr fontId="1" type="noConversion"/>
  </si>
  <si>
    <t>FR P32023/002686396</t>
    <phoneticPr fontId="1" type="noConversion"/>
  </si>
  <si>
    <t>FR E12023/002017224</t>
    <phoneticPr fontId="1" type="noConversion"/>
  </si>
  <si>
    <t>FR N12023/001648885</t>
    <phoneticPr fontId="1" type="noConversion"/>
  </si>
  <si>
    <t>FR P12023/000559829</t>
    <phoneticPr fontId="1" type="noConversion"/>
  </si>
  <si>
    <t>FR LS2023/002685949</t>
    <phoneticPr fontId="1" type="noConversion"/>
  </si>
  <si>
    <t>FR S12023/000694702</t>
    <phoneticPr fontId="1" type="noConversion"/>
  </si>
  <si>
    <t>3个单位的发票</t>
    <phoneticPr fontId="1" type="noConversion"/>
  </si>
  <si>
    <t>别名</t>
    <phoneticPr fontId="1" type="noConversion"/>
  </si>
  <si>
    <t>AQUA-SERVICE</t>
    <phoneticPr fontId="1" type="noConversion"/>
  </si>
  <si>
    <t>律师楼</t>
    <phoneticPr fontId="1" type="noConversion"/>
  </si>
  <si>
    <t>林晓斌</t>
    <phoneticPr fontId="1" type="noConversion"/>
  </si>
  <si>
    <t>ETC过路费</t>
    <phoneticPr fontId="1" type="noConversion"/>
  </si>
  <si>
    <t>IBERDROLA电费</t>
    <phoneticPr fontId="1" type="noConversion"/>
  </si>
  <si>
    <t>EMPOLIME房租</t>
    <phoneticPr fontId="1" type="noConversion"/>
  </si>
  <si>
    <t>ISABEL自来水</t>
    <phoneticPr fontId="1" type="noConversion"/>
  </si>
  <si>
    <t>CBL运输费</t>
    <phoneticPr fontId="1" type="noConversion"/>
  </si>
  <si>
    <t>MOSCA运输费</t>
    <phoneticPr fontId="1" type="noConversion"/>
  </si>
  <si>
    <t>Youmobile</t>
  </si>
  <si>
    <t>ESB67698415</t>
  </si>
  <si>
    <t>ESB67698415</t>
    <phoneticPr fontId="1" type="noConversion"/>
  </si>
  <si>
    <t>AYT ESPRESS</t>
    <phoneticPr fontId="1" type="noConversion"/>
  </si>
  <si>
    <t>安易通国际物流</t>
    <phoneticPr fontId="1" type="noConversion"/>
  </si>
  <si>
    <t>ES012</t>
    <phoneticPr fontId="1" type="noConversion"/>
  </si>
  <si>
    <t>AYT</t>
    <phoneticPr fontId="1" type="noConversion"/>
  </si>
  <si>
    <t>future邮箱
发件人info.eu@unicostar.com</t>
    <phoneticPr fontId="1" type="noConversion"/>
  </si>
  <si>
    <t>2023/MAR/2746</t>
    <phoneticPr fontId="1" type="noConversion"/>
  </si>
  <si>
    <t>esp</t>
    <phoneticPr fontId="1" type="noConversion"/>
  </si>
  <si>
    <t>FT MV/563198846</t>
    <phoneticPr fontId="1" type="noConversion"/>
  </si>
  <si>
    <t>B388319900</t>
  </si>
  <si>
    <t>B388319900</t>
    <phoneticPr fontId="1" type="noConversion"/>
  </si>
  <si>
    <t>CARLUS SEGURIDAD</t>
    <phoneticPr fontId="1" type="noConversion"/>
  </si>
  <si>
    <t>报警器</t>
  </si>
  <si>
    <t>报警器</t>
    <phoneticPr fontId="1" type="noConversion"/>
  </si>
  <si>
    <t>contable邮箱
发件人info.eu@unicostar.com</t>
    <phoneticPr fontId="1" type="noConversion"/>
  </si>
  <si>
    <t>标题：警报器发票</t>
    <phoneticPr fontId="1" type="noConversion"/>
  </si>
  <si>
    <t>半年交一次</t>
    <phoneticPr fontId="1" type="noConversion"/>
  </si>
  <si>
    <t>177545</t>
    <phoneticPr fontId="1" type="noConversion"/>
  </si>
  <si>
    <t>CARLUS SEGURIDAD SL</t>
  </si>
  <si>
    <t>西班牙语翻译</t>
  </si>
  <si>
    <t>西班牙语翻译</t>
    <phoneticPr fontId="1" type="noConversion"/>
  </si>
  <si>
    <t>Y3993752T</t>
  </si>
  <si>
    <t>Y3993752T</t>
    <phoneticPr fontId="1" type="noConversion"/>
  </si>
  <si>
    <t>CATARINA LOPES COELHO DE CASTRO</t>
  </si>
  <si>
    <t>CATARINA LOPES COELHO DE CASTRO</t>
    <phoneticPr fontId="1" type="noConversion"/>
  </si>
  <si>
    <t>西语翻译</t>
    <phoneticPr fontId="1" type="noConversion"/>
  </si>
  <si>
    <t>徐晓丹流程申请</t>
    <phoneticPr fontId="1" type="noConversion"/>
  </si>
  <si>
    <t>2023/10</t>
    <phoneticPr fontId="1" type="noConversion"/>
  </si>
  <si>
    <t>MARESA</t>
  </si>
  <si>
    <t>https://tracking.maresalogistica.com/</t>
    <phoneticPr fontId="1" type="noConversion"/>
  </si>
  <si>
    <t>oficina.es@unicostar.com</t>
  </si>
  <si>
    <t>B88319900</t>
  </si>
  <si>
    <t>B35023068</t>
  </si>
  <si>
    <t>3.083.606</t>
  </si>
  <si>
    <t>MARTIN E HIJOS S.L.</t>
    <phoneticPr fontId="1" type="noConversion"/>
  </si>
  <si>
    <t>2023/MAR/3006</t>
    <phoneticPr fontId="1" type="noConversion"/>
  </si>
  <si>
    <t>2023/MAR/3007</t>
    <phoneticPr fontId="1" type="noConversion"/>
  </si>
  <si>
    <t>2023/MAR/3008</t>
    <phoneticPr fontId="1" type="noConversion"/>
  </si>
  <si>
    <t>la espada</t>
    <phoneticPr fontId="1" type="noConversion"/>
  </si>
  <si>
    <t>VODAFONE</t>
    <phoneticPr fontId="1" type="noConversion"/>
  </si>
  <si>
    <t>www.vodafone.es</t>
    <phoneticPr fontId="1" type="noConversion"/>
  </si>
  <si>
    <t>X6955731W</t>
    <phoneticPr fontId="1" type="noConversion"/>
  </si>
  <si>
    <t xml:space="preserve">11号扣款              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</si>
</sst>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\ [$€-1];[Red]\-#,##0.00\ [$€-1]"/>
    <numFmt numFmtId="177" formatCode="0.0%"/>
    <numFmt numFmtId="178" formatCode="[$-F800]dddd\,\ mmmm\ dd\,\ yyyy"/>
    <numFmt numFmtId="179" formatCode="0.00_ "/>
  </numFmts>
  <fonts count="1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7"/>
      <color rgb="FF000000"/>
      <name val="AllAndNone-Identity-H"/>
      <family val="2"/>
    </font>
    <font>
      <sz val="9"/>
      <color rgb="FF000000"/>
      <name val="AllAndNone-Identity-H"/>
      <family val="2"/>
    </font>
    <font>
      <sz val="8"/>
      <color rgb="FF000000"/>
      <name val="AllAndNone-Identity-H"/>
      <family val="2"/>
    </font>
    <font>
      <b/>
      <sz val="12"/>
      <name val="等线"/>
      <family val="3"/>
      <charset val="134"/>
      <scheme val="minor"/>
    </font>
    <font>
      <sz val="10"/>
      <color rgb="FF000000"/>
      <name val="Arial"/>
      <family val="2"/>
    </font>
    <font>
      <sz val="9"/>
      <color rgb="FF000000"/>
      <name val="ArialMT"/>
      <family val="2"/>
    </font>
    <font>
      <sz val="12"/>
      <color rgb="FF000000"/>
      <name val="ArialMT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2" fillId="3" borderId="0" xfId="0" applyFont="1" applyFill="1"/>
    <xf numFmtId="14" fontId="2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3" fillId="0" borderId="0" xfId="1" applyAlignment="1">
      <alignment vertical="center"/>
    </xf>
    <xf numFmtId="49" fontId="3" fillId="0" borderId="0" xfId="1" applyNumberFormat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77" fontId="0" fillId="4" borderId="0" xfId="0" applyNumberFormat="1" applyFill="1"/>
    <xf numFmtId="0" fontId="0" fillId="0" borderId="0" xfId="0" applyAlignment="1">
      <alignment vertical="center" wrapText="1"/>
    </xf>
    <xf numFmtId="49" fontId="2" fillId="2" borderId="0" xfId="0" applyNumberFormat="1" applyFont="1" applyFill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left"/>
    </xf>
    <xf numFmtId="0" fontId="9" fillId="0" borderId="0" xfId="0" applyFont="1"/>
    <xf numFmtId="179" fontId="10" fillId="0" borderId="0" xfId="0" applyNumberFormat="1" applyFont="1"/>
    <xf numFmtId="179" fontId="8" fillId="0" borderId="0" xfId="0" applyNumberFormat="1" applyFont="1"/>
    <xf numFmtId="179" fontId="0" fillId="0" borderId="0" xfId="0" applyNumberFormat="1"/>
    <xf numFmtId="0" fontId="11" fillId="2" borderId="0" xfId="0" applyFont="1" applyFill="1"/>
    <xf numFmtId="49" fontId="7" fillId="2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12" fillId="0" borderId="1" xfId="0" applyNumberFormat="1" applyFont="1" applyBorder="1" applyAlignment="1">
      <alignment vertical="center" wrapText="1"/>
    </xf>
    <xf numFmtId="0" fontId="13" fillId="0" borderId="0" xfId="0" applyFont="1"/>
    <xf numFmtId="0" fontId="14" fillId="0" borderId="0" xfId="0" applyFont="1"/>
  </cellXfs>
  <cellStyles count="2">
    <cellStyle name="常规" xfId="0" builtinId="0"/>
    <cellStyle name="超链接" xfId="1" builtinId="8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等线"/>
        <scheme val="minor"/>
      </font>
      <fill>
        <patternFill patternType="solid">
          <fgColor indexed="64"/>
          <bgColor theme="8" tint="0.39997558519241921"/>
        </patternFill>
      </fill>
    </dxf>
    <dxf>
      <alignment horizontal="left" vertical="top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.00\ [$€-1];[Red]\-#,##0.00\ [$€-1]"/>
    </dxf>
    <dxf>
      <numFmt numFmtId="176" formatCode="#,##0.00\ [$€-1];[Red]\-#,##0.00\ [$€-1]"/>
    </dxf>
    <dxf>
      <numFmt numFmtId="176" formatCode="#,##0.00\ [$€-1];[Red]\-#,##0.00\ [$€-1]"/>
    </dxf>
    <dxf>
      <numFmt numFmtId="177" formatCode="0.0%"/>
    </dxf>
    <dxf>
      <numFmt numFmtId="176" formatCode="#,##0.00\ [$€-1];[Red]\-#,##0.00\ [$€-1]"/>
    </dxf>
    <dxf>
      <numFmt numFmtId="30" formatCode="@"/>
    </dxf>
    <dxf>
      <alignment horizontal="left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numFmt numFmtId="176" formatCode="#,##0.00\ [$€-1];[Red]\-#,##0.00\ [$€-1]"/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N63" totalsRowShown="0" headerRowDxfId="43">
  <autoFilter ref="A1:N63" xr:uid="{00000000-0009-0000-0100-000002000000}"/>
  <tableColumns count="14">
    <tableColumn id="1" xr3:uid="{00000000-0010-0000-0000-000001000000}" name="归属公司"/>
    <tableColumn id="2" xr3:uid="{00000000-0010-0000-0000-000002000000}" name="发票时间" dataDxfId="42"/>
    <tableColumn id="3" xr3:uid="{00000000-0010-0000-0000-000003000000}" name="业务类型" dataDxfId="41"/>
    <tableColumn id="4" xr3:uid="{00000000-0010-0000-0000-000004000000}" name="税号" dataDxfId="40"/>
    <tableColumn id="5" xr3:uid="{00000000-0010-0000-0000-000005000000}" name="公司名称">
      <calculatedColumnFormula>INDEX(公司信息!C:C,MATCH(D2,公司信息!B:B,0))</calculatedColumnFormula>
    </tableColumn>
    <tableColumn id="6" xr3:uid="{00000000-0010-0000-0000-000006000000}" name="发票号" dataDxfId="39"/>
    <tableColumn id="7" xr3:uid="{00000000-0010-0000-0000-000007000000}" name="BASE" dataDxfId="38"/>
    <tableColumn id="8" xr3:uid="{00000000-0010-0000-0000-000008000000}" name="税率%" dataDxfId="37"/>
    <tableColumn id="9" xr3:uid="{00000000-0010-0000-0000-000009000000}" name="IVA" dataDxfId="36">
      <calculatedColumnFormula>G2*H2</calculatedColumnFormula>
    </tableColumn>
    <tableColumn id="10" xr3:uid="{00000000-0010-0000-0000-00000A000000}" name="REN" dataDxfId="35"/>
    <tableColumn id="11" xr3:uid="{00000000-0010-0000-0000-00000B000000}" name="TOTAL IMPORTE" dataDxfId="34">
      <calculatedColumnFormula>G2+I2+J2</calculatedColumnFormula>
    </tableColumn>
    <tableColumn id="12" xr3:uid="{00000000-0010-0000-0000-00000C000000}" name="备注"/>
    <tableColumn id="14" xr3:uid="{00000000-0010-0000-0000-00000E000000}" name="登记状态" dataDxfId="33"/>
    <tableColumn id="13" xr3:uid="{00000000-0010-0000-0000-00000D000000}" name="列1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表1" displayName="表1" ref="A1:K19" totalsRowShown="0" headerRowDxfId="32" dataDxfId="31">
  <autoFilter ref="A1:K19" xr:uid="{00000000-0009-0000-0100-000001000000}"/>
  <sortState xmlns:xlrd2="http://schemas.microsoft.com/office/spreadsheetml/2017/richdata2" ref="A2:K14">
    <sortCondition ref="C1:C14"/>
  </sortState>
  <tableColumns count="11">
    <tableColumn id="1" xr3:uid="{00000000-0010-0000-0100-000001000000}" name="序号" dataDxfId="30"/>
    <tableColumn id="2" xr3:uid="{00000000-0010-0000-0100-000002000000}" name="公司税号" dataDxfId="29"/>
    <tableColumn id="3" xr3:uid="{00000000-0010-0000-0100-000003000000}" name="公司名称" dataDxfId="28"/>
    <tableColumn id="11" xr3:uid="{7EFF9851-5EDB-4F60-8E14-9E743A4248F2}" name="别名" dataDxfId="27"/>
    <tableColumn id="4" xr3:uid="{00000000-0010-0000-0100-000004000000}" name="发票下载链接"/>
    <tableColumn id="5" xr3:uid="{00000000-0010-0000-0100-000005000000}" name="账号" dataDxfId="26"/>
    <tableColumn id="6" xr3:uid="{00000000-0010-0000-0100-000006000000}" name="密码" dataDxfId="25"/>
    <tableColumn id="7" xr3:uid="{00000000-0010-0000-0100-000007000000}" name="扣款时间"/>
    <tableColumn id="8" xr3:uid="{00000000-0010-0000-0100-000008000000}" name="发票查询时间" dataDxfId="24"/>
    <tableColumn id="10" xr3:uid="{00000000-0010-0000-0100-00000A000000}" name="所属公司" dataDxfId="23"/>
    <tableColumn id="9" xr3:uid="{00000000-0010-0000-0100-000009000000}" name="备注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3" displayName="表3" ref="B1:B12" totalsRowShown="0" headerRowDxfId="21">
  <autoFilter ref="B1:B12" xr:uid="{00000000-0009-0000-0100-000003000000}"/>
  <tableColumns count="1">
    <tableColumn id="1" xr3:uid="{00000000-0010-0000-0200-000001000000}" name="业务类型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aquaservice.com/area-clientes" TargetMode="External"/><Relationship Id="rId7" Type="http://schemas.openxmlformats.org/officeDocument/2006/relationships/hyperlink" Target="http://www.vodafone.es/" TargetMode="External"/><Relationship Id="rId2" Type="http://schemas.openxmlformats.org/officeDocument/2006/relationships/hyperlink" Target="mailto:info.eu@unicostar.com&#37038;&#31665;&#25509;&#21463;&#21457;&#20214;&#20154;&#65306;madrid.facturacion" TargetMode="External"/><Relationship Id="rId1" Type="http://schemas.openxmlformats.org/officeDocument/2006/relationships/hyperlink" Target="https://www.seur.com/es/index.html" TargetMode="External"/><Relationship Id="rId6" Type="http://schemas.openxmlformats.org/officeDocument/2006/relationships/hyperlink" Target="https://tracking.maresalogistica.com/" TargetMode="External"/><Relationship Id="rId5" Type="http://schemas.openxmlformats.org/officeDocument/2006/relationships/hyperlink" Target="https://www.iberdrola.es/" TargetMode="External"/><Relationship Id="rId10" Type="http://schemas.openxmlformats.org/officeDocument/2006/relationships/comments" Target="../comments2.xml"/><Relationship Id="rId4" Type="http://schemas.openxmlformats.org/officeDocument/2006/relationships/hyperlink" Target="https://oficinavirtual.canaldeisabelsegunda.es/" TargetMode="External"/><Relationship Id="rId9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zoomScaleNormal="100" workbookViewId="0">
      <pane ySplit="1" topLeftCell="A44" activePane="bottomLeft" state="frozen"/>
      <selection pane="bottomLeft" activeCell="F72" sqref="F72"/>
    </sheetView>
  </sheetViews>
  <sheetFormatPr defaultRowHeight="13.8"/>
  <cols>
    <col min="1" max="1" width="21.33203125" customWidth="1"/>
    <col min="2" max="2" width="13.33203125" style="13" customWidth="1"/>
    <col min="3" max="3" width="20.88671875" style="9" customWidth="1"/>
    <col min="4" max="4" width="18.6640625" style="24" customWidth="1"/>
    <col min="5" max="5" width="30.21875" customWidth="1"/>
    <col min="6" max="6" width="20.77734375" style="23" customWidth="1"/>
    <col min="7" max="7" width="13.44140625" style="1" customWidth="1"/>
    <col min="8" max="8" width="8.44140625" style="2" customWidth="1"/>
    <col min="9" max="9" width="11" style="1" customWidth="1"/>
    <col min="10" max="10" width="12.6640625" style="1" customWidth="1"/>
    <col min="11" max="11" width="17.77734375" style="1" customWidth="1"/>
    <col min="12" max="12" width="15.6640625" customWidth="1"/>
    <col min="13" max="13" width="11.5546875" style="7" customWidth="1"/>
  </cols>
  <sheetData>
    <row r="1" spans="1:14" s="7" customFormat="1" ht="17.399999999999999" customHeight="1">
      <c r="A1" s="8" t="s">
        <v>27</v>
      </c>
      <c r="B1" s="12" t="s">
        <v>26</v>
      </c>
      <c r="C1" s="3" t="s">
        <v>7</v>
      </c>
      <c r="D1" s="3" t="s">
        <v>8</v>
      </c>
      <c r="E1" s="19" t="s">
        <v>9</v>
      </c>
      <c r="F1" s="22" t="s">
        <v>14</v>
      </c>
      <c r="G1" s="4" t="s">
        <v>11</v>
      </c>
      <c r="H1" s="5" t="s">
        <v>12</v>
      </c>
      <c r="I1" s="4" t="s">
        <v>10</v>
      </c>
      <c r="J1" s="4" t="s">
        <v>13</v>
      </c>
      <c r="K1" s="4" t="s">
        <v>99</v>
      </c>
      <c r="L1" s="4" t="s">
        <v>25</v>
      </c>
      <c r="M1" s="4" t="s">
        <v>98</v>
      </c>
      <c r="N1" s="4" t="s">
        <v>45</v>
      </c>
    </row>
    <row r="2" spans="1:14">
      <c r="A2" t="s">
        <v>30</v>
      </c>
      <c r="B2" s="13">
        <v>45107</v>
      </c>
      <c r="C2" s="9" t="s">
        <v>21</v>
      </c>
      <c r="D2" s="24" t="s">
        <v>38</v>
      </c>
      <c r="E2" t="str">
        <f>INDEX(公司信息!C:C,MATCH(D2,公司信息!B:B,0))</f>
        <v>INMUEBLES Y LOGISTICA, S.A.U.</v>
      </c>
      <c r="F2" s="23" t="s">
        <v>44</v>
      </c>
      <c r="G2" s="1">
        <f>1351.91+63.66+5.58+36.98-12.72</f>
        <v>1445.41</v>
      </c>
      <c r="H2" s="2">
        <v>0.21</v>
      </c>
      <c r="I2" s="1">
        <f>G2*H2</f>
        <v>303.53610000000003</v>
      </c>
      <c r="K2" s="1">
        <f>G2+I2+J2</f>
        <v>1748.9461000000001</v>
      </c>
      <c r="L2" t="s">
        <v>110</v>
      </c>
      <c r="M2" s="7" t="s">
        <v>109</v>
      </c>
    </row>
    <row r="3" spans="1:14">
      <c r="A3" t="s">
        <v>30</v>
      </c>
      <c r="B3" s="13">
        <v>45107</v>
      </c>
      <c r="C3" s="9" t="s">
        <v>21</v>
      </c>
      <c r="D3" s="24" t="s">
        <v>38</v>
      </c>
      <c r="E3" t="str">
        <f>INDEX(公司信息!C:C,MATCH(D3,公司信息!B:B,0))</f>
        <v>INMUEBLES Y LOGISTICA, S.A.U.</v>
      </c>
      <c r="F3" s="23" t="s">
        <v>44</v>
      </c>
      <c r="G3" s="1">
        <v>12.72</v>
      </c>
      <c r="H3" s="2">
        <v>0</v>
      </c>
      <c r="I3" s="1">
        <f t="shared" ref="I3:I4" si="0">G3*H3</f>
        <v>0</v>
      </c>
      <c r="K3" s="1">
        <f>G3+I3+J3</f>
        <v>12.72</v>
      </c>
      <c r="L3" t="s">
        <v>110</v>
      </c>
      <c r="M3" s="7" t="s">
        <v>109</v>
      </c>
    </row>
    <row r="4" spans="1:14">
      <c r="A4" t="s">
        <v>32</v>
      </c>
      <c r="B4" s="13">
        <v>45107</v>
      </c>
      <c r="C4" s="9" t="s">
        <v>21</v>
      </c>
      <c r="D4" s="24" t="s">
        <v>38</v>
      </c>
      <c r="E4" t="str">
        <f>INDEX(公司信息!C:C,MATCH(D4,公司信息!B:B,0))</f>
        <v>INMUEBLES Y LOGISTICA, S.A.U.</v>
      </c>
      <c r="F4" s="23" t="s">
        <v>46</v>
      </c>
      <c r="G4" s="1">
        <f>1293.12+34.69</f>
        <v>1327.81</v>
      </c>
      <c r="H4" s="2">
        <v>0</v>
      </c>
      <c r="I4" s="1">
        <f t="shared" si="0"/>
        <v>0</v>
      </c>
      <c r="K4" s="1">
        <f t="shared" ref="K4" si="1">G4+I4+J4</f>
        <v>1327.81</v>
      </c>
      <c r="L4" t="s">
        <v>110</v>
      </c>
      <c r="M4" s="7" t="s">
        <v>109</v>
      </c>
    </row>
    <row r="5" spans="1:14">
      <c r="A5" t="s">
        <v>35</v>
      </c>
      <c r="B5" s="13">
        <v>45107</v>
      </c>
      <c r="C5" s="9" t="s">
        <v>21</v>
      </c>
      <c r="D5" s="24" t="s">
        <v>38</v>
      </c>
      <c r="E5" t="str">
        <f>INDEX(公司信息!C:C,MATCH(D5,公司信息!B:B,0))</f>
        <v>INMUEBLES Y LOGISTICA, S.A.U.</v>
      </c>
      <c r="F5" s="23" t="s">
        <v>48</v>
      </c>
      <c r="G5" s="1">
        <f>2583.89+96.67+69.27</f>
        <v>2749.83</v>
      </c>
      <c r="H5" s="2">
        <v>0.21</v>
      </c>
      <c r="I5" s="1">
        <f t="shared" ref="I5" si="2">G5*H5</f>
        <v>577.46429999999998</v>
      </c>
      <c r="K5" s="1">
        <f t="shared" ref="K5" si="3">G5+I5+J5</f>
        <v>3327.2943</v>
      </c>
      <c r="L5" t="s">
        <v>110</v>
      </c>
      <c r="M5" s="7" t="s">
        <v>109</v>
      </c>
    </row>
    <row r="6" spans="1:14">
      <c r="A6" t="s">
        <v>30</v>
      </c>
      <c r="B6" s="13">
        <v>45105</v>
      </c>
      <c r="C6" s="9" t="s">
        <v>61</v>
      </c>
      <c r="D6" s="24" t="s">
        <v>62</v>
      </c>
      <c r="E6" t="str">
        <f>INDEX(公司信息!C:C,MATCH(D6,公司信息!B:B,0))</f>
        <v>VIVA AQUA SERVICE SPAIN S.A</v>
      </c>
      <c r="F6" s="23" t="s">
        <v>63</v>
      </c>
      <c r="G6" s="1">
        <f>2*15</f>
        <v>30</v>
      </c>
      <c r="H6" s="2">
        <v>0.21</v>
      </c>
      <c r="I6" s="1">
        <f t="shared" ref="I6" si="4">G6*H6</f>
        <v>6.3</v>
      </c>
      <c r="K6" s="1">
        <f t="shared" ref="K6" si="5">G6+I6+J6</f>
        <v>36.299999999999997</v>
      </c>
      <c r="L6" t="s">
        <v>111</v>
      </c>
      <c r="M6" s="7" t="s">
        <v>109</v>
      </c>
    </row>
    <row r="7" spans="1:14">
      <c r="A7" t="s">
        <v>30</v>
      </c>
      <c r="B7" s="13">
        <v>45105</v>
      </c>
      <c r="C7" s="9" t="s">
        <v>61</v>
      </c>
      <c r="D7" s="24" t="s">
        <v>62</v>
      </c>
      <c r="E7" t="str">
        <f>INDEX(公司信息!C:C,MATCH(D7,公司信息!B:B,0))</f>
        <v>VIVA AQUA SERVICE SPAIN S.A</v>
      </c>
      <c r="F7" s="23" t="s">
        <v>63</v>
      </c>
      <c r="G7" s="1">
        <v>79.77</v>
      </c>
      <c r="H7" s="2">
        <v>0.1</v>
      </c>
      <c r="I7" s="1">
        <f t="shared" ref="I7" si="6">G7*H7</f>
        <v>7.9770000000000003</v>
      </c>
      <c r="K7" s="1">
        <f t="shared" ref="K7" si="7">G7+I7+J7</f>
        <v>87.747</v>
      </c>
      <c r="L7" t="s">
        <v>111</v>
      </c>
      <c r="M7" s="7" t="s">
        <v>109</v>
      </c>
    </row>
    <row r="8" spans="1:14">
      <c r="A8" t="s">
        <v>30</v>
      </c>
      <c r="B8" s="13">
        <v>45119</v>
      </c>
      <c r="C8" s="9" t="s">
        <v>61</v>
      </c>
      <c r="D8" s="24" t="s">
        <v>62</v>
      </c>
      <c r="E8" t="str">
        <f>INDEX(公司信息!C:C,MATCH(D8,公司信息!B:B,0))</f>
        <v>VIVA AQUA SERVICE SPAIN S.A</v>
      </c>
      <c r="F8" s="23" t="s">
        <v>64</v>
      </c>
      <c r="G8" s="1">
        <v>79.77</v>
      </c>
      <c r="H8" s="2">
        <v>0.1</v>
      </c>
      <c r="I8" s="1">
        <f>G8*H8</f>
        <v>7.9770000000000003</v>
      </c>
      <c r="K8" s="1">
        <f t="shared" ref="K8" si="8">G8+I8+J8</f>
        <v>87.747</v>
      </c>
      <c r="L8" t="s">
        <v>111</v>
      </c>
      <c r="M8" s="7" t="s">
        <v>109</v>
      </c>
    </row>
    <row r="9" spans="1:14">
      <c r="A9" t="s">
        <v>32</v>
      </c>
      <c r="B9" s="13">
        <v>45107</v>
      </c>
      <c r="C9" s="9" t="s">
        <v>83</v>
      </c>
      <c r="D9" s="24" t="s">
        <v>85</v>
      </c>
      <c r="E9" t="str">
        <f>INDEX(公司信息!C:C,MATCH(D9,公司信息!B:B,0))</f>
        <v>VIA VERDE</v>
      </c>
      <c r="F9" s="25" t="s">
        <v>88</v>
      </c>
      <c r="G9" s="1">
        <f>48/1.23</f>
        <v>39.024390243902438</v>
      </c>
      <c r="H9" s="2">
        <v>0.23</v>
      </c>
      <c r="I9" s="1">
        <f t="shared" ref="I9:I16" si="9">G9*H9</f>
        <v>8.9756097560975618</v>
      </c>
      <c r="K9" s="1">
        <f>表2[[#This Row],[BASE]]+表2[[#This Row],[IVA]]+表2[[#This Row],[REN]]</f>
        <v>48</v>
      </c>
      <c r="L9" t="s">
        <v>118</v>
      </c>
      <c r="M9" s="7" t="s">
        <v>109</v>
      </c>
    </row>
    <row r="10" spans="1:14">
      <c r="A10" t="s">
        <v>32</v>
      </c>
      <c r="B10" s="13">
        <v>45107</v>
      </c>
      <c r="C10" s="9" t="s">
        <v>83</v>
      </c>
      <c r="D10" s="24" t="s">
        <v>85</v>
      </c>
      <c r="E10" t="str">
        <f>INDEX(公司信息!C:C,MATCH(D10,公司信息!B:B,0))</f>
        <v>VIA VERDE</v>
      </c>
      <c r="F10" s="25" t="s">
        <v>112</v>
      </c>
      <c r="G10" s="1">
        <f>5.25/1.23</f>
        <v>4.2682926829268295</v>
      </c>
      <c r="H10" s="2">
        <v>0.23</v>
      </c>
      <c r="I10" s="1">
        <f t="shared" si="9"/>
        <v>0.98170731707317083</v>
      </c>
      <c r="K10" s="1">
        <f>表2[[#This Row],[BASE]]+表2[[#This Row],[IVA]]+表2[[#This Row],[REN]]</f>
        <v>5.25</v>
      </c>
      <c r="L10" t="s">
        <v>118</v>
      </c>
      <c r="M10" s="7" t="s">
        <v>109</v>
      </c>
    </row>
    <row r="11" spans="1:14">
      <c r="A11" t="s">
        <v>32</v>
      </c>
      <c r="B11" s="13">
        <v>45107</v>
      </c>
      <c r="C11" s="9" t="s">
        <v>83</v>
      </c>
      <c r="D11" s="24" t="s">
        <v>85</v>
      </c>
      <c r="E11" t="str">
        <f>INDEX(公司信息!C:C,MATCH(D11,公司信息!B:B,0))</f>
        <v>VIA VERDE</v>
      </c>
      <c r="F11" s="25" t="s">
        <v>113</v>
      </c>
      <c r="G11" s="1">
        <f>3.6/1.23</f>
        <v>2.9268292682926829</v>
      </c>
      <c r="H11" s="2">
        <v>0.23</v>
      </c>
      <c r="I11" s="1">
        <f t="shared" si="9"/>
        <v>0.67317073170731712</v>
      </c>
      <c r="K11" s="1">
        <f>表2[[#This Row],[BASE]]+表2[[#This Row],[IVA]]+表2[[#This Row],[REN]]</f>
        <v>3.6</v>
      </c>
      <c r="L11" t="s">
        <v>118</v>
      </c>
      <c r="M11" s="7" t="s">
        <v>109</v>
      </c>
    </row>
    <row r="12" spans="1:14">
      <c r="A12" t="s">
        <v>32</v>
      </c>
      <c r="B12" s="13">
        <v>45107</v>
      </c>
      <c r="C12" s="9" t="s">
        <v>83</v>
      </c>
      <c r="D12" s="24" t="s">
        <v>85</v>
      </c>
      <c r="E12" t="str">
        <f>INDEX(公司信息!C:C,MATCH(D12,公司信息!B:B,0))</f>
        <v>VIA VERDE</v>
      </c>
      <c r="F12" s="25" t="s">
        <v>114</v>
      </c>
      <c r="G12" s="1">
        <f>4.4/1.23</f>
        <v>3.5772357723577239</v>
      </c>
      <c r="H12" s="2">
        <v>0.23</v>
      </c>
      <c r="I12" s="1">
        <f t="shared" si="9"/>
        <v>0.82276422764227652</v>
      </c>
      <c r="K12" s="1">
        <f>表2[[#This Row],[BASE]]+表2[[#This Row],[IVA]]+表2[[#This Row],[REN]]</f>
        <v>4.4000000000000004</v>
      </c>
      <c r="L12" t="s">
        <v>118</v>
      </c>
      <c r="M12" s="7" t="s">
        <v>109</v>
      </c>
    </row>
    <row r="13" spans="1:14">
      <c r="A13" t="s">
        <v>32</v>
      </c>
      <c r="B13" s="13">
        <v>45107</v>
      </c>
      <c r="C13" s="9" t="s">
        <v>83</v>
      </c>
      <c r="D13" s="24" t="s">
        <v>85</v>
      </c>
      <c r="E13" t="str">
        <f>INDEX(公司信息!C:C,MATCH(D13,公司信息!B:B,0))</f>
        <v>VIA VERDE</v>
      </c>
      <c r="F13" s="25" t="s">
        <v>115</v>
      </c>
      <c r="G13" s="1">
        <f>1.2/1.23</f>
        <v>0.97560975609756095</v>
      </c>
      <c r="H13" s="2">
        <v>0.23</v>
      </c>
      <c r="I13" s="1">
        <f t="shared" si="9"/>
        <v>0.22439024390243903</v>
      </c>
      <c r="K13" s="1">
        <f>表2[[#This Row],[BASE]]+表2[[#This Row],[IVA]]+表2[[#This Row],[REN]]</f>
        <v>1.2</v>
      </c>
      <c r="L13" t="s">
        <v>118</v>
      </c>
      <c r="M13" s="7" t="s">
        <v>109</v>
      </c>
    </row>
    <row r="14" spans="1:14">
      <c r="A14" t="s">
        <v>32</v>
      </c>
      <c r="B14" s="13">
        <v>45107</v>
      </c>
      <c r="C14" s="9" t="s">
        <v>83</v>
      </c>
      <c r="D14" s="24" t="s">
        <v>85</v>
      </c>
      <c r="E14" t="str">
        <f>INDEX(公司信息!C:C,MATCH(D14,公司信息!B:B,0))</f>
        <v>VIA VERDE</v>
      </c>
      <c r="F14" s="25" t="s">
        <v>116</v>
      </c>
      <c r="G14" s="1">
        <f>7.05/1.06</f>
        <v>6.6509433962264142</v>
      </c>
      <c r="H14" s="2">
        <v>0.06</v>
      </c>
      <c r="I14" s="1">
        <f t="shared" si="9"/>
        <v>0.39905660377358482</v>
      </c>
      <c r="K14" s="1">
        <f>表2[[#This Row],[BASE]]+表2[[#This Row],[IVA]]+表2[[#This Row],[REN]]</f>
        <v>7.0499999999999989</v>
      </c>
      <c r="L14" t="s">
        <v>118</v>
      </c>
      <c r="M14" s="7" t="s">
        <v>109</v>
      </c>
    </row>
    <row r="15" spans="1:14">
      <c r="A15" t="s">
        <v>32</v>
      </c>
      <c r="B15" s="13">
        <v>45107</v>
      </c>
      <c r="C15" s="9" t="s">
        <v>83</v>
      </c>
      <c r="D15" s="24" t="s">
        <v>85</v>
      </c>
      <c r="E15" t="str">
        <f>INDEX(公司信息!C:C,MATCH(D15,公司信息!B:B,0))</f>
        <v>VIA VERDE</v>
      </c>
      <c r="F15" s="25" t="s">
        <v>89</v>
      </c>
      <c r="G15" s="1">
        <f>6.9/1.23</f>
        <v>5.6097560975609762</v>
      </c>
      <c r="H15" s="2">
        <v>0.23</v>
      </c>
      <c r="I15" s="1">
        <f t="shared" si="9"/>
        <v>1.2902439024390246</v>
      </c>
      <c r="K15" s="1">
        <f>表2[[#This Row],[BASE]]+表2[[#This Row],[IVA]]+表2[[#This Row],[REN]]</f>
        <v>6.9</v>
      </c>
      <c r="L15" t="s">
        <v>118</v>
      </c>
      <c r="M15" s="7" t="s">
        <v>109</v>
      </c>
    </row>
    <row r="16" spans="1:14">
      <c r="A16" t="s">
        <v>32</v>
      </c>
      <c r="B16" s="13">
        <v>45107</v>
      </c>
      <c r="C16" s="9" t="s">
        <v>83</v>
      </c>
      <c r="D16" s="24" t="s">
        <v>85</v>
      </c>
      <c r="E16" t="str">
        <f>INDEX(公司信息!C:C,MATCH(D16,公司信息!B:B,0))</f>
        <v>VIA VERDE</v>
      </c>
      <c r="F16" s="25" t="s">
        <v>117</v>
      </c>
      <c r="G16" s="1">
        <f>2.2/1.23</f>
        <v>1.788617886178862</v>
      </c>
      <c r="H16" s="2">
        <v>0.23</v>
      </c>
      <c r="I16" s="1">
        <f t="shared" si="9"/>
        <v>0.41138211382113826</v>
      </c>
      <c r="K16" s="1">
        <f>表2[[#This Row],[BASE]]+表2[[#This Row],[IVA]]+表2[[#This Row],[REN]]</f>
        <v>2.2000000000000002</v>
      </c>
      <c r="L16" t="s">
        <v>118</v>
      </c>
      <c r="M16" s="7" t="s">
        <v>109</v>
      </c>
    </row>
    <row r="17" spans="1:13">
      <c r="A17" t="s">
        <v>32</v>
      </c>
      <c r="B17" s="13">
        <v>45111</v>
      </c>
      <c r="C17" s="9" t="s">
        <v>95</v>
      </c>
      <c r="D17" s="24" t="s">
        <v>90</v>
      </c>
      <c r="E17" t="str">
        <f>INDEX(公司信息!C:C,MATCH(D17,公司信息!B:B,0))</f>
        <v>SERVICOS DE COMUNICACOES E MULTIMEDIA S.A.</v>
      </c>
      <c r="F17" s="23" t="s">
        <v>168</v>
      </c>
      <c r="G17" s="1">
        <v>9.1430000000000007</v>
      </c>
      <c r="H17" s="2">
        <v>0.23</v>
      </c>
      <c r="I17" s="1">
        <f t="shared" ref="I17:I27" si="10">G17*H17</f>
        <v>2.1028900000000004</v>
      </c>
      <c r="K17" s="1">
        <f t="shared" ref="K17:K27" si="11">G17+I17+J17</f>
        <v>11.245890000000001</v>
      </c>
      <c r="L17" t="s">
        <v>120</v>
      </c>
      <c r="M17" s="7" t="s">
        <v>109</v>
      </c>
    </row>
    <row r="18" spans="1:13">
      <c r="A18" t="s">
        <v>32</v>
      </c>
      <c r="B18" s="13">
        <v>45111</v>
      </c>
      <c r="C18" s="9" t="s">
        <v>95</v>
      </c>
      <c r="D18" s="24" t="s">
        <v>90</v>
      </c>
      <c r="E18" t="str">
        <f>INDEX(公司信息!C:C,MATCH(D18,公司信息!B:B,0))</f>
        <v>SERVICOS DE COMUNICACOES E MULTIMEDIA S.A.</v>
      </c>
      <c r="F18" s="23" t="s">
        <v>97</v>
      </c>
      <c r="G18" s="1">
        <v>11.326000000000001</v>
      </c>
      <c r="H18" s="2">
        <v>0.23</v>
      </c>
      <c r="I18" s="1">
        <f t="shared" si="10"/>
        <v>2.6049800000000003</v>
      </c>
      <c r="K18" s="1">
        <f t="shared" si="11"/>
        <v>13.930980000000002</v>
      </c>
      <c r="L18" t="s">
        <v>120</v>
      </c>
      <c r="M18" s="7" t="s">
        <v>109</v>
      </c>
    </row>
    <row r="19" spans="1:13">
      <c r="A19" t="s">
        <v>30</v>
      </c>
      <c r="B19" s="13">
        <v>45108</v>
      </c>
      <c r="C19" s="9" t="s">
        <v>106</v>
      </c>
      <c r="D19" s="24" t="s">
        <v>100</v>
      </c>
      <c r="E19" t="str">
        <f>INDEX(公司信息!C:C,MATCH(D19,公司信息!B:B,0))</f>
        <v>EMPOLIME S.A</v>
      </c>
      <c r="F19" s="23" t="s">
        <v>108</v>
      </c>
      <c r="G19" s="1">
        <v>6534</v>
      </c>
      <c r="H19" s="2">
        <v>0.21</v>
      </c>
      <c r="I19" s="1">
        <f t="shared" si="10"/>
        <v>1372.1399999999999</v>
      </c>
      <c r="J19" s="1">
        <v>-1241.46</v>
      </c>
      <c r="K19" s="1">
        <f t="shared" si="11"/>
        <v>6664.6799999999994</v>
      </c>
      <c r="L19" t="s">
        <v>121</v>
      </c>
      <c r="M19" s="7" t="s">
        <v>109</v>
      </c>
    </row>
    <row r="20" spans="1:13">
      <c r="A20" t="s">
        <v>35</v>
      </c>
      <c r="B20" s="13">
        <v>45107</v>
      </c>
      <c r="C20" s="9" t="s">
        <v>21</v>
      </c>
      <c r="D20" s="24" t="s">
        <v>122</v>
      </c>
      <c r="E20" t="str">
        <f>INDEX(公司信息!C:C,MATCH(D20,公司信息!B:B,0))</f>
        <v>XIAOBIN LIN</v>
      </c>
      <c r="F20" s="23" t="s">
        <v>128</v>
      </c>
      <c r="G20" s="1">
        <v>5110</v>
      </c>
      <c r="H20" s="2">
        <v>0.21</v>
      </c>
      <c r="I20" s="1">
        <f t="shared" si="10"/>
        <v>1073.0999999999999</v>
      </c>
      <c r="K20" s="1">
        <f t="shared" si="11"/>
        <v>6183.1</v>
      </c>
      <c r="L20" t="s">
        <v>129</v>
      </c>
      <c r="M20" s="7" t="s">
        <v>109</v>
      </c>
    </row>
    <row r="21" spans="1:13">
      <c r="A21" t="s">
        <v>35</v>
      </c>
      <c r="B21" s="13">
        <v>45122</v>
      </c>
      <c r="C21" s="9" t="s">
        <v>130</v>
      </c>
      <c r="D21" s="24" t="s">
        <v>133</v>
      </c>
      <c r="E21" t="str">
        <f>INDEX(公司信息!C:C,MATCH(D21,公司信息!B:B,0))</f>
        <v>WINNER GESTORES, S.L.</v>
      </c>
      <c r="F21" s="23" t="s">
        <v>138</v>
      </c>
      <c r="G21" s="1">
        <v>410</v>
      </c>
      <c r="H21" s="2">
        <v>0.21</v>
      </c>
      <c r="I21" s="1">
        <f t="shared" si="10"/>
        <v>86.1</v>
      </c>
      <c r="K21" s="1">
        <f t="shared" si="11"/>
        <v>496.1</v>
      </c>
      <c r="L21" t="s">
        <v>139</v>
      </c>
      <c r="M21" s="7" t="s">
        <v>109</v>
      </c>
    </row>
    <row r="22" spans="1:13">
      <c r="A22" t="s">
        <v>35</v>
      </c>
      <c r="B22" s="13">
        <v>45122</v>
      </c>
      <c r="C22" s="9" t="s">
        <v>130</v>
      </c>
      <c r="D22" s="24" t="s">
        <v>133</v>
      </c>
      <c r="E22" t="str">
        <f>INDEX(公司信息!C:C,MATCH(D22,公司信息!B:B,0))</f>
        <v>WINNER GESTORES, S.L.</v>
      </c>
      <c r="F22" s="23" t="s">
        <v>138</v>
      </c>
      <c r="G22" s="1">
        <v>65.91</v>
      </c>
      <c r="H22" s="2">
        <v>0</v>
      </c>
      <c r="I22" s="1">
        <f t="shared" si="10"/>
        <v>0</v>
      </c>
      <c r="K22" s="1">
        <f t="shared" si="11"/>
        <v>65.91</v>
      </c>
      <c r="L22" t="s">
        <v>139</v>
      </c>
      <c r="M22" s="7" t="s">
        <v>109</v>
      </c>
    </row>
    <row r="23" spans="1:13">
      <c r="A23" t="s">
        <v>35</v>
      </c>
      <c r="B23" s="13">
        <v>45107</v>
      </c>
      <c r="C23" s="9" t="s">
        <v>21</v>
      </c>
      <c r="D23" s="24" t="s">
        <v>140</v>
      </c>
      <c r="E23" t="str">
        <f>INDEX(公司信息!C:C,MATCH(D23,公司信息!B:B,0))</f>
        <v>A.T.La Espada S.L</v>
      </c>
      <c r="F23" s="23" t="s">
        <v>147</v>
      </c>
      <c r="G23" s="1">
        <v>1714</v>
      </c>
      <c r="H23" s="2">
        <v>0.21</v>
      </c>
      <c r="I23" s="1">
        <f t="shared" si="10"/>
        <v>359.94</v>
      </c>
      <c r="K23" s="1">
        <f t="shared" si="11"/>
        <v>2073.94</v>
      </c>
      <c r="M23" s="7" t="s">
        <v>109</v>
      </c>
    </row>
    <row r="24" spans="1:13">
      <c r="A24" t="s">
        <v>35</v>
      </c>
      <c r="B24" s="13">
        <v>45107</v>
      </c>
      <c r="C24" s="9" t="s">
        <v>21</v>
      </c>
      <c r="D24" s="24" t="s">
        <v>140</v>
      </c>
      <c r="E24" t="str">
        <f>INDEX(公司信息!C:C,MATCH(D24,公司信息!B:B,0))</f>
        <v>A.T.La Espada S.L</v>
      </c>
      <c r="F24" s="23" t="s">
        <v>147</v>
      </c>
      <c r="G24" s="1">
        <v>238.16</v>
      </c>
      <c r="H24" s="2">
        <v>0</v>
      </c>
      <c r="I24" s="1">
        <f t="shared" si="10"/>
        <v>0</v>
      </c>
      <c r="K24" s="1">
        <f t="shared" si="11"/>
        <v>238.16</v>
      </c>
      <c r="M24" s="7" t="s">
        <v>109</v>
      </c>
    </row>
    <row r="25" spans="1:13">
      <c r="A25" t="s">
        <v>35</v>
      </c>
      <c r="B25" s="13">
        <v>45107</v>
      </c>
      <c r="C25" s="9" t="s">
        <v>21</v>
      </c>
      <c r="D25" s="24" t="s">
        <v>140</v>
      </c>
      <c r="E25" t="str">
        <f>INDEX(公司信息!C:C,MATCH(D25,公司信息!B:B,0))</f>
        <v>A.T.La Espada S.L</v>
      </c>
      <c r="F25" s="23" t="s">
        <v>148</v>
      </c>
      <c r="G25" s="1">
        <v>21599.25</v>
      </c>
      <c r="H25" s="2">
        <v>0</v>
      </c>
      <c r="I25" s="1">
        <f t="shared" si="10"/>
        <v>0</v>
      </c>
      <c r="K25" s="1">
        <f t="shared" si="11"/>
        <v>21599.25</v>
      </c>
      <c r="M25" s="7" t="s">
        <v>109</v>
      </c>
    </row>
    <row r="26" spans="1:13">
      <c r="A26" t="s">
        <v>35</v>
      </c>
      <c r="B26" s="13">
        <v>45116</v>
      </c>
      <c r="C26" s="9" t="s">
        <v>154</v>
      </c>
      <c r="D26" s="24" t="s">
        <v>149</v>
      </c>
      <c r="E26" t="str">
        <f>INDEX(公司信息!C:C,MATCH(D26,公司信息!B:B,0))</f>
        <v>Youmobile Telecom Spain S.L</v>
      </c>
      <c r="F26" s="23" t="s">
        <v>157</v>
      </c>
      <c r="G26" s="1">
        <v>7.9</v>
      </c>
      <c r="H26" s="2">
        <v>0.21</v>
      </c>
      <c r="I26" s="1">
        <f t="shared" si="10"/>
        <v>1.659</v>
      </c>
      <c r="K26" s="1">
        <f t="shared" si="11"/>
        <v>9.5590000000000011</v>
      </c>
      <c r="L26" t="s">
        <v>159</v>
      </c>
      <c r="M26" s="7" t="s">
        <v>109</v>
      </c>
    </row>
    <row r="27" spans="1:13">
      <c r="A27" t="s">
        <v>35</v>
      </c>
      <c r="B27" s="13">
        <v>45107</v>
      </c>
      <c r="C27" s="9" t="s">
        <v>21</v>
      </c>
      <c r="D27" s="24" t="s">
        <v>140</v>
      </c>
      <c r="E27" t="str">
        <f>INDEX(公司信息!C:C,MATCH(D27,公司信息!B:B,0))</f>
        <v>A.T.La Espada S.L</v>
      </c>
      <c r="F27" s="23" t="s">
        <v>160</v>
      </c>
      <c r="G27" s="1">
        <v>7894.21</v>
      </c>
      <c r="H27" s="2">
        <v>0</v>
      </c>
      <c r="I27" s="1">
        <f t="shared" si="10"/>
        <v>0</v>
      </c>
      <c r="K27" s="1">
        <f t="shared" si="11"/>
        <v>7894.21</v>
      </c>
      <c r="M27" s="7" t="s">
        <v>109</v>
      </c>
    </row>
    <row r="28" spans="1:13">
      <c r="A28" t="s">
        <v>30</v>
      </c>
      <c r="B28" s="13">
        <v>45125</v>
      </c>
      <c r="C28" s="9" t="s">
        <v>166</v>
      </c>
      <c r="D28" s="24" t="s">
        <v>182</v>
      </c>
      <c r="E28" t="str">
        <f>INDEX(公司信息!C:C,MATCH(D28,公司信息!B:B,0))</f>
        <v>IBERDROLA CLIENTES, S.A.U.</v>
      </c>
      <c r="F28" s="23" t="s">
        <v>167</v>
      </c>
      <c r="G28" s="1">
        <v>39.74</v>
      </c>
      <c r="H28" s="2">
        <v>0.05</v>
      </c>
      <c r="I28" s="1">
        <f>G28*H28</f>
        <v>1.9870000000000001</v>
      </c>
      <c r="K28" s="1">
        <f t="shared" ref="K28:K35" si="12">G28+I28+J28</f>
        <v>41.727000000000004</v>
      </c>
      <c r="M28" s="7" t="s">
        <v>109</v>
      </c>
    </row>
    <row r="29" spans="1:13">
      <c r="A29" t="s">
        <v>30</v>
      </c>
      <c r="B29" s="13">
        <v>45125</v>
      </c>
      <c r="C29" s="9" t="s">
        <v>166</v>
      </c>
      <c r="D29" s="24" t="s">
        <v>182</v>
      </c>
      <c r="E29" t="str">
        <f>INDEX(公司信息!C:C,MATCH(D29,公司信息!B:B,0))</f>
        <v>IBERDROLA CLIENTES, S.A.U.</v>
      </c>
      <c r="F29" s="23" t="s">
        <v>167</v>
      </c>
      <c r="G29" s="1">
        <v>6.31</v>
      </c>
      <c r="H29" s="2">
        <v>0.21</v>
      </c>
      <c r="I29" s="1">
        <f>G29*H29</f>
        <v>1.3250999999999999</v>
      </c>
      <c r="K29" s="1">
        <f t="shared" si="12"/>
        <v>7.6350999999999996</v>
      </c>
      <c r="M29" s="7" t="s">
        <v>171</v>
      </c>
    </row>
    <row r="30" spans="1:13">
      <c r="A30" t="s">
        <v>35</v>
      </c>
      <c r="B30" s="13">
        <v>45138</v>
      </c>
      <c r="C30" s="9" t="s">
        <v>21</v>
      </c>
      <c r="D30" s="24" t="s">
        <v>140</v>
      </c>
      <c r="E30" t="str">
        <f>INDEX(公司信息!C:C,MATCH(D30,公司信息!B:B,0))</f>
        <v>A.T.La Espada S.L</v>
      </c>
      <c r="F30" s="23" t="s">
        <v>169</v>
      </c>
      <c r="G30" s="1">
        <v>185.34</v>
      </c>
      <c r="H30" s="2">
        <v>0</v>
      </c>
      <c r="I30" s="1">
        <f>G30*H30</f>
        <v>0</v>
      </c>
      <c r="K30" s="1">
        <f t="shared" si="12"/>
        <v>185.34</v>
      </c>
      <c r="M30" s="7" t="s">
        <v>109</v>
      </c>
    </row>
    <row r="31" spans="1:13">
      <c r="A31" t="s">
        <v>35</v>
      </c>
      <c r="B31" s="13">
        <v>45138</v>
      </c>
      <c r="C31" s="9" t="s">
        <v>21</v>
      </c>
      <c r="D31" s="24" t="s">
        <v>140</v>
      </c>
      <c r="E31" t="str">
        <f>INDEX(公司信息!C:C,MATCH(D31,公司信息!B:B,0))</f>
        <v>A.T.La Espada S.L</v>
      </c>
      <c r="F31" s="23" t="s">
        <v>169</v>
      </c>
      <c r="G31" s="1">
        <v>0</v>
      </c>
      <c r="H31" s="2">
        <v>0.21</v>
      </c>
      <c r="I31" s="1">
        <v>7397.23</v>
      </c>
      <c r="K31" s="1">
        <f t="shared" si="12"/>
        <v>7397.23</v>
      </c>
      <c r="M31" s="7" t="s">
        <v>109</v>
      </c>
    </row>
    <row r="32" spans="1:13">
      <c r="A32" t="s">
        <v>35</v>
      </c>
      <c r="B32" s="13">
        <v>45138</v>
      </c>
      <c r="C32" s="9" t="s">
        <v>21</v>
      </c>
      <c r="D32" s="24" t="s">
        <v>140</v>
      </c>
      <c r="E32" t="str">
        <f>INDEX(公司信息!C:C,MATCH(D32,公司信息!B:B,0))</f>
        <v>A.T.La Espada S.L</v>
      </c>
      <c r="F32" s="23" t="s">
        <v>169</v>
      </c>
      <c r="G32" s="1">
        <v>23.63</v>
      </c>
      <c r="H32" s="2">
        <v>0</v>
      </c>
      <c r="I32" s="1">
        <f>G32*H32</f>
        <v>0</v>
      </c>
      <c r="K32" s="1">
        <f t="shared" si="12"/>
        <v>23.63</v>
      </c>
      <c r="M32" s="7" t="s">
        <v>109</v>
      </c>
    </row>
    <row r="33" spans="1:13">
      <c r="A33" t="s">
        <v>35</v>
      </c>
      <c r="B33" s="13">
        <v>45138</v>
      </c>
      <c r="C33" s="9" t="s">
        <v>21</v>
      </c>
      <c r="D33" s="24" t="s">
        <v>140</v>
      </c>
      <c r="E33" t="str">
        <f>INDEX(公司信息!C:C,MATCH(D33,公司信息!B:B,0))</f>
        <v>A.T.La Espada S.L</v>
      </c>
      <c r="F33" s="23" t="s">
        <v>170</v>
      </c>
      <c r="G33" s="1">
        <v>1418.48</v>
      </c>
      <c r="H33" s="2">
        <v>0</v>
      </c>
      <c r="I33" s="1">
        <f>G33*H33</f>
        <v>0</v>
      </c>
      <c r="K33" s="1">
        <f t="shared" si="12"/>
        <v>1418.48</v>
      </c>
      <c r="M33" s="7" t="s">
        <v>109</v>
      </c>
    </row>
    <row r="34" spans="1:13">
      <c r="A34" t="s">
        <v>35</v>
      </c>
      <c r="B34" s="13">
        <v>45138</v>
      </c>
      <c r="C34" s="9" t="s">
        <v>21</v>
      </c>
      <c r="D34" s="24" t="s">
        <v>140</v>
      </c>
      <c r="E34" t="str">
        <f>INDEX(公司信息!C:C,MATCH(D34,公司信息!B:B,0))</f>
        <v>A.T.La Espada S.L</v>
      </c>
      <c r="F34" s="23" t="s">
        <v>170</v>
      </c>
      <c r="G34" s="1">
        <v>0</v>
      </c>
      <c r="H34" s="2">
        <v>0.21</v>
      </c>
      <c r="I34" s="1">
        <v>6340.77</v>
      </c>
      <c r="K34" s="1">
        <f t="shared" si="12"/>
        <v>6340.77</v>
      </c>
      <c r="M34" s="7" t="s">
        <v>109</v>
      </c>
    </row>
    <row r="35" spans="1:13">
      <c r="A35" t="s">
        <v>35</v>
      </c>
      <c r="B35" s="13">
        <v>45138</v>
      </c>
      <c r="C35" s="9" t="s">
        <v>21</v>
      </c>
      <c r="D35" s="24" t="s">
        <v>140</v>
      </c>
      <c r="E35" t="str">
        <f>INDEX(公司信息!C:C,MATCH(D35,公司信息!B:B,0))</f>
        <v>A.T.La Espada S.L</v>
      </c>
      <c r="F35" s="23" t="s">
        <v>170</v>
      </c>
      <c r="G35" s="1">
        <v>21.83</v>
      </c>
      <c r="H35" s="2">
        <v>0</v>
      </c>
      <c r="I35" s="1">
        <f t="shared" ref="I35:I50" si="13">G35*H35</f>
        <v>0</v>
      </c>
      <c r="K35" s="1">
        <f t="shared" si="12"/>
        <v>21.83</v>
      </c>
      <c r="M35" s="7" t="s">
        <v>109</v>
      </c>
    </row>
    <row r="36" spans="1:13">
      <c r="A36" t="s">
        <v>35</v>
      </c>
      <c r="B36" s="13">
        <v>45153</v>
      </c>
      <c r="C36" s="9" t="s">
        <v>130</v>
      </c>
      <c r="D36" s="24" t="s">
        <v>133</v>
      </c>
      <c r="E36" t="str">
        <f>INDEX(公司信息!C:C,MATCH(D36,公司信息!B:B,0))</f>
        <v>WINNER GESTORES, S.L.</v>
      </c>
      <c r="F36" s="23" t="s">
        <v>172</v>
      </c>
      <c r="G36" s="1">
        <v>368</v>
      </c>
      <c r="H36" s="2">
        <v>0.21</v>
      </c>
      <c r="I36" s="1">
        <f t="shared" si="13"/>
        <v>77.28</v>
      </c>
      <c r="K36" s="1">
        <f t="shared" ref="K36:K43" si="14">G36+I36+J36</f>
        <v>445.28</v>
      </c>
      <c r="L36" t="s">
        <v>139</v>
      </c>
      <c r="M36" s="7" t="s">
        <v>109</v>
      </c>
    </row>
    <row r="37" spans="1:13">
      <c r="A37" t="s">
        <v>35</v>
      </c>
      <c r="B37" s="13">
        <v>45138</v>
      </c>
      <c r="C37" s="9" t="s">
        <v>21</v>
      </c>
      <c r="D37" s="24" t="s">
        <v>122</v>
      </c>
      <c r="E37" t="str">
        <f>INDEX(公司信息!C:C,MATCH(D37,公司信息!B:B,0))</f>
        <v>XIAOBIN LIN</v>
      </c>
      <c r="F37" s="23" t="s">
        <v>173</v>
      </c>
      <c r="G37" s="1">
        <v>5045</v>
      </c>
      <c r="H37" s="2">
        <v>0.21</v>
      </c>
      <c r="I37" s="1">
        <f t="shared" si="13"/>
        <v>1059.45</v>
      </c>
      <c r="K37" s="1">
        <f t="shared" si="14"/>
        <v>6104.45</v>
      </c>
      <c r="L37" t="s">
        <v>129</v>
      </c>
      <c r="M37" s="7" t="s">
        <v>109</v>
      </c>
    </row>
    <row r="38" spans="1:13">
      <c r="A38" t="s">
        <v>35</v>
      </c>
      <c r="B38" s="13">
        <v>45138</v>
      </c>
      <c r="C38" s="9" t="s">
        <v>21</v>
      </c>
      <c r="D38" s="24" t="s">
        <v>38</v>
      </c>
      <c r="E38" t="str">
        <f>INDEX(公司信息!C:C,MATCH(D38,公司信息!B:B,0))</f>
        <v>INMUEBLES Y LOGISTICA, S.A.U.</v>
      </c>
      <c r="F38" s="23" t="s">
        <v>174</v>
      </c>
      <c r="G38" s="1">
        <v>3029.02</v>
      </c>
      <c r="H38" s="2">
        <v>0.21</v>
      </c>
      <c r="I38" s="1">
        <f t="shared" si="13"/>
        <v>636.0942</v>
      </c>
      <c r="K38" s="1">
        <f t="shared" si="14"/>
        <v>3665.1142</v>
      </c>
      <c r="L38" t="s">
        <v>191</v>
      </c>
      <c r="M38" s="7" t="s">
        <v>109</v>
      </c>
    </row>
    <row r="39" spans="1:13">
      <c r="A39" t="s">
        <v>30</v>
      </c>
      <c r="B39" s="13">
        <v>45139</v>
      </c>
      <c r="C39" s="9" t="s">
        <v>106</v>
      </c>
      <c r="D39" s="24" t="s">
        <v>100</v>
      </c>
      <c r="E39" t="str">
        <f>INDEX(公司信息!C:C,MATCH(D39,公司信息!B:B,0))</f>
        <v>EMPOLIME S.A</v>
      </c>
      <c r="F39" s="23" t="s">
        <v>181</v>
      </c>
      <c r="G39" s="1">
        <v>6534</v>
      </c>
      <c r="H39" s="2">
        <v>0.21</v>
      </c>
      <c r="I39" s="1">
        <f t="shared" si="13"/>
        <v>1372.1399999999999</v>
      </c>
      <c r="J39" s="1">
        <v>-1241.46</v>
      </c>
      <c r="K39" s="1">
        <f t="shared" si="14"/>
        <v>6664.6799999999994</v>
      </c>
      <c r="L39" t="s">
        <v>121</v>
      </c>
      <c r="M39" s="7" t="s">
        <v>109</v>
      </c>
    </row>
    <row r="40" spans="1:13">
      <c r="A40" t="s">
        <v>30</v>
      </c>
      <c r="B40" s="13">
        <v>45138</v>
      </c>
      <c r="C40" s="9" t="s">
        <v>21</v>
      </c>
      <c r="D40" s="24" t="s">
        <v>184</v>
      </c>
      <c r="E40" t="str">
        <f>INDEX(公司信息!C:C,MATCH(D40,公司信息!B:B,0))</f>
        <v>MOSCA MARITIMOS.L</v>
      </c>
      <c r="F40" s="23" t="s">
        <v>187</v>
      </c>
      <c r="G40" s="1">
        <v>38.46</v>
      </c>
      <c r="H40" s="2">
        <v>0</v>
      </c>
      <c r="I40" s="1">
        <f t="shared" si="13"/>
        <v>0</v>
      </c>
      <c r="K40" s="1">
        <f t="shared" si="14"/>
        <v>38.46</v>
      </c>
      <c r="L40" t="s">
        <v>192</v>
      </c>
      <c r="M40" s="7" t="s">
        <v>109</v>
      </c>
    </row>
    <row r="41" spans="1:13">
      <c r="A41" t="s">
        <v>30</v>
      </c>
      <c r="B41" s="13">
        <v>45153</v>
      </c>
      <c r="C41" s="9" t="s">
        <v>130</v>
      </c>
      <c r="D41" s="24" t="s">
        <v>133</v>
      </c>
      <c r="E41" t="str">
        <f>INDEX(公司信息!C:C,MATCH(D41,公司信息!B:B,0))</f>
        <v>WINNER GESTORES, S.L.</v>
      </c>
      <c r="F41" s="23" t="s">
        <v>188</v>
      </c>
      <c r="G41" s="1">
        <v>588</v>
      </c>
      <c r="H41" s="2">
        <v>0.21</v>
      </c>
      <c r="I41" s="1">
        <f t="shared" si="13"/>
        <v>123.47999999999999</v>
      </c>
      <c r="K41" s="1">
        <f t="shared" si="14"/>
        <v>711.48</v>
      </c>
      <c r="L41" t="s">
        <v>139</v>
      </c>
      <c r="M41" s="7" t="s">
        <v>109</v>
      </c>
    </row>
    <row r="42" spans="1:13">
      <c r="A42" t="s">
        <v>32</v>
      </c>
      <c r="B42" s="13">
        <v>45138</v>
      </c>
      <c r="C42" s="9" t="s">
        <v>21</v>
      </c>
      <c r="D42" s="24" t="s">
        <v>38</v>
      </c>
      <c r="E42" t="str">
        <f>INDEX(公司信息!C:C,MATCH(D42,公司信息!B:B,0))</f>
        <v>INMUEBLES Y LOGISTICA, S.A.U.</v>
      </c>
      <c r="F42" s="23" t="s">
        <v>189</v>
      </c>
      <c r="G42" s="1">
        <v>1099.98</v>
      </c>
      <c r="H42" s="2">
        <v>0</v>
      </c>
      <c r="I42" s="1">
        <f t="shared" si="13"/>
        <v>0</v>
      </c>
      <c r="K42" s="1">
        <f t="shared" si="14"/>
        <v>1099.98</v>
      </c>
      <c r="L42" t="s">
        <v>191</v>
      </c>
      <c r="M42" s="7" t="s">
        <v>109</v>
      </c>
    </row>
    <row r="43" spans="1:13">
      <c r="A43" t="s">
        <v>30</v>
      </c>
      <c r="B43" s="13">
        <v>45138</v>
      </c>
      <c r="C43" s="9" t="s">
        <v>21</v>
      </c>
      <c r="D43" s="24" t="s">
        <v>38</v>
      </c>
      <c r="E43" t="str">
        <f>INDEX(公司信息!C:C,MATCH(D43,公司信息!B:B,0))</f>
        <v>INMUEBLES Y LOGISTICA, S.A.U.</v>
      </c>
      <c r="F43" s="23" t="s">
        <v>190</v>
      </c>
      <c r="G43" s="1">
        <v>1489.31</v>
      </c>
      <c r="H43" s="2">
        <v>0.21</v>
      </c>
      <c r="I43" s="1">
        <f t="shared" si="13"/>
        <v>312.75509999999997</v>
      </c>
      <c r="K43" s="1">
        <f t="shared" si="14"/>
        <v>1802.0650999999998</v>
      </c>
      <c r="L43" t="s">
        <v>191</v>
      </c>
      <c r="M43" s="7" t="s">
        <v>109</v>
      </c>
    </row>
    <row r="44" spans="1:13">
      <c r="A44" t="s">
        <v>32</v>
      </c>
      <c r="B44" s="13">
        <v>45138</v>
      </c>
      <c r="C44" s="9" t="s">
        <v>83</v>
      </c>
      <c r="D44" s="24" t="s">
        <v>85</v>
      </c>
      <c r="E44" t="str">
        <f>INDEX(公司信息!C:C,MATCH(D44,公司信息!B:B,0))</f>
        <v>VIA VERDE</v>
      </c>
      <c r="F44" s="25" t="s">
        <v>193</v>
      </c>
      <c r="G44" s="1">
        <f>80.8/1.23</f>
        <v>65.691056910569102</v>
      </c>
      <c r="H44" s="2">
        <v>0.23</v>
      </c>
      <c r="I44" s="1">
        <f t="shared" si="13"/>
        <v>15.108943089430895</v>
      </c>
      <c r="K44" s="1">
        <v>80.8</v>
      </c>
      <c r="L44" t="s">
        <v>68</v>
      </c>
      <c r="M44" s="7" t="s">
        <v>109</v>
      </c>
    </row>
    <row r="45" spans="1:13">
      <c r="A45" t="s">
        <v>32</v>
      </c>
      <c r="B45" s="13">
        <v>45138</v>
      </c>
      <c r="C45" s="9" t="s">
        <v>83</v>
      </c>
      <c r="D45" s="24" t="s">
        <v>85</v>
      </c>
      <c r="E45" t="str">
        <f>INDEX(公司信息!C:C,MATCH(D45,公司信息!B:B,0))</f>
        <v>VIA VERDE</v>
      </c>
      <c r="F45" s="25" t="s">
        <v>194</v>
      </c>
      <c r="G45" s="1">
        <f>1.45/1.23</f>
        <v>1.1788617886178863</v>
      </c>
      <c r="H45" s="2">
        <v>0.23</v>
      </c>
      <c r="I45" s="1">
        <f t="shared" si="13"/>
        <v>0.27113821138211386</v>
      </c>
      <c r="K45" s="1">
        <v>1.45</v>
      </c>
      <c r="L45" t="s">
        <v>68</v>
      </c>
      <c r="M45" s="7" t="s">
        <v>109</v>
      </c>
    </row>
    <row r="46" spans="1:13">
      <c r="A46" t="s">
        <v>32</v>
      </c>
      <c r="B46" s="13">
        <v>45138</v>
      </c>
      <c r="C46" s="9" t="s">
        <v>83</v>
      </c>
      <c r="D46" s="24" t="s">
        <v>85</v>
      </c>
      <c r="E46" t="str">
        <f>INDEX(公司信息!C:C,MATCH(D46,公司信息!B:B,0))</f>
        <v>VIA VERDE</v>
      </c>
      <c r="F46" s="25" t="s">
        <v>195</v>
      </c>
      <c r="G46" s="1">
        <f>5.7/1.23</f>
        <v>4.6341463414634152</v>
      </c>
      <c r="H46" s="2">
        <v>0.23</v>
      </c>
      <c r="I46" s="1">
        <f t="shared" si="13"/>
        <v>1.0658536585365856</v>
      </c>
      <c r="K46" s="1">
        <v>5.7</v>
      </c>
      <c r="L46" t="s">
        <v>68</v>
      </c>
      <c r="M46" s="7" t="s">
        <v>109</v>
      </c>
    </row>
    <row r="47" spans="1:13">
      <c r="A47" t="s">
        <v>32</v>
      </c>
      <c r="B47" s="13">
        <v>45138</v>
      </c>
      <c r="C47" s="9" t="s">
        <v>83</v>
      </c>
      <c r="D47" s="24" t="s">
        <v>85</v>
      </c>
      <c r="E47" t="str">
        <f>INDEX(公司信息!C:C,MATCH(D47,公司信息!B:B,0))</f>
        <v>VIA VERDE</v>
      </c>
      <c r="F47" s="25" t="s">
        <v>196</v>
      </c>
      <c r="G47" s="1">
        <f>11.9/1.23</f>
        <v>9.6747967479674806</v>
      </c>
      <c r="H47" s="2">
        <v>0.23</v>
      </c>
      <c r="I47" s="1">
        <f t="shared" si="13"/>
        <v>2.2252032520325207</v>
      </c>
      <c r="K47" s="1">
        <v>11.9</v>
      </c>
      <c r="L47" t="s">
        <v>68</v>
      </c>
      <c r="M47" s="7" t="s">
        <v>109</v>
      </c>
    </row>
    <row r="48" spans="1:13">
      <c r="A48" t="s">
        <v>32</v>
      </c>
      <c r="B48" s="13">
        <v>45138</v>
      </c>
      <c r="C48" s="9" t="s">
        <v>83</v>
      </c>
      <c r="D48" s="24" t="s">
        <v>85</v>
      </c>
      <c r="E48" t="str">
        <f>INDEX(公司信息!C:C,MATCH(D48,公司信息!B:B,0))</f>
        <v>VIA VERDE</v>
      </c>
      <c r="F48" s="25" t="s">
        <v>197</v>
      </c>
      <c r="G48" s="1">
        <f>3.25/1.23</f>
        <v>2.6422764227642275</v>
      </c>
      <c r="H48" s="2">
        <v>0.23</v>
      </c>
      <c r="I48" s="1">
        <f t="shared" si="13"/>
        <v>0.60772357723577231</v>
      </c>
      <c r="K48" s="1">
        <v>3.25</v>
      </c>
      <c r="L48" t="s">
        <v>68</v>
      </c>
      <c r="M48" s="7" t="s">
        <v>109</v>
      </c>
    </row>
    <row r="49" spans="1:13">
      <c r="A49" t="s">
        <v>32</v>
      </c>
      <c r="B49" s="13">
        <v>45138</v>
      </c>
      <c r="C49" s="9" t="s">
        <v>83</v>
      </c>
      <c r="D49" s="24" t="s">
        <v>85</v>
      </c>
      <c r="E49" t="str">
        <f>INDEX(公司信息!C:C,MATCH(D49,公司信息!B:B,0))</f>
        <v>VIA VERDE</v>
      </c>
      <c r="F49" s="25" t="s">
        <v>198</v>
      </c>
      <c r="G49" s="1">
        <f>6.1/1.06</f>
        <v>5.7547169811320744</v>
      </c>
      <c r="H49" s="2">
        <v>0.06</v>
      </c>
      <c r="I49" s="1">
        <f t="shared" si="13"/>
        <v>0.34528301886792445</v>
      </c>
      <c r="K49" s="1">
        <v>6.1</v>
      </c>
      <c r="L49" t="s">
        <v>68</v>
      </c>
      <c r="M49" s="7" t="s">
        <v>109</v>
      </c>
    </row>
    <row r="50" spans="1:13">
      <c r="A50" t="s">
        <v>32</v>
      </c>
      <c r="B50" s="13">
        <v>45138</v>
      </c>
      <c r="C50" s="9" t="s">
        <v>83</v>
      </c>
      <c r="D50" s="24" t="s">
        <v>85</v>
      </c>
      <c r="E50" t="str">
        <f>INDEX(公司信息!C:C,MATCH(D50,公司信息!B:B,0))</f>
        <v>VIA VERDE</v>
      </c>
      <c r="F50" s="25" t="s">
        <v>199</v>
      </c>
      <c r="G50" s="1">
        <f>0.75/1.23</f>
        <v>0.6097560975609756</v>
      </c>
      <c r="H50" s="2">
        <v>0.23</v>
      </c>
      <c r="I50" s="1">
        <f t="shared" si="13"/>
        <v>0.1402439024390244</v>
      </c>
      <c r="K50" s="1">
        <v>0.75</v>
      </c>
      <c r="L50" t="s">
        <v>68</v>
      </c>
      <c r="M50" s="7" t="s">
        <v>109</v>
      </c>
    </row>
    <row r="51" spans="1:13">
      <c r="A51" t="s">
        <v>35</v>
      </c>
      <c r="B51" s="13">
        <v>45145</v>
      </c>
      <c r="C51" s="9" t="s">
        <v>21</v>
      </c>
      <c r="D51" s="24" t="s">
        <v>212</v>
      </c>
      <c r="E51" t="str">
        <f>INDEX(公司信息!C:C,MATCH(D51,公司信息!B:B,0))</f>
        <v>AYT ESPRESS</v>
      </c>
      <c r="F51" s="23" t="s">
        <v>216</v>
      </c>
      <c r="G51" s="1">
        <f>1264.4+160+100+150</f>
        <v>1674.4</v>
      </c>
      <c r="H51" s="2">
        <v>0.21</v>
      </c>
      <c r="I51" s="1">
        <f>G51*H51</f>
        <v>351.62400000000002</v>
      </c>
      <c r="K51" s="1">
        <f t="shared" ref="K51:K56" si="15">G51+I51+J51</f>
        <v>2026.0240000000001</v>
      </c>
      <c r="L51" t="s">
        <v>217</v>
      </c>
      <c r="M51" s="7" t="s">
        <v>109</v>
      </c>
    </row>
    <row r="52" spans="1:13">
      <c r="A52" t="s">
        <v>35</v>
      </c>
      <c r="B52" s="13">
        <v>45145</v>
      </c>
      <c r="C52" s="9" t="s">
        <v>21</v>
      </c>
      <c r="D52" s="24" t="s">
        <v>212</v>
      </c>
      <c r="E52" t="str">
        <f>INDEX(公司信息!C:C,MATCH(D52,公司信息!B:B,0))</f>
        <v>AYT ESPRESS</v>
      </c>
      <c r="F52" s="23" t="s">
        <v>216</v>
      </c>
      <c r="G52" s="1">
        <f>276+2292.26+20.7</f>
        <v>2588.96</v>
      </c>
      <c r="H52" s="2">
        <v>0</v>
      </c>
      <c r="I52" s="1">
        <f>G52*H52</f>
        <v>0</v>
      </c>
      <c r="K52" s="1">
        <f t="shared" si="15"/>
        <v>2588.96</v>
      </c>
      <c r="L52" t="s">
        <v>217</v>
      </c>
      <c r="M52" s="7" t="s">
        <v>109</v>
      </c>
    </row>
    <row r="53" spans="1:13">
      <c r="A53" t="s">
        <v>35</v>
      </c>
      <c r="B53" s="13">
        <v>45145</v>
      </c>
      <c r="C53" s="9" t="s">
        <v>21</v>
      </c>
      <c r="D53" s="24" t="s">
        <v>212</v>
      </c>
      <c r="E53" t="str">
        <f>INDEX(公司信息!C:C,MATCH(D53,公司信息!B:B,0))</f>
        <v>AYT ESPRESS</v>
      </c>
      <c r="F53" s="23" t="s">
        <v>216</v>
      </c>
      <c r="G53" s="1">
        <v>0</v>
      </c>
      <c r="H53" s="2">
        <v>0</v>
      </c>
      <c r="I53" s="1">
        <f>7949.43</f>
        <v>7949.43</v>
      </c>
      <c r="K53" s="1">
        <f t="shared" si="15"/>
        <v>7949.43</v>
      </c>
      <c r="L53" t="s">
        <v>217</v>
      </c>
      <c r="M53" s="7" t="s">
        <v>109</v>
      </c>
    </row>
    <row r="54" spans="1:13">
      <c r="A54" t="s">
        <v>35</v>
      </c>
      <c r="B54" s="13">
        <v>45138</v>
      </c>
      <c r="C54" s="9" t="s">
        <v>21</v>
      </c>
      <c r="D54" s="24" t="s">
        <v>140</v>
      </c>
      <c r="E54" t="str">
        <f>INDEX(公司信息!C:C,MATCH(D54,公司信息!B:B,0))</f>
        <v>A.T.La Espada S.L</v>
      </c>
      <c r="F54" s="23" t="s">
        <v>219</v>
      </c>
      <c r="G54" s="1">
        <v>1595.68</v>
      </c>
      <c r="H54" s="2">
        <v>0</v>
      </c>
      <c r="I54" s="1">
        <f t="shared" ref="I54:I59" si="16">G54*H54</f>
        <v>0</v>
      </c>
      <c r="K54" s="1">
        <f t="shared" si="15"/>
        <v>1595.68</v>
      </c>
      <c r="L54" t="s">
        <v>220</v>
      </c>
      <c r="M54" s="7" t="s">
        <v>109</v>
      </c>
    </row>
    <row r="55" spans="1:13">
      <c r="A55" t="s">
        <v>35</v>
      </c>
      <c r="B55" s="13">
        <v>45138</v>
      </c>
      <c r="C55" s="9" t="s">
        <v>21</v>
      </c>
      <c r="D55" s="24" t="s">
        <v>140</v>
      </c>
      <c r="E55" t="str">
        <f>INDEX(公司信息!C:C,MATCH(D55,公司信息!B:B,0))</f>
        <v>A.T.La Espada S.L</v>
      </c>
      <c r="F55" s="23" t="s">
        <v>219</v>
      </c>
      <c r="G55" s="1">
        <v>355</v>
      </c>
      <c r="H55" s="2">
        <v>0.21</v>
      </c>
      <c r="I55" s="1">
        <f t="shared" si="16"/>
        <v>74.55</v>
      </c>
      <c r="K55" s="1">
        <f t="shared" si="15"/>
        <v>429.55</v>
      </c>
      <c r="L55" t="s">
        <v>220</v>
      </c>
      <c r="M55" s="7" t="s">
        <v>109</v>
      </c>
    </row>
    <row r="56" spans="1:13">
      <c r="A56" t="s">
        <v>32</v>
      </c>
      <c r="B56" s="13">
        <v>45142</v>
      </c>
      <c r="C56" s="9" t="s">
        <v>95</v>
      </c>
      <c r="D56" s="24" t="s">
        <v>90</v>
      </c>
      <c r="E56" t="str">
        <f>INDEX(公司信息!C:C,MATCH(D56,公司信息!B:B,0))</f>
        <v>SERVICOS DE COMUNICACOES E MULTIMEDIA S.A.</v>
      </c>
      <c r="F56" s="23" t="s">
        <v>221</v>
      </c>
      <c r="G56" s="1">
        <f>9.143-0.003</f>
        <v>9.14</v>
      </c>
      <c r="H56" s="2">
        <v>0.23</v>
      </c>
      <c r="I56" s="1">
        <f t="shared" si="16"/>
        <v>2.1022000000000003</v>
      </c>
      <c r="K56" s="1">
        <f t="shared" si="15"/>
        <v>11.2422</v>
      </c>
      <c r="L56" t="s">
        <v>120</v>
      </c>
      <c r="M56" s="7" t="s">
        <v>109</v>
      </c>
    </row>
    <row r="57" spans="1:13">
      <c r="A57" t="s">
        <v>30</v>
      </c>
      <c r="B57" s="13">
        <v>45149</v>
      </c>
      <c r="C57" s="9" t="s">
        <v>225</v>
      </c>
      <c r="D57" s="24" t="s">
        <v>222</v>
      </c>
      <c r="E57" t="str">
        <f>INDEX(公司信息!C:C,MATCH(D57,公司信息!B:B,0))</f>
        <v>CARLUS SEGURIDAD</v>
      </c>
      <c r="F57" s="23" t="s">
        <v>230</v>
      </c>
      <c r="G57" s="1">
        <v>220.5</v>
      </c>
      <c r="H57" s="2">
        <v>0.21</v>
      </c>
      <c r="I57" s="1">
        <f t="shared" si="16"/>
        <v>46.305</v>
      </c>
      <c r="K57" s="1">
        <f t="shared" ref="K57:K63" si="17">G57+I57+J57</f>
        <v>266.80500000000001</v>
      </c>
      <c r="L57" t="s">
        <v>231</v>
      </c>
      <c r="M57" s="7" t="s">
        <v>109</v>
      </c>
    </row>
    <row r="58" spans="1:13">
      <c r="A58" t="s">
        <v>35</v>
      </c>
      <c r="B58" s="13">
        <v>45151</v>
      </c>
      <c r="C58" s="9" t="s">
        <v>232</v>
      </c>
      <c r="D58" s="24" t="s">
        <v>234</v>
      </c>
      <c r="E58" t="str">
        <f>INDEX(公司信息!C:C,MATCH(D58,公司信息!B:B,0))</f>
        <v>CATARINA LOPES COELHO DE CASTRO</v>
      </c>
      <c r="F58" s="32" t="s">
        <v>240</v>
      </c>
      <c r="G58" s="1">
        <v>50.31</v>
      </c>
      <c r="H58" s="2">
        <v>0.21</v>
      </c>
      <c r="I58" s="1">
        <f t="shared" si="16"/>
        <v>10.565099999999999</v>
      </c>
      <c r="J58" s="1">
        <f>-15%*50.13</f>
        <v>-7.5194999999999999</v>
      </c>
      <c r="K58" s="1">
        <f t="shared" si="17"/>
        <v>53.355600000000003</v>
      </c>
      <c r="L58" t="s">
        <v>236</v>
      </c>
      <c r="M58" s="7" t="s">
        <v>109</v>
      </c>
    </row>
    <row r="59" spans="1:13" ht="15">
      <c r="A59" t="s">
        <v>30</v>
      </c>
      <c r="B59" s="13">
        <v>45105</v>
      </c>
      <c r="C59" s="9" t="s">
        <v>21</v>
      </c>
      <c r="D59" s="24" t="s">
        <v>245</v>
      </c>
      <c r="E59" t="str">
        <f>INDEX(公司信息!C:C,MATCH(D59,公司信息!B:B,0))</f>
        <v>MARESA</v>
      </c>
      <c r="F59" s="34" t="s">
        <v>246</v>
      </c>
      <c r="G59" s="1">
        <f>61.7+2.78+1.11</f>
        <v>65.59</v>
      </c>
      <c r="H59" s="2">
        <v>0.21</v>
      </c>
      <c r="I59" s="1">
        <f t="shared" si="16"/>
        <v>13.773899999999999</v>
      </c>
      <c r="K59" s="1">
        <f t="shared" si="17"/>
        <v>79.363900000000001</v>
      </c>
      <c r="L59" t="s">
        <v>247</v>
      </c>
      <c r="M59" s="7" t="s">
        <v>109</v>
      </c>
    </row>
    <row r="60" spans="1:13">
      <c r="A60" t="s">
        <v>35</v>
      </c>
      <c r="B60" s="13">
        <v>45152</v>
      </c>
      <c r="C60" s="9" t="s">
        <v>21</v>
      </c>
      <c r="D60" s="24" t="s">
        <v>140</v>
      </c>
      <c r="E60" t="str">
        <f>INDEX(公司信息!C:C,MATCH(D60,公司信息!B:B,0))</f>
        <v>A.T.La Espada S.L</v>
      </c>
      <c r="F60" s="23" t="s">
        <v>248</v>
      </c>
      <c r="G60" s="1">
        <f>611.6+26.19</f>
        <v>637.79000000000008</v>
      </c>
      <c r="H60" s="2">
        <v>0</v>
      </c>
      <c r="I60" s="1">
        <v>12239.49</v>
      </c>
      <c r="K60" s="1">
        <f t="shared" si="17"/>
        <v>12877.28</v>
      </c>
      <c r="L60" t="s">
        <v>251</v>
      </c>
      <c r="M60" s="7" t="s">
        <v>109</v>
      </c>
    </row>
    <row r="61" spans="1:13">
      <c r="A61" t="s">
        <v>35</v>
      </c>
      <c r="B61" s="13">
        <v>45152</v>
      </c>
      <c r="C61" s="9" t="s">
        <v>21</v>
      </c>
      <c r="D61" s="24" t="s">
        <v>140</v>
      </c>
      <c r="E61" t="str">
        <f>INDEX(公司信息!C:C,MATCH(D61,公司信息!B:B,0))</f>
        <v>A.T.La Espada S.L</v>
      </c>
      <c r="F61" s="23" t="s">
        <v>249</v>
      </c>
      <c r="G61" s="1">
        <v>22.59</v>
      </c>
      <c r="H61" s="2">
        <v>0</v>
      </c>
      <c r="I61" s="1">
        <v>8233.61</v>
      </c>
      <c r="K61" s="1">
        <f t="shared" si="17"/>
        <v>8256.2000000000007</v>
      </c>
      <c r="L61" t="s">
        <v>251</v>
      </c>
      <c r="M61" s="7" t="s">
        <v>109</v>
      </c>
    </row>
    <row r="62" spans="1:13">
      <c r="A62" t="s">
        <v>35</v>
      </c>
      <c r="B62" s="13">
        <v>45152</v>
      </c>
      <c r="C62" s="9" t="s">
        <v>21</v>
      </c>
      <c r="D62" s="24" t="s">
        <v>140</v>
      </c>
      <c r="E62" t="str">
        <f>INDEX(公司信息!C:C,MATCH(D62,公司信息!B:B,0))</f>
        <v>A.T.La Espada S.L</v>
      </c>
      <c r="F62" s="23" t="s">
        <v>250</v>
      </c>
      <c r="G62" s="1">
        <v>4359.2700000000004</v>
      </c>
      <c r="H62" s="2">
        <v>0</v>
      </c>
      <c r="I62" s="1">
        <f>G62*H62</f>
        <v>0</v>
      </c>
      <c r="K62" s="1">
        <f t="shared" si="17"/>
        <v>4359.2700000000004</v>
      </c>
      <c r="L62" t="s">
        <v>251</v>
      </c>
      <c r="M62" s="7" t="s">
        <v>109</v>
      </c>
    </row>
    <row r="63" spans="1:13">
      <c r="A63" t="s">
        <v>35</v>
      </c>
      <c r="E63" t="e">
        <f>INDEX(公司信息!C:C,MATCH(D63,公司信息!B:B,0))</f>
        <v>#N/A</v>
      </c>
      <c r="I63" s="1">
        <f>G63*H63</f>
        <v>0</v>
      </c>
      <c r="K63" s="1">
        <f t="shared" si="17"/>
        <v>0</v>
      </c>
    </row>
  </sheetData>
  <phoneticPr fontId="1" type="noConversion"/>
  <conditionalFormatting sqref="F1:F6 F8:F17 F19:F21 F23 F25:F28 F30 F33 F36:F43 F51:F57 F60:F1048576">
    <cfRule type="duplicateValues" dxfId="20" priority="21"/>
  </conditionalFormatting>
  <conditionalFormatting sqref="F1:F43 F51:F57 F60:F1048576">
    <cfRule type="duplicateValues" dxfId="19" priority="19"/>
  </conditionalFormatting>
  <conditionalFormatting sqref="F7">
    <cfRule type="duplicateValues" dxfId="18" priority="20"/>
  </conditionalFormatting>
  <conditionalFormatting sqref="F18">
    <cfRule type="duplicateValues" dxfId="17" priority="17"/>
    <cfRule type="duplicateValues" dxfId="16" priority="18"/>
  </conditionalFormatting>
  <conditionalFormatting sqref="F22">
    <cfRule type="duplicateValues" dxfId="15" priority="13"/>
    <cfRule type="duplicateValues" dxfId="14" priority="14"/>
  </conditionalFormatting>
  <conditionalFormatting sqref="F24">
    <cfRule type="duplicateValues" dxfId="13" priority="11"/>
    <cfRule type="duplicateValues" dxfId="12" priority="12"/>
  </conditionalFormatting>
  <conditionalFormatting sqref="F29">
    <cfRule type="duplicateValues" dxfId="11" priority="9"/>
    <cfRule type="duplicateValues" dxfId="10" priority="10"/>
  </conditionalFormatting>
  <conditionalFormatting sqref="F31">
    <cfRule type="duplicateValues" dxfId="9" priority="7"/>
    <cfRule type="duplicateValues" dxfId="8" priority="8"/>
  </conditionalFormatting>
  <conditionalFormatting sqref="F32">
    <cfRule type="duplicateValues" dxfId="7" priority="5"/>
    <cfRule type="duplicateValues" dxfId="6" priority="6"/>
  </conditionalFormatting>
  <conditionalFormatting sqref="F34">
    <cfRule type="duplicateValues" dxfId="5" priority="3"/>
    <cfRule type="duplicateValues" dxfId="4" priority="4"/>
  </conditionalFormatting>
  <conditionalFormatting sqref="F35">
    <cfRule type="duplicateValues" dxfId="3" priority="1"/>
    <cfRule type="duplicateValues" dxfId="2" priority="2"/>
  </conditionalFormatting>
  <conditionalFormatting sqref="M1:M1048576">
    <cfRule type="cellIs" dxfId="1" priority="15" operator="equal">
      <formula>"已登记"</formula>
    </cfRule>
    <cfRule type="cellIs" dxfId="0" priority="16" operator="equal">
      <formula>"未登记"</formula>
    </cfRule>
  </conditionalFormatting>
  <dataValidations count="5">
    <dataValidation type="list" allowBlank="1" showInputMessage="1" showErrorMessage="1" sqref="D1:D1048576" xr:uid="{00000000-0002-0000-0000-000000000000}">
      <formula1>公司税号</formula1>
    </dataValidation>
    <dataValidation type="list" allowBlank="1" showInputMessage="1" showErrorMessage="1" sqref="C1:C1048576" xr:uid="{00000000-0002-0000-0000-000001000000}">
      <formula1>业务类型</formula1>
    </dataValidation>
    <dataValidation type="list" allowBlank="1" showInputMessage="1" showErrorMessage="1" sqref="A1:A1048576" xr:uid="{00000000-0002-0000-0000-000002000000}">
      <formula1>归属公司</formula1>
    </dataValidation>
    <dataValidation type="list" allowBlank="1" showInputMessage="1" showErrorMessage="1" sqref="H1:H1048576" xr:uid="{00000000-0002-0000-0000-000003000000}">
      <formula1>税率</formula1>
    </dataValidation>
    <dataValidation type="list" allowBlank="1" showInputMessage="1" showErrorMessage="1" sqref="M1:M1048576" xr:uid="{00000000-0002-0000-0000-000004000000}">
      <formula1>"已登记,未登记"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tabSelected="1" workbookViewId="0">
      <pane ySplit="1" topLeftCell="A2" activePane="bottomLeft" state="frozen"/>
      <selection pane="bottomLeft" activeCell="G19" sqref="G19"/>
    </sheetView>
  </sheetViews>
  <sheetFormatPr defaultRowHeight="13.8"/>
  <cols>
    <col min="1" max="1" width="7" style="7" customWidth="1"/>
    <col min="2" max="2" width="17.6640625" style="31" customWidth="1"/>
    <col min="3" max="3" width="29.44140625" style="6" customWidth="1"/>
    <col min="4" max="4" width="22.109375" style="7" customWidth="1"/>
    <col min="5" max="5" width="39.5546875" style="6" customWidth="1"/>
    <col min="6" max="6" width="35.21875" style="6" customWidth="1"/>
    <col min="7" max="7" width="20.88671875" style="6" customWidth="1"/>
    <col min="8" max="8" width="12.109375" customWidth="1"/>
    <col min="9" max="10" width="15.109375" style="6" customWidth="1"/>
    <col min="11" max="11" width="21.109375" style="14" customWidth="1"/>
  </cols>
  <sheetData>
    <row r="1" spans="1:11">
      <c r="A1" s="17" t="s">
        <v>0</v>
      </c>
      <c r="B1" s="30" t="s">
        <v>20</v>
      </c>
      <c r="C1" s="17" t="s">
        <v>1</v>
      </c>
      <c r="D1" s="17" t="s">
        <v>201</v>
      </c>
      <c r="E1" s="17" t="s">
        <v>2</v>
      </c>
      <c r="F1" s="17" t="s">
        <v>3</v>
      </c>
      <c r="G1" s="17" t="s">
        <v>4</v>
      </c>
      <c r="H1" s="17" t="s">
        <v>5</v>
      </c>
      <c r="I1" s="17" t="s">
        <v>6</v>
      </c>
      <c r="J1" s="17" t="s">
        <v>58</v>
      </c>
      <c r="K1" s="18" t="s">
        <v>15</v>
      </c>
    </row>
    <row r="2" spans="1:11" ht="27.6">
      <c r="B2" s="31" t="s">
        <v>141</v>
      </c>
      <c r="C2" s="6" t="s">
        <v>142</v>
      </c>
      <c r="D2" s="7" t="s">
        <v>146</v>
      </c>
      <c r="E2" s="21" t="s">
        <v>143</v>
      </c>
      <c r="F2" s="6" t="s">
        <v>144</v>
      </c>
      <c r="J2" s="6" t="s">
        <v>145</v>
      </c>
      <c r="K2" s="14" t="s">
        <v>146</v>
      </c>
    </row>
    <row r="3" spans="1:11">
      <c r="B3" s="31" t="s">
        <v>178</v>
      </c>
      <c r="C3" s="6" t="s">
        <v>177</v>
      </c>
      <c r="D3" s="7" t="s">
        <v>208</v>
      </c>
      <c r="E3" s="15" t="s">
        <v>67</v>
      </c>
      <c r="F3" s="6" t="s">
        <v>175</v>
      </c>
      <c r="G3" s="6" t="s">
        <v>176</v>
      </c>
    </row>
    <row r="4" spans="1:11" ht="27.6">
      <c r="B4" s="31" t="s">
        <v>101</v>
      </c>
      <c r="C4" s="6" t="s">
        <v>102</v>
      </c>
      <c r="D4" s="7" t="s">
        <v>207</v>
      </c>
      <c r="E4" s="21" t="s">
        <v>103</v>
      </c>
      <c r="F4" s="6" t="s">
        <v>104</v>
      </c>
      <c r="J4" s="6" t="s">
        <v>105</v>
      </c>
      <c r="K4" s="14" t="s">
        <v>180</v>
      </c>
    </row>
    <row r="5" spans="1:11" ht="27.6">
      <c r="B5" s="31" t="s">
        <v>182</v>
      </c>
      <c r="C5" s="6" t="s">
        <v>161</v>
      </c>
      <c r="D5" s="7" t="s">
        <v>206</v>
      </c>
      <c r="E5" s="15" t="s">
        <v>162</v>
      </c>
      <c r="F5" s="6" t="s">
        <v>163</v>
      </c>
      <c r="G5" s="6" t="s">
        <v>164</v>
      </c>
      <c r="J5" s="6" t="s">
        <v>200</v>
      </c>
      <c r="K5" s="14" t="s">
        <v>165</v>
      </c>
    </row>
    <row r="6" spans="1:11" ht="27.6">
      <c r="A6" s="7">
        <v>2</v>
      </c>
      <c r="B6" s="31" t="s">
        <v>39</v>
      </c>
      <c r="C6" s="6" t="s">
        <v>40</v>
      </c>
      <c r="D6" s="7" t="s">
        <v>209</v>
      </c>
      <c r="E6" s="16" t="s">
        <v>55</v>
      </c>
      <c r="F6" s="6" t="s">
        <v>56</v>
      </c>
      <c r="I6" s="6" t="s">
        <v>42</v>
      </c>
      <c r="J6" s="6" t="s">
        <v>57</v>
      </c>
      <c r="K6" s="14" t="s">
        <v>43</v>
      </c>
    </row>
    <row r="7" spans="1:11" ht="27.6">
      <c r="B7" s="31" t="s">
        <v>185</v>
      </c>
      <c r="C7" s="6" t="s">
        <v>183</v>
      </c>
      <c r="D7" s="7" t="s">
        <v>210</v>
      </c>
      <c r="E7" s="21" t="s">
        <v>186</v>
      </c>
      <c r="J7" s="6" t="s">
        <v>60</v>
      </c>
    </row>
    <row r="8" spans="1:11" ht="27.6">
      <c r="B8" s="31" t="s">
        <v>91</v>
      </c>
      <c r="C8" s="6" t="s">
        <v>119</v>
      </c>
      <c r="E8" s="21" t="s">
        <v>93</v>
      </c>
      <c r="F8" s="6" t="s">
        <v>94</v>
      </c>
      <c r="J8" s="6" t="s">
        <v>70</v>
      </c>
    </row>
    <row r="9" spans="1:11">
      <c r="A9" s="7">
        <v>3</v>
      </c>
      <c r="B9" s="31" t="s">
        <v>19</v>
      </c>
      <c r="C9" s="6" t="s">
        <v>18</v>
      </c>
      <c r="E9" s="15" t="s">
        <v>65</v>
      </c>
      <c r="F9" s="6" t="s">
        <v>41</v>
      </c>
      <c r="G9" s="6" t="s">
        <v>17</v>
      </c>
      <c r="J9" s="6" t="s">
        <v>66</v>
      </c>
    </row>
    <row r="10" spans="1:11" ht="27.6">
      <c r="B10" s="31" t="s">
        <v>86</v>
      </c>
      <c r="C10" s="6" t="s">
        <v>68</v>
      </c>
      <c r="D10" s="7" t="s">
        <v>205</v>
      </c>
      <c r="E10" s="21" t="s">
        <v>92</v>
      </c>
      <c r="F10" s="6" t="s">
        <v>69</v>
      </c>
      <c r="J10" s="6" t="s">
        <v>70</v>
      </c>
    </row>
    <row r="11" spans="1:11" ht="27.6">
      <c r="A11" s="7">
        <v>1</v>
      </c>
      <c r="B11" s="31" t="s">
        <v>52</v>
      </c>
      <c r="C11" s="6" t="s">
        <v>51</v>
      </c>
      <c r="D11" s="7" t="s">
        <v>202</v>
      </c>
      <c r="E11" s="15" t="s">
        <v>59</v>
      </c>
      <c r="F11" s="21" t="s">
        <v>54</v>
      </c>
      <c r="G11" s="6" t="s">
        <v>50</v>
      </c>
      <c r="J11" s="6" t="s">
        <v>60</v>
      </c>
      <c r="K11" s="14" t="s">
        <v>53</v>
      </c>
    </row>
    <row r="12" spans="1:11" ht="27.6">
      <c r="B12" s="31" t="s">
        <v>134</v>
      </c>
      <c r="C12" s="6" t="s">
        <v>132</v>
      </c>
      <c r="D12" s="7" t="s">
        <v>203</v>
      </c>
      <c r="E12" s="21" t="s">
        <v>124</v>
      </c>
      <c r="F12" s="6" t="s">
        <v>135</v>
      </c>
      <c r="J12" s="6" t="s">
        <v>136</v>
      </c>
      <c r="K12" s="14" t="s">
        <v>137</v>
      </c>
    </row>
    <row r="13" spans="1:11" ht="27.6">
      <c r="B13" s="31" t="s">
        <v>179</v>
      </c>
      <c r="C13" s="6" t="s">
        <v>123</v>
      </c>
      <c r="D13" s="7" t="s">
        <v>204</v>
      </c>
      <c r="E13" s="21" t="s">
        <v>124</v>
      </c>
      <c r="F13" s="6" t="s">
        <v>125</v>
      </c>
      <c r="J13" s="6" t="s">
        <v>126</v>
      </c>
      <c r="K13" s="14" t="s">
        <v>127</v>
      </c>
    </row>
    <row r="14" spans="1:11" ht="27.6">
      <c r="B14" s="31" t="s">
        <v>150</v>
      </c>
      <c r="C14" s="6" t="s">
        <v>158</v>
      </c>
      <c r="D14" s="7" t="s">
        <v>211</v>
      </c>
      <c r="E14" s="21" t="s">
        <v>151</v>
      </c>
      <c r="F14" s="6" t="s">
        <v>152</v>
      </c>
      <c r="J14" s="6" t="s">
        <v>153</v>
      </c>
      <c r="K14" s="14" t="s">
        <v>156</v>
      </c>
    </row>
    <row r="15" spans="1:11" ht="27.6">
      <c r="B15" s="31" t="s">
        <v>213</v>
      </c>
      <c r="C15" s="6" t="s">
        <v>214</v>
      </c>
      <c r="D15" s="7" t="s">
        <v>215</v>
      </c>
      <c r="E15" s="21" t="s">
        <v>218</v>
      </c>
      <c r="J15" s="6" t="s">
        <v>126</v>
      </c>
    </row>
    <row r="16" spans="1:11" ht="27.6">
      <c r="B16" s="31" t="s">
        <v>223</v>
      </c>
      <c r="C16" s="6" t="s">
        <v>224</v>
      </c>
      <c r="D16" s="7" t="s">
        <v>226</v>
      </c>
      <c r="E16" s="21" t="s">
        <v>227</v>
      </c>
      <c r="F16" s="6" t="s">
        <v>228</v>
      </c>
      <c r="J16" s="6" t="s">
        <v>60</v>
      </c>
      <c r="K16" s="14" t="s">
        <v>229</v>
      </c>
    </row>
    <row r="17" spans="2:11">
      <c r="B17" s="31" t="s">
        <v>235</v>
      </c>
      <c r="C17" s="6" t="s">
        <v>237</v>
      </c>
      <c r="D17" s="7" t="s">
        <v>238</v>
      </c>
      <c r="E17" s="6" t="s">
        <v>239</v>
      </c>
      <c r="J17" s="6" t="s">
        <v>126</v>
      </c>
    </row>
    <row r="18" spans="2:11">
      <c r="B18" s="33" t="s">
        <v>245</v>
      </c>
      <c r="C18" s="6" t="s">
        <v>241</v>
      </c>
      <c r="E18" s="15" t="s">
        <v>242</v>
      </c>
      <c r="F18" s="6" t="s">
        <v>243</v>
      </c>
      <c r="G18" s="6" t="s">
        <v>244</v>
      </c>
      <c r="J18" s="6" t="s">
        <v>60</v>
      </c>
    </row>
    <row r="19" spans="2:11">
      <c r="C19" s="6" t="s">
        <v>252</v>
      </c>
      <c r="D19" s="7" t="s">
        <v>155</v>
      </c>
      <c r="E19" s="15" t="s">
        <v>253</v>
      </c>
      <c r="F19" s="6" t="s">
        <v>254</v>
      </c>
      <c r="G19" s="6">
        <v>151471</v>
      </c>
      <c r="J19" s="6" t="s">
        <v>60</v>
      </c>
      <c r="K19" s="14" t="s">
        <v>255</v>
      </c>
    </row>
  </sheetData>
  <phoneticPr fontId="1" type="noConversion"/>
  <hyperlinks>
    <hyperlink ref="E9" r:id="rId1" xr:uid="{00000000-0004-0000-0100-000000000000}"/>
    <hyperlink ref="E6" r:id="rId2" xr:uid="{00000000-0004-0000-0100-000001000000}"/>
    <hyperlink ref="E11" r:id="rId3" xr:uid="{00000000-0004-0000-0100-000002000000}"/>
    <hyperlink ref="E3" r:id="rId4" xr:uid="{00000000-0004-0000-0100-000003000000}"/>
    <hyperlink ref="E5" r:id="rId5" xr:uid="{00000000-0004-0000-0100-000004000000}"/>
    <hyperlink ref="E18" r:id="rId6" xr:uid="{CF839A56-B2D1-43ED-B22C-DA62B1742E81}"/>
    <hyperlink ref="E19" r:id="rId7" xr:uid="{807C17FF-AAD3-46D3-840A-CD0905AA9557}"/>
  </hyperlinks>
  <pageMargins left="0.7" right="0.7" top="0.75" bottom="0.75" header="0.3" footer="0.3"/>
  <legacyDrawing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1"/>
  <sheetViews>
    <sheetView workbookViewId="0">
      <pane ySplit="1" topLeftCell="A2" activePane="bottomLeft" state="frozen"/>
      <selection pane="bottomLeft" activeCell="B25" sqref="B25"/>
    </sheetView>
  </sheetViews>
  <sheetFormatPr defaultRowHeight="13.8"/>
  <cols>
    <col min="2" max="2" width="21.109375" customWidth="1"/>
    <col min="4" max="4" width="38.6640625" customWidth="1"/>
    <col min="5" max="5" width="17.6640625" customWidth="1"/>
    <col min="7" max="7" width="8.88671875" style="2"/>
  </cols>
  <sheetData>
    <row r="1" spans="2:9" ht="15.6">
      <c r="B1" s="29" t="s">
        <v>16</v>
      </c>
      <c r="C1" s="10"/>
      <c r="D1" s="11" t="s">
        <v>28</v>
      </c>
      <c r="E1" s="11" t="s">
        <v>29</v>
      </c>
      <c r="G1" s="20" t="s">
        <v>47</v>
      </c>
    </row>
    <row r="2" spans="2:9">
      <c r="B2" t="s">
        <v>22</v>
      </c>
      <c r="D2" t="s">
        <v>31</v>
      </c>
      <c r="E2" t="s">
        <v>49</v>
      </c>
      <c r="G2" s="2">
        <v>0</v>
      </c>
    </row>
    <row r="3" spans="2:9">
      <c r="B3" t="s">
        <v>23</v>
      </c>
      <c r="D3" t="s">
        <v>33</v>
      </c>
      <c r="E3" t="s">
        <v>34</v>
      </c>
      <c r="G3" s="2">
        <v>0.05</v>
      </c>
      <c r="I3" s="2"/>
    </row>
    <row r="4" spans="2:9">
      <c r="B4" t="s">
        <v>24</v>
      </c>
      <c r="D4" t="s">
        <v>36</v>
      </c>
      <c r="E4" t="s">
        <v>37</v>
      </c>
      <c r="G4" s="2">
        <v>5.1999999999999998E-2</v>
      </c>
      <c r="I4" s="2"/>
    </row>
    <row r="5" spans="2:9">
      <c r="B5" t="s">
        <v>84</v>
      </c>
      <c r="G5" s="2">
        <v>0.06</v>
      </c>
      <c r="I5" s="2"/>
    </row>
    <row r="6" spans="2:9">
      <c r="B6" t="s">
        <v>96</v>
      </c>
      <c r="G6" s="2">
        <v>0.1</v>
      </c>
      <c r="I6" s="2"/>
    </row>
    <row r="7" spans="2:9">
      <c r="B7" t="s">
        <v>107</v>
      </c>
      <c r="G7" s="2">
        <v>0.21</v>
      </c>
      <c r="I7" s="2"/>
    </row>
    <row r="8" spans="2:9">
      <c r="B8" t="s">
        <v>131</v>
      </c>
      <c r="G8" s="2">
        <v>0.23</v>
      </c>
    </row>
    <row r="9" spans="2:9">
      <c r="B9" t="s">
        <v>155</v>
      </c>
    </row>
    <row r="10" spans="2:9">
      <c r="B10" t="s">
        <v>226</v>
      </c>
    </row>
    <row r="11" spans="2:9">
      <c r="B11" t="s">
        <v>233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>
      <selection activeCell="G20" sqref="G20"/>
    </sheetView>
  </sheetViews>
  <sheetFormatPr defaultRowHeight="13.8"/>
  <cols>
    <col min="1" max="1" width="35.6640625" customWidth="1"/>
  </cols>
  <sheetData>
    <row r="1" spans="1:3">
      <c r="A1" s="25" t="s">
        <v>82</v>
      </c>
      <c r="B1" s="26">
        <v>48</v>
      </c>
      <c r="C1" s="27">
        <v>8.98</v>
      </c>
    </row>
    <row r="2" spans="1:3">
      <c r="A2" s="25" t="s">
        <v>87</v>
      </c>
      <c r="B2" s="26">
        <v>5.25</v>
      </c>
      <c r="C2" s="27">
        <v>0.98</v>
      </c>
    </row>
    <row r="3" spans="1:3">
      <c r="A3" s="25" t="s">
        <v>71</v>
      </c>
      <c r="B3" s="26">
        <v>3.6</v>
      </c>
      <c r="C3" s="27">
        <v>0.67</v>
      </c>
    </row>
    <row r="4" spans="1:3">
      <c r="A4" s="25" t="s">
        <v>72</v>
      </c>
      <c r="B4" s="26">
        <v>4.4000000000000004</v>
      </c>
      <c r="C4" s="27">
        <v>0.82</v>
      </c>
    </row>
    <row r="5" spans="1:3">
      <c r="A5" s="25" t="s">
        <v>73</v>
      </c>
      <c r="B5" s="26">
        <v>1.2</v>
      </c>
      <c r="C5" s="27">
        <v>0.22</v>
      </c>
    </row>
    <row r="6" spans="1:3">
      <c r="A6" s="25" t="s">
        <v>74</v>
      </c>
      <c r="B6" s="26">
        <v>7.05</v>
      </c>
      <c r="C6" s="27">
        <v>0.4</v>
      </c>
    </row>
    <row r="7" spans="1:3">
      <c r="A7" s="25" t="s">
        <v>75</v>
      </c>
      <c r="B7" s="26">
        <v>6.9</v>
      </c>
      <c r="C7" s="27">
        <v>1.29</v>
      </c>
    </row>
    <row r="8" spans="1:3">
      <c r="A8" s="25" t="s">
        <v>76</v>
      </c>
      <c r="B8" s="26">
        <v>2.2000000000000002</v>
      </c>
      <c r="C8" s="27">
        <v>0.41</v>
      </c>
    </row>
    <row r="9" spans="1:3">
      <c r="B9" s="28">
        <f>SUM(B1:B8)</f>
        <v>78.600000000000009</v>
      </c>
      <c r="C9" s="28">
        <f>SUM(C1:C8)</f>
        <v>13.770000000000003</v>
      </c>
    </row>
    <row r="14" spans="1:3">
      <c r="A14" t="s">
        <v>77</v>
      </c>
      <c r="B14">
        <v>23.15</v>
      </c>
    </row>
    <row r="15" spans="1:3">
      <c r="A15" t="s">
        <v>78</v>
      </c>
      <c r="B15">
        <v>20.100000000000001</v>
      </c>
    </row>
    <row r="16" spans="1:3">
      <c r="A16" t="s">
        <v>79</v>
      </c>
      <c r="B16">
        <v>28.45</v>
      </c>
    </row>
    <row r="17" spans="1:2">
      <c r="A17" t="s">
        <v>80</v>
      </c>
      <c r="B17">
        <v>4.5999999999999996</v>
      </c>
    </row>
    <row r="18" spans="1:2">
      <c r="A18" t="s">
        <v>81</v>
      </c>
      <c r="B18">
        <v>2.2999999999999998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发票登记</vt:lpstr>
      <vt:lpstr>公司信息</vt:lpstr>
      <vt:lpstr>数据维护</vt:lpstr>
      <vt:lpstr>Sheet1</vt:lpstr>
      <vt:lpstr>公司税号</vt:lpstr>
      <vt:lpstr>归属公司</vt:lpstr>
      <vt:lpstr>税率</vt:lpstr>
      <vt:lpstr>业务类型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2023-09-04T14:14:40Z</dcterms:modified>
</cp:coreProperties>
</file>