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maresa 运输公司\"/>
    </mc:Choice>
  </mc:AlternateContent>
  <xr:revisionPtr revIDLastSave="0" documentId="13_ncr:1_{D89327DB-910E-445A-B38E-FF4C46980389}" xr6:coauthVersionLast="45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年合同单价" sheetId="1" r:id="rId1"/>
    <sheet name="运输发票" sheetId="2" r:id="rId2"/>
    <sheet name="数据维护" sheetId="4" r:id="rId3"/>
    <sheet name="运输价格查询" sheetId="3" r:id="rId4"/>
  </sheets>
  <definedNames>
    <definedName name="_xlnm._FilterDatabase" localSheetId="2" hidden="1">数据维护!$A$1:$A$9</definedName>
    <definedName name="运输目的地">数据维护!$A$2:$A$9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4" i="2"/>
  <c r="Z86" i="2"/>
  <c r="Y89" i="2"/>
  <c r="Y80" i="2"/>
  <c r="X80" i="2"/>
  <c r="Z90" i="2" l="1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89" i="2"/>
  <c r="W89" i="2"/>
  <c r="X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S89" i="2"/>
  <c r="U89" i="2" s="1"/>
  <c r="T89" i="2"/>
  <c r="V89" i="2" s="1"/>
  <c r="S90" i="2"/>
  <c r="U90" i="2" s="1"/>
  <c r="T90" i="2"/>
  <c r="V90" i="2" s="1"/>
  <c r="S91" i="2"/>
  <c r="U91" i="2" s="1"/>
  <c r="T91" i="2"/>
  <c r="V91" i="2" s="1"/>
  <c r="S92" i="2"/>
  <c r="U92" i="2" s="1"/>
  <c r="T92" i="2"/>
  <c r="V92" i="2" s="1"/>
  <c r="S93" i="2"/>
  <c r="U93" i="2" s="1"/>
  <c r="T93" i="2"/>
  <c r="V93" i="2" s="1"/>
  <c r="S94" i="2"/>
  <c r="U94" i="2" s="1"/>
  <c r="T94" i="2"/>
  <c r="V94" i="2" s="1"/>
  <c r="S95" i="2"/>
  <c r="U95" i="2" s="1"/>
  <c r="T95" i="2"/>
  <c r="V95" i="2" s="1"/>
  <c r="S96" i="2"/>
  <c r="U96" i="2" s="1"/>
  <c r="T96" i="2"/>
  <c r="V96" i="2" s="1"/>
  <c r="S97" i="2"/>
  <c r="U97" i="2" s="1"/>
  <c r="T97" i="2"/>
  <c r="V97" i="2" s="1"/>
  <c r="S98" i="2"/>
  <c r="U98" i="2" s="1"/>
  <c r="T98" i="2"/>
  <c r="V98" i="2" s="1"/>
  <c r="S99" i="2"/>
  <c r="U99" i="2" s="1"/>
  <c r="T99" i="2"/>
  <c r="V99" i="2" s="1"/>
  <c r="S100" i="2"/>
  <c r="U100" i="2" s="1"/>
  <c r="T100" i="2"/>
  <c r="V100" i="2" s="1"/>
  <c r="S101" i="2"/>
  <c r="U101" i="2" s="1"/>
  <c r="T101" i="2"/>
  <c r="V101" i="2" s="1"/>
  <c r="S102" i="2"/>
  <c r="U102" i="2" s="1"/>
  <c r="T102" i="2"/>
  <c r="V102" i="2" s="1"/>
  <c r="S103" i="2"/>
  <c r="U103" i="2" s="1"/>
  <c r="T103" i="2"/>
  <c r="V103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Q96" i="2"/>
  <c r="Q97" i="2"/>
  <c r="R97" i="2" s="1"/>
  <c r="Q98" i="2"/>
  <c r="Q99" i="2"/>
  <c r="R99" i="2" s="1"/>
  <c r="Q100" i="2"/>
  <c r="R100" i="2" s="1"/>
  <c r="Q101" i="2"/>
  <c r="R101" i="2" s="1"/>
  <c r="Q102" i="2"/>
  <c r="R102" i="2" s="1"/>
  <c r="Q103" i="2"/>
  <c r="Q89" i="2"/>
  <c r="R89" i="2" s="1"/>
  <c r="R95" i="2"/>
  <c r="R96" i="2"/>
  <c r="R98" i="2"/>
  <c r="R103" i="2"/>
  <c r="R72" i="2"/>
  <c r="X73" i="2"/>
  <c r="X74" i="2"/>
  <c r="X75" i="2"/>
  <c r="X76" i="2"/>
  <c r="X77" i="2"/>
  <c r="X78" i="2"/>
  <c r="X79" i="2"/>
  <c r="X81" i="2"/>
  <c r="X82" i="2"/>
  <c r="X83" i="2"/>
  <c r="X84" i="2"/>
  <c r="X85" i="2"/>
  <c r="X86" i="2"/>
  <c r="X87" i="2"/>
  <c r="X88" i="2"/>
  <c r="X72" i="2"/>
  <c r="Y73" i="2"/>
  <c r="Y74" i="2"/>
  <c r="Y75" i="2"/>
  <c r="Y76" i="2"/>
  <c r="Y77" i="2"/>
  <c r="Y78" i="2"/>
  <c r="Y79" i="2"/>
  <c r="Y81" i="2"/>
  <c r="Y82" i="2"/>
  <c r="Y83" i="2"/>
  <c r="Y84" i="2"/>
  <c r="Y85" i="2"/>
  <c r="Y86" i="2"/>
  <c r="Y87" i="2"/>
  <c r="Y88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4" i="2"/>
  <c r="Y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7" i="2"/>
  <c r="Z88" i="2"/>
  <c r="Z72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S72" i="2"/>
  <c r="U72" i="2" s="1"/>
  <c r="T72" i="2"/>
  <c r="V72" i="2" s="1"/>
  <c r="S73" i="2"/>
  <c r="U73" i="2" s="1"/>
  <c r="T73" i="2"/>
  <c r="V73" i="2" s="1"/>
  <c r="S74" i="2"/>
  <c r="U74" i="2" s="1"/>
  <c r="T74" i="2"/>
  <c r="V74" i="2" s="1"/>
  <c r="S75" i="2"/>
  <c r="U75" i="2" s="1"/>
  <c r="T75" i="2"/>
  <c r="V75" i="2" s="1"/>
  <c r="S76" i="2"/>
  <c r="U76" i="2" s="1"/>
  <c r="T76" i="2"/>
  <c r="V76" i="2" s="1"/>
  <c r="S77" i="2"/>
  <c r="U77" i="2" s="1"/>
  <c r="T77" i="2"/>
  <c r="V77" i="2" s="1"/>
  <c r="S78" i="2"/>
  <c r="U78" i="2" s="1"/>
  <c r="T78" i="2"/>
  <c r="V78" i="2" s="1"/>
  <c r="S79" i="2"/>
  <c r="U79" i="2" s="1"/>
  <c r="T79" i="2"/>
  <c r="V79" i="2" s="1"/>
  <c r="S80" i="2"/>
  <c r="U80" i="2" s="1"/>
  <c r="T80" i="2"/>
  <c r="V80" i="2" s="1"/>
  <c r="S81" i="2"/>
  <c r="U81" i="2" s="1"/>
  <c r="T81" i="2"/>
  <c r="V81" i="2" s="1"/>
  <c r="S82" i="2"/>
  <c r="U82" i="2" s="1"/>
  <c r="T82" i="2"/>
  <c r="V82" i="2" s="1"/>
  <c r="S83" i="2"/>
  <c r="U83" i="2" s="1"/>
  <c r="T83" i="2"/>
  <c r="V83" i="2" s="1"/>
  <c r="S84" i="2"/>
  <c r="U84" i="2" s="1"/>
  <c r="T84" i="2"/>
  <c r="V84" i="2" s="1"/>
  <c r="S85" i="2"/>
  <c r="U85" i="2" s="1"/>
  <c r="T85" i="2"/>
  <c r="V85" i="2" s="1"/>
  <c r="S86" i="2"/>
  <c r="U86" i="2" s="1"/>
  <c r="T86" i="2"/>
  <c r="V86" i="2" s="1"/>
  <c r="S87" i="2"/>
  <c r="U87" i="2" s="1"/>
  <c r="T87" i="2"/>
  <c r="V87" i="2" s="1"/>
  <c r="S88" i="2"/>
  <c r="U88" i="2" s="1"/>
  <c r="T88" i="2"/>
  <c r="V88" i="2" s="1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C5" i="3"/>
  <c r="C10" i="3" s="1"/>
  <c r="C11" i="3" s="1"/>
  <c r="C12" i="3" s="1"/>
  <c r="C9" i="3"/>
  <c r="C15" i="3" s="1"/>
  <c r="C16" i="3"/>
  <c r="C8" i="3"/>
  <c r="C7" i="3"/>
  <c r="C6" i="3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4" i="2"/>
  <c r="X8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X67" i="2"/>
  <c r="X68" i="2"/>
  <c r="X69" i="2"/>
  <c r="X70" i="2"/>
  <c r="X71" i="2"/>
  <c r="X66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42" i="2"/>
  <c r="X41" i="2"/>
  <c r="S41" i="2"/>
  <c r="U41" i="2" s="1"/>
  <c r="T41" i="2"/>
  <c r="V41" i="2" s="1"/>
  <c r="W41" i="2"/>
  <c r="S42" i="2"/>
  <c r="U42" i="2" s="1"/>
  <c r="T42" i="2"/>
  <c r="V42" i="2" s="1"/>
  <c r="W42" i="2"/>
  <c r="S43" i="2"/>
  <c r="U43" i="2" s="1"/>
  <c r="T43" i="2"/>
  <c r="V43" i="2" s="1"/>
  <c r="W43" i="2"/>
  <c r="S44" i="2"/>
  <c r="U44" i="2" s="1"/>
  <c r="T44" i="2"/>
  <c r="V44" i="2" s="1"/>
  <c r="W44" i="2"/>
  <c r="S45" i="2"/>
  <c r="U45" i="2" s="1"/>
  <c r="T45" i="2"/>
  <c r="V45" i="2" s="1"/>
  <c r="W45" i="2"/>
  <c r="S46" i="2"/>
  <c r="U46" i="2" s="1"/>
  <c r="T46" i="2"/>
  <c r="V46" i="2" s="1"/>
  <c r="W46" i="2"/>
  <c r="S47" i="2"/>
  <c r="U47" i="2" s="1"/>
  <c r="T47" i="2"/>
  <c r="V47" i="2" s="1"/>
  <c r="W47" i="2"/>
  <c r="S48" i="2"/>
  <c r="U48" i="2" s="1"/>
  <c r="T48" i="2"/>
  <c r="V48" i="2" s="1"/>
  <c r="W48" i="2"/>
  <c r="S49" i="2"/>
  <c r="U49" i="2" s="1"/>
  <c r="T49" i="2"/>
  <c r="V49" i="2" s="1"/>
  <c r="W49" i="2"/>
  <c r="S50" i="2"/>
  <c r="U50" i="2" s="1"/>
  <c r="T50" i="2"/>
  <c r="V50" i="2" s="1"/>
  <c r="W50" i="2"/>
  <c r="S51" i="2"/>
  <c r="U51" i="2" s="1"/>
  <c r="T51" i="2"/>
  <c r="V51" i="2" s="1"/>
  <c r="W51" i="2"/>
  <c r="S52" i="2"/>
  <c r="U52" i="2" s="1"/>
  <c r="T52" i="2"/>
  <c r="V52" i="2" s="1"/>
  <c r="W52" i="2"/>
  <c r="S53" i="2"/>
  <c r="U53" i="2" s="1"/>
  <c r="T53" i="2"/>
  <c r="V53" i="2" s="1"/>
  <c r="W53" i="2"/>
  <c r="S54" i="2"/>
  <c r="U54" i="2" s="1"/>
  <c r="T54" i="2"/>
  <c r="V54" i="2" s="1"/>
  <c r="W54" i="2"/>
  <c r="S55" i="2"/>
  <c r="U55" i="2" s="1"/>
  <c r="T55" i="2"/>
  <c r="V55" i="2" s="1"/>
  <c r="W55" i="2"/>
  <c r="S56" i="2"/>
  <c r="U56" i="2" s="1"/>
  <c r="T56" i="2"/>
  <c r="V56" i="2" s="1"/>
  <c r="W56" i="2"/>
  <c r="S57" i="2"/>
  <c r="U57" i="2" s="1"/>
  <c r="T57" i="2"/>
  <c r="V57" i="2" s="1"/>
  <c r="W57" i="2"/>
  <c r="S58" i="2"/>
  <c r="U58" i="2" s="1"/>
  <c r="T58" i="2"/>
  <c r="V58" i="2" s="1"/>
  <c r="W58" i="2"/>
  <c r="S59" i="2"/>
  <c r="U59" i="2" s="1"/>
  <c r="T59" i="2"/>
  <c r="V59" i="2" s="1"/>
  <c r="W59" i="2"/>
  <c r="S60" i="2"/>
  <c r="U60" i="2" s="1"/>
  <c r="T60" i="2"/>
  <c r="V60" i="2" s="1"/>
  <c r="W60" i="2"/>
  <c r="S61" i="2"/>
  <c r="U61" i="2" s="1"/>
  <c r="T61" i="2"/>
  <c r="V61" i="2" s="1"/>
  <c r="W61" i="2"/>
  <c r="S62" i="2"/>
  <c r="U62" i="2" s="1"/>
  <c r="T62" i="2"/>
  <c r="V62" i="2" s="1"/>
  <c r="W62" i="2"/>
  <c r="S63" i="2"/>
  <c r="U63" i="2" s="1"/>
  <c r="T63" i="2"/>
  <c r="V63" i="2" s="1"/>
  <c r="W63" i="2"/>
  <c r="S64" i="2"/>
  <c r="U64" i="2" s="1"/>
  <c r="T64" i="2"/>
  <c r="V64" i="2" s="1"/>
  <c r="W64" i="2"/>
  <c r="S65" i="2"/>
  <c r="U65" i="2" s="1"/>
  <c r="T65" i="2"/>
  <c r="V65" i="2" s="1"/>
  <c r="W65" i="2"/>
  <c r="S66" i="2"/>
  <c r="U66" i="2" s="1"/>
  <c r="T66" i="2"/>
  <c r="V66" i="2" s="1"/>
  <c r="W66" i="2"/>
  <c r="S67" i="2"/>
  <c r="U67" i="2" s="1"/>
  <c r="T67" i="2"/>
  <c r="V67" i="2" s="1"/>
  <c r="W67" i="2"/>
  <c r="S68" i="2"/>
  <c r="U68" i="2" s="1"/>
  <c r="T68" i="2"/>
  <c r="V68" i="2" s="1"/>
  <c r="W68" i="2"/>
  <c r="S69" i="2"/>
  <c r="U69" i="2" s="1"/>
  <c r="T69" i="2"/>
  <c r="V69" i="2" s="1"/>
  <c r="W69" i="2"/>
  <c r="S70" i="2"/>
  <c r="U70" i="2" s="1"/>
  <c r="T70" i="2"/>
  <c r="V70" i="2" s="1"/>
  <c r="W70" i="2"/>
  <c r="S71" i="2"/>
  <c r="U71" i="2" s="1"/>
  <c r="T71" i="2"/>
  <c r="V71" i="2" s="1"/>
  <c r="W71" i="2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40" i="2"/>
  <c r="R40" i="2" s="1"/>
  <c r="X4" i="2"/>
  <c r="X5" i="2"/>
  <c r="X6" i="2"/>
  <c r="X7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R31" i="2"/>
  <c r="Q15" i="2"/>
  <c r="Q27" i="2"/>
  <c r="R27" i="2" s="1"/>
  <c r="Q39" i="2"/>
  <c r="R39" i="2" s="1"/>
  <c r="Q38" i="2"/>
  <c r="R38" i="2" s="1"/>
  <c r="Q37" i="2"/>
  <c r="R37" i="2" s="1"/>
  <c r="R36" i="2"/>
  <c r="Q35" i="2"/>
  <c r="R35" i="2" s="1"/>
  <c r="Q34" i="2"/>
  <c r="R34" i="2" s="1"/>
  <c r="Q33" i="2"/>
  <c r="R33" i="2" s="1"/>
  <c r="R32" i="2"/>
  <c r="Q30" i="2"/>
  <c r="R30" i="2" s="1"/>
  <c r="Q29" i="2"/>
  <c r="R29" i="2" s="1"/>
  <c r="Q28" i="2"/>
  <c r="R28" i="2" s="1"/>
  <c r="S27" i="2"/>
  <c r="U27" i="2" s="1"/>
  <c r="T27" i="2"/>
  <c r="V27" i="2" s="1"/>
  <c r="W27" i="2"/>
  <c r="S28" i="2"/>
  <c r="U28" i="2" s="1"/>
  <c r="T28" i="2"/>
  <c r="V28" i="2" s="1"/>
  <c r="W28" i="2"/>
  <c r="S29" i="2"/>
  <c r="U29" i="2" s="1"/>
  <c r="T29" i="2"/>
  <c r="V29" i="2" s="1"/>
  <c r="W29" i="2"/>
  <c r="S30" i="2"/>
  <c r="U30" i="2" s="1"/>
  <c r="T30" i="2"/>
  <c r="V30" i="2" s="1"/>
  <c r="W30" i="2"/>
  <c r="S31" i="2"/>
  <c r="U31" i="2" s="1"/>
  <c r="T31" i="2"/>
  <c r="V31" i="2" s="1"/>
  <c r="W31" i="2"/>
  <c r="S32" i="2"/>
  <c r="U32" i="2" s="1"/>
  <c r="T32" i="2"/>
  <c r="V32" i="2" s="1"/>
  <c r="W32" i="2"/>
  <c r="S33" i="2"/>
  <c r="U33" i="2" s="1"/>
  <c r="T33" i="2"/>
  <c r="V33" i="2" s="1"/>
  <c r="W33" i="2"/>
  <c r="S34" i="2"/>
  <c r="U34" i="2" s="1"/>
  <c r="T34" i="2"/>
  <c r="V34" i="2" s="1"/>
  <c r="W34" i="2"/>
  <c r="S35" i="2"/>
  <c r="U35" i="2" s="1"/>
  <c r="T35" i="2"/>
  <c r="V35" i="2" s="1"/>
  <c r="W35" i="2"/>
  <c r="S36" i="2"/>
  <c r="U36" i="2" s="1"/>
  <c r="T36" i="2"/>
  <c r="V36" i="2" s="1"/>
  <c r="W36" i="2"/>
  <c r="S37" i="2"/>
  <c r="U37" i="2" s="1"/>
  <c r="T37" i="2"/>
  <c r="V37" i="2" s="1"/>
  <c r="W37" i="2"/>
  <c r="S38" i="2"/>
  <c r="U38" i="2" s="1"/>
  <c r="T38" i="2"/>
  <c r="V38" i="2" s="1"/>
  <c r="W38" i="2"/>
  <c r="S39" i="2"/>
  <c r="U39" i="2" s="1"/>
  <c r="T39" i="2"/>
  <c r="V39" i="2" s="1"/>
  <c r="W39" i="2"/>
  <c r="S40" i="2"/>
  <c r="U40" i="2" s="1"/>
  <c r="T40" i="2"/>
  <c r="V40" i="2" s="1"/>
  <c r="W40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S4" i="2"/>
  <c r="U4" i="2" s="1"/>
  <c r="T4" i="2"/>
  <c r="V4" i="2" s="1"/>
  <c r="S5" i="2"/>
  <c r="U5" i="2" s="1"/>
  <c r="T5" i="2"/>
  <c r="V5" i="2" s="1"/>
  <c r="S6" i="2"/>
  <c r="U6" i="2" s="1"/>
  <c r="T6" i="2"/>
  <c r="V6" i="2" s="1"/>
  <c r="S7" i="2"/>
  <c r="U7" i="2" s="1"/>
  <c r="T7" i="2"/>
  <c r="V7" i="2" s="1"/>
  <c r="S8" i="2"/>
  <c r="U8" i="2" s="1"/>
  <c r="T8" i="2"/>
  <c r="V8" i="2" s="1"/>
  <c r="S9" i="2"/>
  <c r="U9" i="2" s="1"/>
  <c r="T9" i="2"/>
  <c r="V9" i="2" s="1"/>
  <c r="S10" i="2"/>
  <c r="U10" i="2" s="1"/>
  <c r="T10" i="2"/>
  <c r="V10" i="2" s="1"/>
  <c r="S11" i="2"/>
  <c r="U11" i="2" s="1"/>
  <c r="T11" i="2"/>
  <c r="V11" i="2" s="1"/>
  <c r="S12" i="2"/>
  <c r="U12" i="2" s="1"/>
  <c r="T12" i="2"/>
  <c r="V12" i="2" s="1"/>
  <c r="S13" i="2"/>
  <c r="U13" i="2" s="1"/>
  <c r="T13" i="2"/>
  <c r="V13" i="2" s="1"/>
  <c r="S14" i="2"/>
  <c r="U14" i="2" s="1"/>
  <c r="T14" i="2"/>
  <c r="V14" i="2" s="1"/>
  <c r="S15" i="2"/>
  <c r="U15" i="2" s="1"/>
  <c r="T15" i="2"/>
  <c r="V15" i="2" s="1"/>
  <c r="S16" i="2"/>
  <c r="U16" i="2" s="1"/>
  <c r="T16" i="2"/>
  <c r="V16" i="2" s="1"/>
  <c r="S17" i="2"/>
  <c r="U17" i="2" s="1"/>
  <c r="T17" i="2"/>
  <c r="V17" i="2" s="1"/>
  <c r="S18" i="2"/>
  <c r="U18" i="2" s="1"/>
  <c r="T18" i="2"/>
  <c r="V18" i="2" s="1"/>
  <c r="S19" i="2"/>
  <c r="U19" i="2" s="1"/>
  <c r="T19" i="2"/>
  <c r="V19" i="2" s="1"/>
  <c r="S20" i="2"/>
  <c r="U20" i="2" s="1"/>
  <c r="T20" i="2"/>
  <c r="V20" i="2" s="1"/>
  <c r="S21" i="2"/>
  <c r="U21" i="2" s="1"/>
  <c r="T21" i="2"/>
  <c r="V21" i="2" s="1"/>
  <c r="S22" i="2"/>
  <c r="U22" i="2" s="1"/>
  <c r="T22" i="2"/>
  <c r="V22" i="2" s="1"/>
  <c r="S23" i="2"/>
  <c r="U23" i="2" s="1"/>
  <c r="T23" i="2"/>
  <c r="V23" i="2" s="1"/>
  <c r="S24" i="2"/>
  <c r="U24" i="2" s="1"/>
  <c r="T24" i="2"/>
  <c r="V24" i="2" s="1"/>
  <c r="S25" i="2"/>
  <c r="U25" i="2" s="1"/>
  <c r="T25" i="2"/>
  <c r="V25" i="2" s="1"/>
  <c r="T26" i="2"/>
  <c r="V26" i="2" s="1"/>
  <c r="S26" i="2"/>
  <c r="U26" i="2" s="1"/>
  <c r="C14" i="3" l="1"/>
  <c r="C13" i="3"/>
  <c r="N26" i="2"/>
  <c r="Q26" i="2" s="1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R15" i="2"/>
  <c r="R14" i="2"/>
  <c r="R13" i="2"/>
  <c r="R12" i="2"/>
  <c r="R11" i="2"/>
  <c r="R10" i="2"/>
  <c r="R9" i="2"/>
  <c r="R8" i="2"/>
  <c r="Q7" i="2"/>
  <c r="R7" i="2" s="1"/>
  <c r="Q6" i="2"/>
  <c r="R6" i="2" s="1"/>
  <c r="Q5" i="2"/>
  <c r="R5" i="2" s="1"/>
  <c r="Q4" i="2"/>
  <c r="R4" i="2" s="1"/>
  <c r="C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F2" authorId="0" shapeId="0" xr:uid="{81435A09-A93C-497B-BE81-69102BD3AED5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外岛会跟根据货值计算价值保险</t>
        </r>
      </text>
    </comment>
    <comment ref="H2" authorId="0" shapeId="0" xr:uid="{876A1716-3FED-487C-B681-B88324F23056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标注颜色的都是内岛，其他的都是外岛</t>
        </r>
      </text>
    </comment>
    <comment ref="U2" authorId="0" shapeId="0" xr:uid="{C8462612-BB68-4381-96F0-61F3F8375363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外岛按体积计算</t>
        </r>
      </text>
    </comment>
    <comment ref="V2" authorId="0" shapeId="0" xr:uid="{31B6CBE7-486B-451C-B390-33A7A2DD3B9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内岛按重量计算</t>
        </r>
      </text>
    </comment>
    <comment ref="X2" authorId="0" shapeId="0" xr:uid="{84DF9041-CE1E-4B77-B520-8415D1FC1CFD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货值的0.5%，最小值5</t>
        </r>
      </text>
    </comment>
    <comment ref="P3" authorId="0" shapeId="0" xr:uid="{3F24E6A1-07F7-4667-A71A-A86937192D7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货值的0.5%</t>
        </r>
      </text>
    </comment>
    <comment ref="F97" authorId="0" shapeId="0" xr:uid="{93D2207E-64D2-4787-B23B-AAD2B9376682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该值=体积 * 0.0037系数</t>
        </r>
      </text>
    </comment>
    <comment ref="F98" authorId="0" shapeId="0" xr:uid="{C19804C2-985F-45C8-AB53-F5ABFD89C923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该值=体积 * 0.0037系数</t>
        </r>
      </text>
    </comment>
    <comment ref="F100" authorId="0" shapeId="0" xr:uid="{1328457D-0624-4530-9C38-4696298ECBF5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该值=体积 * 0.0037系数</t>
        </r>
      </text>
    </comment>
    <comment ref="F101" authorId="0" shapeId="0" xr:uid="{4FA94D96-BBF8-46E8-83EB-F5FF6C046A7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该值=体积 * 0.0037系数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B5" authorId="0" shapeId="0" xr:uid="{2488A7D2-E7D5-43EA-BDFA-4D35EA619E55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palet板尺寸 80x120 最高2.2米</t>
        </r>
      </text>
    </comment>
    <comment ref="C5" authorId="0" shapeId="0" xr:uid="{BD8B6301-A4D6-4C59-B6D9-293E01AC94E7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立方米</t>
        </r>
      </text>
    </comment>
    <comment ref="B10" authorId="0" shapeId="0" xr:uid="{6431B1CB-0628-4FF7-B9B6-E7045A291E3C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palet板尺寸 80x120 最高2.2米</t>
        </r>
      </text>
    </comment>
    <comment ref="C10" authorId="0" shapeId="0" xr:uid="{FA6DF019-6411-4911-9C13-4FC8E611A2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立方米</t>
        </r>
      </text>
    </comment>
    <comment ref="B12" authorId="0" shapeId="0" xr:uid="{3156A268-B36C-44CD-8070-9C13BA2987DF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按照货运价值计算
内岛0.0006
外岛0.011</t>
        </r>
      </text>
    </comment>
    <comment ref="B14" authorId="0" shapeId="0" xr:uid="{6053E059-DD1B-4BFD-87CF-2102EBB0E375}">
      <text>
        <r>
          <rPr>
            <b/>
            <sz val="9"/>
            <color indexed="81"/>
            <rFont val="宋体"/>
            <family val="3"/>
            <charset val="134"/>
          </rPr>
          <t>biao:
按换算重量计算，外岛0.03</t>
        </r>
      </text>
    </comment>
    <comment ref="B15" authorId="0" shapeId="0" xr:uid="{9BCD19B5-370A-49DE-8DA2-AF9C90AFEBB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货值的0.5%</t>
        </r>
      </text>
    </comment>
    <comment ref="B16" authorId="0" shapeId="0" xr:uid="{49301234-3C65-469F-9235-4D313381F550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外岛14欧</t>
        </r>
      </text>
    </comment>
    <comment ref="B18" authorId="0" shapeId="0" xr:uid="{245C4468-FB1D-4747-9CE0-BC937208E760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不包含运输保险费
seguro s/portes</t>
        </r>
      </text>
    </comment>
  </commentList>
</comments>
</file>

<file path=xl/sharedStrings.xml><?xml version="1.0" encoding="utf-8"?>
<sst xmlns="http://schemas.openxmlformats.org/spreadsheetml/2006/main" count="433" uniqueCount="180">
  <si>
    <t>地区</t>
    <phoneticPr fontId="1" type="noConversion"/>
  </si>
  <si>
    <t>Precio por kilo</t>
    <phoneticPr fontId="1" type="noConversion"/>
  </si>
  <si>
    <t>Ibiza</t>
    <phoneticPr fontId="1" type="noConversion"/>
  </si>
  <si>
    <t>Menorca</t>
    <phoneticPr fontId="1" type="noConversion"/>
  </si>
  <si>
    <t>Mínimo</t>
    <phoneticPr fontId="1" type="noConversion"/>
  </si>
  <si>
    <t>plazo/dias</t>
    <phoneticPr fontId="1" type="noConversion"/>
  </si>
  <si>
    <t>Por m3</t>
    <phoneticPr fontId="1" type="noConversion"/>
  </si>
  <si>
    <t>ElHierro</t>
    <phoneticPr fontId="1" type="noConversion"/>
  </si>
  <si>
    <t>体积</t>
    <phoneticPr fontId="1" type="noConversion"/>
  </si>
  <si>
    <t>factura</t>
    <phoneticPr fontId="1" type="noConversion"/>
  </si>
  <si>
    <t>fecha</t>
    <phoneticPr fontId="1" type="noConversion"/>
  </si>
  <si>
    <t>bultos</t>
    <phoneticPr fontId="1" type="noConversion"/>
  </si>
  <si>
    <t>包裹数量</t>
    <phoneticPr fontId="1" type="noConversion"/>
  </si>
  <si>
    <t>KGS</t>
    <phoneticPr fontId="1" type="noConversion"/>
  </si>
  <si>
    <t>公斤数</t>
    <phoneticPr fontId="1" type="noConversion"/>
  </si>
  <si>
    <t>vol</t>
    <phoneticPr fontId="1" type="noConversion"/>
  </si>
  <si>
    <t>valor MCIA.</t>
    <phoneticPr fontId="1" type="noConversion"/>
  </si>
  <si>
    <t>Tenerife</t>
    <phoneticPr fontId="1" type="noConversion"/>
  </si>
  <si>
    <t>GranCanaria</t>
    <phoneticPr fontId="1" type="noConversion"/>
  </si>
  <si>
    <t>Fuerteventura</t>
    <phoneticPr fontId="1" type="noConversion"/>
  </si>
  <si>
    <t>Lanzarote</t>
    <phoneticPr fontId="1" type="noConversion"/>
  </si>
  <si>
    <t>LaPalma</t>
    <phoneticPr fontId="1" type="noConversion"/>
  </si>
  <si>
    <t>LaGomera</t>
    <phoneticPr fontId="1" type="noConversion"/>
  </si>
  <si>
    <t>canon portuario</t>
    <phoneticPr fontId="1" type="noConversion"/>
  </si>
  <si>
    <t>港口使用服务</t>
    <phoneticPr fontId="1" type="noConversion"/>
  </si>
  <si>
    <t>国际海事组织2020</t>
    <phoneticPr fontId="1" type="noConversion"/>
  </si>
  <si>
    <t>IMO 2020</t>
    <phoneticPr fontId="1" type="noConversion"/>
  </si>
  <si>
    <t>FLETE GRUPAJE</t>
    <phoneticPr fontId="1" type="noConversion"/>
  </si>
  <si>
    <t>SEGURO S/PORTES</t>
    <phoneticPr fontId="1" type="noConversion"/>
  </si>
  <si>
    <t>G.R.I.</t>
    <phoneticPr fontId="1" type="noConversion"/>
  </si>
  <si>
    <t>SEGURO S/VM</t>
    <phoneticPr fontId="1" type="noConversion"/>
  </si>
  <si>
    <t>拼柜货运费</t>
    <phoneticPr fontId="1" type="noConversion"/>
  </si>
  <si>
    <t>额外保险费/不含运费</t>
    <phoneticPr fontId="1" type="noConversion"/>
  </si>
  <si>
    <t>价值保险</t>
    <phoneticPr fontId="1" type="noConversion"/>
  </si>
  <si>
    <t>SUPLIDOS/TASAS 杂费支出</t>
    <phoneticPr fontId="1" type="noConversion"/>
  </si>
  <si>
    <t>OPERACIONES 运输费用</t>
    <phoneticPr fontId="1" type="noConversion"/>
  </si>
  <si>
    <t>IVA</t>
    <phoneticPr fontId="1" type="noConversion"/>
  </si>
  <si>
    <t>3.113.347</t>
    <phoneticPr fontId="1" type="noConversion"/>
  </si>
  <si>
    <t>DUA EXPORTACION</t>
    <phoneticPr fontId="1" type="noConversion"/>
  </si>
  <si>
    <t>出口申报费用</t>
    <phoneticPr fontId="1" type="noConversion"/>
  </si>
  <si>
    <t>合计</t>
    <phoneticPr fontId="1" type="noConversion"/>
  </si>
  <si>
    <t>Total</t>
    <phoneticPr fontId="1" type="noConversion"/>
  </si>
  <si>
    <t>3.100.662</t>
    <phoneticPr fontId="1" type="noConversion"/>
  </si>
  <si>
    <t>3.086.470</t>
    <phoneticPr fontId="1" type="noConversion"/>
  </si>
  <si>
    <t>3.086.469</t>
    <phoneticPr fontId="1" type="noConversion"/>
  </si>
  <si>
    <t>3.086.465</t>
    <phoneticPr fontId="1" type="noConversion"/>
  </si>
  <si>
    <t>3.086.142</t>
    <phoneticPr fontId="1" type="noConversion"/>
  </si>
  <si>
    <t>3.086.134</t>
    <phoneticPr fontId="1" type="noConversion"/>
  </si>
  <si>
    <t>3.086.133</t>
    <phoneticPr fontId="1" type="noConversion"/>
  </si>
  <si>
    <t>3.086.132</t>
    <phoneticPr fontId="1" type="noConversion"/>
  </si>
  <si>
    <t>3.086.131</t>
    <phoneticPr fontId="1" type="noConversion"/>
  </si>
  <si>
    <t>3.086.130</t>
    <phoneticPr fontId="1" type="noConversion"/>
  </si>
  <si>
    <t>3.086.129</t>
    <phoneticPr fontId="1" type="noConversion"/>
  </si>
  <si>
    <t>3.086.128</t>
    <phoneticPr fontId="1" type="noConversion"/>
  </si>
  <si>
    <t>3.086.123</t>
    <phoneticPr fontId="1" type="noConversion"/>
  </si>
  <si>
    <t>3.086.122</t>
    <phoneticPr fontId="1" type="noConversion"/>
  </si>
  <si>
    <t>3.086.121</t>
    <phoneticPr fontId="1" type="noConversion"/>
  </si>
  <si>
    <t>3.086.120</t>
    <phoneticPr fontId="1" type="noConversion"/>
  </si>
  <si>
    <t>3.086.119</t>
    <phoneticPr fontId="1" type="noConversion"/>
  </si>
  <si>
    <t>3.086.118</t>
    <phoneticPr fontId="1" type="noConversion"/>
  </si>
  <si>
    <t>3.086.117</t>
    <phoneticPr fontId="1" type="noConversion"/>
  </si>
  <si>
    <t>3.086.116</t>
    <phoneticPr fontId="1" type="noConversion"/>
  </si>
  <si>
    <t>3.084.740</t>
    <phoneticPr fontId="1" type="noConversion"/>
  </si>
  <si>
    <t>3.084.739</t>
    <phoneticPr fontId="1" type="noConversion"/>
  </si>
  <si>
    <t>3.084.738</t>
    <phoneticPr fontId="1" type="noConversion"/>
  </si>
  <si>
    <t>3.083.606</t>
    <phoneticPr fontId="1" type="noConversion"/>
  </si>
  <si>
    <t>BAF/T3</t>
    <phoneticPr fontId="1" type="noConversion"/>
  </si>
  <si>
    <t>DEST.</t>
    <phoneticPr fontId="1" type="noConversion"/>
  </si>
  <si>
    <t>PMI</t>
    <phoneticPr fontId="1" type="noConversion"/>
  </si>
  <si>
    <t>MNC</t>
    <phoneticPr fontId="1" type="noConversion"/>
  </si>
  <si>
    <t>IBI</t>
    <phoneticPr fontId="1" type="noConversion"/>
  </si>
  <si>
    <t>ACE</t>
    <phoneticPr fontId="1" type="noConversion"/>
  </si>
  <si>
    <t>LPA</t>
    <phoneticPr fontId="1" type="noConversion"/>
  </si>
  <si>
    <t>Mallorca</t>
    <phoneticPr fontId="1" type="noConversion"/>
  </si>
  <si>
    <t>目的地</t>
    <phoneticPr fontId="1" type="noConversion"/>
  </si>
  <si>
    <t>地区代码简写</t>
    <phoneticPr fontId="1" type="noConversion"/>
  </si>
  <si>
    <t>TFE</t>
    <phoneticPr fontId="1" type="noConversion"/>
  </si>
  <si>
    <t>FUE</t>
    <phoneticPr fontId="1" type="noConversion"/>
  </si>
  <si>
    <t>SPC</t>
    <phoneticPr fontId="1" type="noConversion"/>
  </si>
  <si>
    <t>V</t>
    <phoneticPr fontId="1" type="noConversion"/>
  </si>
  <si>
    <t>KG</t>
    <phoneticPr fontId="1" type="noConversion"/>
  </si>
  <si>
    <t>体积金额</t>
    <phoneticPr fontId="1" type="noConversion"/>
  </si>
  <si>
    <t>重量金额</t>
    <phoneticPr fontId="1" type="noConversion"/>
  </si>
  <si>
    <t>最低金额</t>
    <phoneticPr fontId="1" type="noConversion"/>
  </si>
  <si>
    <t>另外收取货值的0.5%的保险费-SEGURO S/VM</t>
    <phoneticPr fontId="1" type="noConversion"/>
  </si>
  <si>
    <t>按重量计算</t>
    <phoneticPr fontId="1" type="noConversion"/>
  </si>
  <si>
    <t>按体积计算</t>
    <phoneticPr fontId="1" type="noConversion"/>
  </si>
  <si>
    <t>PMI</t>
  </si>
  <si>
    <t>IBI</t>
  </si>
  <si>
    <t>LPA</t>
  </si>
  <si>
    <t>核算对比区域</t>
    <phoneticPr fontId="1" type="noConversion"/>
  </si>
  <si>
    <t>04/07/2023</t>
  </si>
  <si>
    <t>06/07/2023</t>
  </si>
  <si>
    <t>10/07/2023</t>
  </si>
  <si>
    <t>17/07/2023</t>
  </si>
  <si>
    <t>26/07/2023</t>
  </si>
  <si>
    <t>31/07/2023</t>
  </si>
  <si>
    <t>24/07/2023</t>
  </si>
  <si>
    <t>02/08/2023</t>
  </si>
  <si>
    <t>03/08/2023</t>
  </si>
  <si>
    <t>01/08/2023</t>
  </si>
  <si>
    <t>11/08/2023</t>
  </si>
  <si>
    <t>14/08/2023</t>
  </si>
  <si>
    <t>22/08/2023</t>
  </si>
  <si>
    <t>29/08/2023</t>
  </si>
  <si>
    <t>TFE</t>
  </si>
  <si>
    <t>MNC</t>
  </si>
  <si>
    <t>ACE</t>
  </si>
  <si>
    <t>FUE</t>
  </si>
  <si>
    <t>合同单价</t>
    <phoneticPr fontId="1" type="noConversion"/>
  </si>
  <si>
    <t>发票金额</t>
    <phoneticPr fontId="1" type="noConversion"/>
  </si>
  <si>
    <t>单据信息</t>
    <phoneticPr fontId="1" type="noConversion"/>
  </si>
  <si>
    <t>运输单据信息</t>
    <phoneticPr fontId="1" type="noConversion"/>
  </si>
  <si>
    <t>燃油费</t>
    <phoneticPr fontId="1" type="noConversion"/>
  </si>
  <si>
    <t>海事组织</t>
    <phoneticPr fontId="1" type="noConversion"/>
  </si>
  <si>
    <t>运输目的地</t>
    <phoneticPr fontId="1" type="noConversion"/>
  </si>
  <si>
    <t>货运价值</t>
    <phoneticPr fontId="1" type="noConversion"/>
  </si>
  <si>
    <t>换算重量</t>
    <phoneticPr fontId="1" type="noConversion"/>
  </si>
  <si>
    <t>合同-重量单价</t>
    <phoneticPr fontId="1" type="noConversion"/>
  </si>
  <si>
    <t>合同-体积单价</t>
    <phoneticPr fontId="1" type="noConversion"/>
  </si>
  <si>
    <t>合同-最低消费</t>
    <phoneticPr fontId="1" type="noConversion"/>
  </si>
  <si>
    <t>`</t>
    <phoneticPr fontId="1" type="noConversion"/>
  </si>
  <si>
    <t>3.127.125</t>
    <phoneticPr fontId="1" type="noConversion"/>
  </si>
  <si>
    <t>06/09/2023</t>
  </si>
  <si>
    <t>12/09/2023</t>
  </si>
  <si>
    <t>21/09/2023</t>
  </si>
  <si>
    <t>26/09/2023</t>
  </si>
  <si>
    <t>SPC</t>
  </si>
  <si>
    <t>Valor Estadistico</t>
    <phoneticPr fontId="1" type="noConversion"/>
  </si>
  <si>
    <t>货值2</t>
    <phoneticPr fontId="1" type="noConversion"/>
  </si>
  <si>
    <t>3.127.126</t>
    <phoneticPr fontId="1" type="noConversion"/>
  </si>
  <si>
    <t>13/09/2023</t>
  </si>
  <si>
    <t>18/09/2023</t>
  </si>
  <si>
    <t>20/09/2023</t>
  </si>
  <si>
    <t>22/09/2023</t>
  </si>
  <si>
    <t>29/09/2023</t>
  </si>
  <si>
    <t>Impuestos</t>
    <phoneticPr fontId="1" type="noConversion"/>
  </si>
  <si>
    <t>体重转换值</t>
    <phoneticPr fontId="1" type="noConversion"/>
  </si>
  <si>
    <t>内岛运输保险</t>
    <phoneticPr fontId="1" type="noConversion"/>
  </si>
  <si>
    <t>体积重量转换系数</t>
  </si>
  <si>
    <t>超出部分要求</t>
  </si>
  <si>
    <t>运输方式</t>
  </si>
  <si>
    <t>体积</t>
  </si>
  <si>
    <t>重量</t>
  </si>
  <si>
    <t>超标条件</t>
  </si>
  <si>
    <t>额外收取</t>
  </si>
  <si>
    <t>内岛-体积转换值</t>
  </si>
  <si>
    <t>SEGURO S/VM</t>
  </si>
  <si>
    <t>G.R.I.</t>
  </si>
  <si>
    <t>IMO 2020</t>
  </si>
  <si>
    <t>DUA EXPORTACION</t>
  </si>
  <si>
    <t>SEGURO S/PORTES</t>
  </si>
  <si>
    <t>canon portuario</t>
  </si>
  <si>
    <t>海运</t>
  </si>
  <si>
    <t>1立方</t>
  </si>
  <si>
    <t>333KG</t>
  </si>
  <si>
    <t>长度超过2.5米</t>
  </si>
  <si>
    <t>外岛 = 体积 / 0.003003</t>
  </si>
  <si>
    <t>外岛 = 货值*0.5%</t>
  </si>
  <si>
    <t>外岛=体积转换值*0.03</t>
  </si>
  <si>
    <t>外岛=体积转换值*0.011</t>
  </si>
  <si>
    <t>外岛 = 14欧</t>
  </si>
  <si>
    <t>--</t>
  </si>
  <si>
    <t>外岛 = 0.8欧一下</t>
  </si>
  <si>
    <t>空运</t>
  </si>
  <si>
    <t>167KG</t>
  </si>
  <si>
    <t>超过500KG</t>
  </si>
  <si>
    <t>不允许</t>
  </si>
  <si>
    <t>外岛系数0.003003</t>
  </si>
  <si>
    <t>外岛 = 最低消费5欧</t>
  </si>
  <si>
    <t>陆运</t>
  </si>
  <si>
    <t>270KG</t>
  </si>
  <si>
    <t>预付款超过150</t>
  </si>
  <si>
    <t>预付款的1.5%</t>
  </si>
  <si>
    <t>内岛 = 体积 / 0.003703704</t>
  </si>
  <si>
    <t>内岛=体积转换值*0.006</t>
  </si>
  <si>
    <t>内岛=体积转换值*0.0136</t>
  </si>
  <si>
    <t>岛和岛之间</t>
  </si>
  <si>
    <t>内岛系数0.003703704</t>
  </si>
  <si>
    <t>内岛 = 最低消费1.6欧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</si>
</sst>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-\ [$€-1];[Red]#,##0.00\-\ [$€-1]"/>
    <numFmt numFmtId="177" formatCode="0.00_ ;[Red]\-0.00\ "/>
    <numFmt numFmtId="178" formatCode="dd/mm/yyyy"/>
    <numFmt numFmtId="179" formatCode="0.00_ "/>
    <numFmt numFmtId="180" formatCode="#,##0.00\ [$€-1];[Red]\-#,##0.00\ [$€-1]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0" borderId="0" xfId="0" applyFont="1"/>
    <xf numFmtId="176" fontId="3" fillId="0" borderId="0" xfId="0" applyNumberFormat="1" applyFont="1"/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177" fontId="11" fillId="8" borderId="0" xfId="0" applyNumberFormat="1" applyFont="1" applyFill="1" applyAlignment="1">
      <alignment horizontal="center" vertical="center"/>
    </xf>
    <xf numFmtId="177" fontId="11" fillId="13" borderId="0" xfId="0" applyNumberFormat="1" applyFont="1" applyFill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0" fillId="4" borderId="0" xfId="0" applyFont="1" applyFill="1"/>
    <xf numFmtId="0" fontId="14" fillId="10" borderId="0" xfId="0" applyFont="1" applyFill="1"/>
    <xf numFmtId="177" fontId="10" fillId="0" borderId="0" xfId="0" applyNumberFormat="1" applyFont="1"/>
    <xf numFmtId="0" fontId="10" fillId="7" borderId="0" xfId="0" applyFont="1" applyFill="1"/>
    <xf numFmtId="177" fontId="14" fillId="13" borderId="0" xfId="0" applyNumberFormat="1" applyFont="1" applyFill="1"/>
    <xf numFmtId="0" fontId="10" fillId="10" borderId="0" xfId="0" applyFont="1" applyFill="1"/>
    <xf numFmtId="0" fontId="15" fillId="6" borderId="0" xfId="0" applyFont="1" applyFill="1"/>
    <xf numFmtId="177" fontId="15" fillId="6" borderId="0" xfId="0" applyNumberFormat="1" applyFont="1" applyFill="1"/>
    <xf numFmtId="0" fontId="10" fillId="14" borderId="0" xfId="0" applyFont="1" applyFill="1"/>
    <xf numFmtId="0" fontId="10" fillId="14" borderId="0" xfId="0" applyFont="1" applyFill="1" applyAlignment="1">
      <alignment horizontal="center" vertical="center"/>
    </xf>
    <xf numFmtId="177" fontId="10" fillId="14" borderId="0" xfId="0" applyNumberFormat="1" applyFont="1" applyFill="1"/>
    <xf numFmtId="177" fontId="14" fillId="14" borderId="0" xfId="0" applyNumberFormat="1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vertical="center"/>
    </xf>
    <xf numFmtId="0" fontId="15" fillId="16" borderId="0" xfId="0" applyFont="1" applyFill="1"/>
    <xf numFmtId="0" fontId="10" fillId="16" borderId="0" xfId="0" applyFont="1" applyFill="1"/>
    <xf numFmtId="177" fontId="10" fillId="15" borderId="0" xfId="0" applyNumberFormat="1" applyFont="1" applyFill="1"/>
    <xf numFmtId="177" fontId="14" fillId="15" borderId="0" xfId="0" applyNumberFormat="1" applyFont="1" applyFill="1"/>
    <xf numFmtId="177" fontId="15" fillId="13" borderId="0" xfId="0" applyNumberFormat="1" applyFont="1" applyFill="1"/>
    <xf numFmtId="178" fontId="11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0" fillId="14" borderId="0" xfId="0" applyNumberFormat="1" applyFont="1" applyFill="1" applyAlignment="1">
      <alignment horizontal="center" vertical="center"/>
    </xf>
    <xf numFmtId="178" fontId="10" fillId="15" borderId="0" xfId="0" applyNumberFormat="1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2" fillId="19" borderId="0" xfId="0" applyFont="1" applyFill="1"/>
    <xf numFmtId="0" fontId="0" fillId="8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80" fontId="2" fillId="10" borderId="1" xfId="0" applyNumberFormat="1" applyFont="1" applyFill="1" applyBorder="1" applyAlignment="1">
      <alignment horizontal="center" vertical="center"/>
    </xf>
    <xf numFmtId="179" fontId="2" fillId="10" borderId="1" xfId="0" applyNumberFormat="1" applyFont="1" applyFill="1" applyBorder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0" fontId="10" fillId="6" borderId="0" xfId="0" applyFont="1" applyFill="1"/>
    <xf numFmtId="0" fontId="0" fillId="0" borderId="0" xfId="0"/>
    <xf numFmtId="0" fontId="0" fillId="0" borderId="0" xfId="0"/>
    <xf numFmtId="177" fontId="11" fillId="6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6" fillId="9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17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0"/>
  <sheetViews>
    <sheetView tabSelected="1" workbookViewId="0">
      <pane xSplit="11" ySplit="13" topLeftCell="L14" activePane="bottomRight" state="frozen"/>
      <selection pane="topRight" activeCell="L1" sqref="L1"/>
      <selection pane="bottomLeft" activeCell="A24" sqref="A24"/>
      <selection pane="bottomRight" activeCell="H31" sqref="H31"/>
    </sheetView>
  </sheetViews>
  <sheetFormatPr defaultRowHeight="13.8" x14ac:dyDescent="0.25"/>
  <cols>
    <col min="1" max="1" width="18" customWidth="1"/>
    <col min="2" max="10" width="14.5546875" customWidth="1"/>
    <col min="12" max="12" width="11.21875" customWidth="1"/>
    <col min="17" max="17" width="26.44140625" customWidth="1"/>
    <col min="18" max="18" width="20.44140625" customWidth="1"/>
    <col min="19" max="19" width="24.6640625" customWidth="1"/>
    <col min="20" max="20" width="23.77734375" customWidth="1"/>
    <col min="21" max="21" width="21.44140625" customWidth="1"/>
    <col min="22" max="22" width="26.44140625" customWidth="1"/>
    <col min="23" max="23" width="18.21875" customWidth="1"/>
  </cols>
  <sheetData>
    <row r="2" spans="1:23" ht="25.2" customHeight="1" x14ac:dyDescent="0.25">
      <c r="B2" s="69" t="s">
        <v>85</v>
      </c>
      <c r="C2" s="69"/>
      <c r="D2" s="69"/>
      <c r="E2" s="70" t="s">
        <v>86</v>
      </c>
      <c r="F2" s="70"/>
      <c r="G2" s="70"/>
      <c r="H2" s="70"/>
      <c r="I2" s="70"/>
      <c r="J2" s="70"/>
      <c r="K2" s="70"/>
    </row>
    <row r="3" spans="1:23" ht="24.6" customHeight="1" x14ac:dyDescent="0.25">
      <c r="E3" s="68" t="s">
        <v>84</v>
      </c>
      <c r="F3" s="68"/>
      <c r="G3" s="68"/>
      <c r="H3" s="68"/>
      <c r="I3" s="68"/>
      <c r="J3" s="68"/>
      <c r="K3" s="68"/>
    </row>
    <row r="4" spans="1:23" ht="30.6" customHeight="1" x14ac:dyDescent="0.25">
      <c r="A4" s="6" t="s">
        <v>75</v>
      </c>
      <c r="B4" s="4" t="s">
        <v>68</v>
      </c>
      <c r="C4" s="4" t="s">
        <v>70</v>
      </c>
      <c r="D4" s="7" t="s">
        <v>69</v>
      </c>
      <c r="E4" s="4" t="s">
        <v>72</v>
      </c>
      <c r="F4" s="7" t="s">
        <v>76</v>
      </c>
      <c r="G4" s="4" t="s">
        <v>71</v>
      </c>
      <c r="H4" s="4" t="s">
        <v>77</v>
      </c>
      <c r="I4" s="4"/>
      <c r="J4" s="4"/>
      <c r="K4" s="4" t="s">
        <v>78</v>
      </c>
      <c r="L4" s="79" t="s">
        <v>139</v>
      </c>
      <c r="M4" s="79"/>
      <c r="N4" s="79" t="s">
        <v>140</v>
      </c>
      <c r="O4" s="79"/>
      <c r="P4" s="80"/>
      <c r="Q4" s="80"/>
      <c r="R4" s="80"/>
      <c r="S4" s="80"/>
      <c r="T4" s="80"/>
      <c r="U4" s="80"/>
      <c r="V4" s="80"/>
      <c r="W4" s="80"/>
    </row>
    <row r="5" spans="1:23" ht="28.8" customHeight="1" x14ac:dyDescent="0.25">
      <c r="A5" s="10" t="s">
        <v>0</v>
      </c>
      <c r="B5" s="11" t="s">
        <v>73</v>
      </c>
      <c r="C5" s="11" t="s">
        <v>2</v>
      </c>
      <c r="D5" s="11" t="s">
        <v>3</v>
      </c>
      <c r="E5" s="12" t="s">
        <v>18</v>
      </c>
      <c r="F5" s="12" t="s">
        <v>17</v>
      </c>
      <c r="G5" s="12" t="s">
        <v>20</v>
      </c>
      <c r="H5" s="12" t="s">
        <v>19</v>
      </c>
      <c r="I5" s="13" t="s">
        <v>7</v>
      </c>
      <c r="J5" s="12" t="s">
        <v>22</v>
      </c>
      <c r="K5" s="12" t="s">
        <v>21</v>
      </c>
      <c r="L5" s="82" t="s">
        <v>141</v>
      </c>
      <c r="M5" s="82" t="s">
        <v>142</v>
      </c>
      <c r="N5" s="82" t="s">
        <v>143</v>
      </c>
      <c r="O5" s="82" t="s">
        <v>144</v>
      </c>
      <c r="P5" s="82" t="s">
        <v>145</v>
      </c>
      <c r="Q5" s="82" t="s">
        <v>146</v>
      </c>
      <c r="R5" s="82" t="s">
        <v>147</v>
      </c>
      <c r="S5" s="82" t="s">
        <v>148</v>
      </c>
      <c r="T5" s="82" t="s">
        <v>149</v>
      </c>
      <c r="U5" s="82" t="s">
        <v>150</v>
      </c>
      <c r="V5" s="82" t="s">
        <v>151</v>
      </c>
      <c r="W5" s="82" t="s">
        <v>152</v>
      </c>
    </row>
    <row r="6" spans="1:23" x14ac:dyDescent="0.25">
      <c r="A6" t="s">
        <v>5</v>
      </c>
      <c r="B6">
        <v>2</v>
      </c>
      <c r="C6">
        <v>2</v>
      </c>
      <c r="D6">
        <v>2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 s="3" t="s">
        <v>153</v>
      </c>
      <c r="M6" s="8" t="s">
        <v>154</v>
      </c>
      <c r="N6" s="8" t="s">
        <v>155</v>
      </c>
      <c r="O6" s="65" t="s">
        <v>156</v>
      </c>
      <c r="P6" s="81">
        <v>0.3</v>
      </c>
      <c r="Q6" s="65" t="s">
        <v>157</v>
      </c>
      <c r="R6" s="65" t="s">
        <v>158</v>
      </c>
      <c r="S6" s="65" t="s">
        <v>159</v>
      </c>
      <c r="T6" s="65" t="s">
        <v>160</v>
      </c>
      <c r="U6" s="65" t="s">
        <v>161</v>
      </c>
      <c r="V6" s="4" t="s">
        <v>162</v>
      </c>
      <c r="W6" s="65" t="s">
        <v>163</v>
      </c>
    </row>
    <row r="7" spans="1:23" x14ac:dyDescent="0.25">
      <c r="A7" t="s">
        <v>1</v>
      </c>
      <c r="B7" s="9">
        <v>0.17</v>
      </c>
      <c r="C7" s="9">
        <v>0.18</v>
      </c>
      <c r="D7" s="9">
        <v>0.19</v>
      </c>
      <c r="E7" s="1">
        <v>0.17</v>
      </c>
      <c r="F7" s="1">
        <v>0.17</v>
      </c>
      <c r="G7" s="1">
        <v>0.2</v>
      </c>
      <c r="H7" s="1">
        <v>0.2</v>
      </c>
      <c r="I7" s="1">
        <v>0.3</v>
      </c>
      <c r="J7" s="1">
        <v>0.3</v>
      </c>
      <c r="K7" s="1">
        <v>0.3</v>
      </c>
      <c r="L7" s="65" t="s">
        <v>164</v>
      </c>
      <c r="M7" s="65" t="s">
        <v>154</v>
      </c>
      <c r="N7" s="65" t="s">
        <v>165</v>
      </c>
      <c r="O7" s="65" t="s">
        <v>166</v>
      </c>
      <c r="P7" s="65" t="s">
        <v>167</v>
      </c>
      <c r="Q7" s="65" t="s">
        <v>168</v>
      </c>
      <c r="R7" s="65" t="s">
        <v>169</v>
      </c>
      <c r="S7" s="65"/>
      <c r="T7" s="65"/>
      <c r="U7" s="65"/>
      <c r="V7" s="65"/>
      <c r="W7" s="65"/>
    </row>
    <row r="8" spans="1:23" x14ac:dyDescent="0.25">
      <c r="A8" t="s">
        <v>6</v>
      </c>
      <c r="B8" s="1"/>
      <c r="C8" s="1"/>
      <c r="D8" s="1"/>
      <c r="E8" s="9">
        <v>56.61</v>
      </c>
      <c r="F8" s="9">
        <v>56.61</v>
      </c>
      <c r="G8" s="9">
        <v>66.599999999999994</v>
      </c>
      <c r="H8" s="9">
        <v>66.599999999999994</v>
      </c>
      <c r="I8" s="9">
        <v>99.9</v>
      </c>
      <c r="J8" s="9">
        <v>99.9</v>
      </c>
      <c r="K8" s="9">
        <v>99.9</v>
      </c>
      <c r="L8" s="65" t="s">
        <v>170</v>
      </c>
      <c r="M8" s="65" t="s">
        <v>154</v>
      </c>
      <c r="N8" s="65" t="s">
        <v>171</v>
      </c>
      <c r="O8" s="65" t="s">
        <v>172</v>
      </c>
      <c r="P8" s="65" t="s">
        <v>173</v>
      </c>
      <c r="Q8" s="65" t="s">
        <v>174</v>
      </c>
      <c r="R8" s="4" t="s">
        <v>162</v>
      </c>
      <c r="S8" s="4" t="s">
        <v>162</v>
      </c>
      <c r="T8" s="65" t="s">
        <v>175</v>
      </c>
      <c r="U8" s="4" t="s">
        <v>162</v>
      </c>
      <c r="V8" s="65" t="s">
        <v>176</v>
      </c>
      <c r="W8" s="4" t="s">
        <v>162</v>
      </c>
    </row>
    <row r="9" spans="1:23" x14ac:dyDescent="0.25">
      <c r="A9" t="s">
        <v>4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25</v>
      </c>
      <c r="H9" s="1">
        <v>25</v>
      </c>
      <c r="I9" s="1">
        <v>25</v>
      </c>
      <c r="J9" s="1">
        <v>25</v>
      </c>
      <c r="K9" s="1">
        <v>25</v>
      </c>
      <c r="L9" s="65" t="s">
        <v>177</v>
      </c>
      <c r="M9" s="65" t="s">
        <v>154</v>
      </c>
      <c r="N9" s="65" t="s">
        <v>171</v>
      </c>
      <c r="O9" s="65"/>
      <c r="P9" s="65"/>
      <c r="Q9" s="65" t="s">
        <v>178</v>
      </c>
      <c r="R9" s="65"/>
      <c r="S9" s="65"/>
      <c r="T9" s="65"/>
      <c r="U9" s="65"/>
      <c r="V9" s="65" t="s">
        <v>179</v>
      </c>
      <c r="W9" s="65"/>
    </row>
    <row r="10" spans="1:23" x14ac:dyDescent="0.25"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</sheetData>
  <mergeCells count="5">
    <mergeCell ref="N4:O4"/>
    <mergeCell ref="E3:K3"/>
    <mergeCell ref="B2:D2"/>
    <mergeCell ref="E2:K2"/>
    <mergeCell ref="L4:M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1D40-D20F-4450-ABBA-45BAD4B7EA2B}">
  <dimension ref="A1:BV103"/>
  <sheetViews>
    <sheetView topLeftCell="G1" zoomScale="85" zoomScaleNormal="85" workbookViewId="0">
      <pane ySplit="3" topLeftCell="A64" activePane="bottomLeft" state="frozen"/>
      <selection activeCell="B1" sqref="B1"/>
      <selection pane="bottomLeft" activeCell="L89" sqref="L89:L96"/>
    </sheetView>
  </sheetViews>
  <sheetFormatPr defaultRowHeight="15.6" x14ac:dyDescent="0.35"/>
  <cols>
    <col min="1" max="1" width="10.5546875" style="16" customWidth="1"/>
    <col min="2" max="2" width="10.77734375" style="44" customWidth="1"/>
    <col min="3" max="3" width="7.33203125" style="18" customWidth="1"/>
    <col min="4" max="5" width="7.6640625" style="16" customWidth="1"/>
    <col min="6" max="6" width="11.5546875" style="16" customWidth="1"/>
    <col min="7" max="7" width="19.109375" style="16" customWidth="1"/>
    <col min="8" max="8" width="10.21875" style="16" customWidth="1"/>
    <col min="9" max="9" width="19.109375" style="16" customWidth="1"/>
    <col min="10" max="10" width="11" style="16" customWidth="1"/>
    <col min="11" max="11" width="12.33203125" style="16" customWidth="1"/>
    <col min="12" max="12" width="17" style="16" customWidth="1"/>
    <col min="13" max="14" width="20.5546875" style="16" customWidth="1"/>
    <col min="15" max="15" width="11" style="16" customWidth="1"/>
    <col min="16" max="16" width="15.88671875" style="16" customWidth="1"/>
    <col min="17" max="18" width="8.88671875" style="26"/>
    <col min="19" max="20" width="6.21875" style="16" customWidth="1"/>
    <col min="21" max="23" width="8.88671875" style="26"/>
    <col min="24" max="24" width="14.21875" style="26" customWidth="1"/>
    <col min="26" max="26" width="11.44140625" customWidth="1"/>
    <col min="27" max="27" width="20.6640625" style="67" customWidth="1"/>
  </cols>
  <sheetData>
    <row r="1" spans="1:74" ht="24" customHeight="1" x14ac:dyDescent="0.25">
      <c r="A1" s="72" t="s">
        <v>112</v>
      </c>
      <c r="B1" s="72"/>
      <c r="C1" s="72"/>
      <c r="D1" s="72"/>
      <c r="E1" s="72"/>
      <c r="F1" s="72"/>
      <c r="G1" s="72"/>
      <c r="H1" s="72"/>
      <c r="I1" s="73" t="s">
        <v>34</v>
      </c>
      <c r="J1" s="73"/>
      <c r="K1" s="73"/>
      <c r="L1" s="74" t="s">
        <v>35</v>
      </c>
      <c r="M1" s="74"/>
      <c r="N1" s="74"/>
      <c r="O1" s="74"/>
      <c r="P1" s="74"/>
      <c r="Q1" s="77" t="s">
        <v>110</v>
      </c>
      <c r="R1" s="77"/>
      <c r="S1" s="78" t="s">
        <v>90</v>
      </c>
      <c r="T1" s="78"/>
      <c r="U1" s="78"/>
      <c r="V1" s="78"/>
      <c r="W1" s="78"/>
      <c r="X1" s="78"/>
      <c r="Y1" s="78"/>
      <c r="Z1" s="78"/>
      <c r="AA1" s="78"/>
    </row>
    <row r="2" spans="1:74" s="4" customFormat="1" ht="24" customHeight="1" x14ac:dyDescent="0.25">
      <c r="A2" s="71" t="s">
        <v>111</v>
      </c>
      <c r="B2" s="71"/>
      <c r="C2" s="47" t="s">
        <v>12</v>
      </c>
      <c r="D2" s="47" t="s">
        <v>14</v>
      </c>
      <c r="E2" s="47" t="s">
        <v>8</v>
      </c>
      <c r="F2" s="47" t="s">
        <v>137</v>
      </c>
      <c r="G2" s="47" t="s">
        <v>129</v>
      </c>
      <c r="H2" s="47" t="s">
        <v>74</v>
      </c>
      <c r="I2" s="19" t="s">
        <v>24</v>
      </c>
      <c r="J2" s="19"/>
      <c r="K2" s="19" t="s">
        <v>25</v>
      </c>
      <c r="L2" s="20" t="s">
        <v>31</v>
      </c>
      <c r="M2" s="20" t="s">
        <v>32</v>
      </c>
      <c r="N2" s="20" t="s">
        <v>39</v>
      </c>
      <c r="O2" s="20" t="s">
        <v>113</v>
      </c>
      <c r="P2" s="20" t="s">
        <v>33</v>
      </c>
      <c r="Q2" s="21" t="s">
        <v>36</v>
      </c>
      <c r="R2" s="21" t="s">
        <v>40</v>
      </c>
      <c r="S2" s="76" t="s">
        <v>109</v>
      </c>
      <c r="T2" s="76"/>
      <c r="U2" s="22" t="s">
        <v>81</v>
      </c>
      <c r="V2" s="22" t="s">
        <v>82</v>
      </c>
      <c r="W2" s="22" t="s">
        <v>83</v>
      </c>
      <c r="X2" s="22" t="s">
        <v>33</v>
      </c>
      <c r="Y2" s="22" t="s">
        <v>113</v>
      </c>
      <c r="Z2" s="22" t="s">
        <v>114</v>
      </c>
      <c r="AA2" s="22" t="s">
        <v>138</v>
      </c>
    </row>
    <row r="3" spans="1:74" s="2" customFormat="1" ht="16.2" x14ac:dyDescent="0.25">
      <c r="A3" s="17" t="s">
        <v>9</v>
      </c>
      <c r="B3" s="43" t="s">
        <v>10</v>
      </c>
      <c r="C3" s="17" t="s">
        <v>11</v>
      </c>
      <c r="D3" s="17" t="s">
        <v>13</v>
      </c>
      <c r="E3" s="17" t="s">
        <v>15</v>
      </c>
      <c r="F3" s="17" t="s">
        <v>16</v>
      </c>
      <c r="G3" s="17" t="s">
        <v>128</v>
      </c>
      <c r="H3" s="17" t="s">
        <v>67</v>
      </c>
      <c r="I3" s="17" t="s">
        <v>23</v>
      </c>
      <c r="J3" s="17" t="s">
        <v>66</v>
      </c>
      <c r="K3" s="17" t="s">
        <v>26</v>
      </c>
      <c r="L3" s="17" t="s">
        <v>27</v>
      </c>
      <c r="M3" s="17" t="s">
        <v>28</v>
      </c>
      <c r="N3" s="17" t="s">
        <v>38</v>
      </c>
      <c r="O3" s="17" t="s">
        <v>29</v>
      </c>
      <c r="P3" s="17" t="s">
        <v>30</v>
      </c>
      <c r="Q3" s="23" t="s">
        <v>136</v>
      </c>
      <c r="R3" s="23" t="s">
        <v>41</v>
      </c>
      <c r="S3" s="23" t="s">
        <v>79</v>
      </c>
      <c r="T3" s="23" t="s">
        <v>80</v>
      </c>
      <c r="U3" s="75" t="s">
        <v>27</v>
      </c>
      <c r="V3" s="75"/>
      <c r="W3" s="75"/>
      <c r="X3" s="23" t="s">
        <v>30</v>
      </c>
      <c r="Y3" s="48" t="s">
        <v>29</v>
      </c>
      <c r="Z3" s="48" t="s">
        <v>26</v>
      </c>
      <c r="AA3" s="66" t="s">
        <v>28</v>
      </c>
    </row>
    <row r="4" spans="1:74" s="5" customFormat="1" x14ac:dyDescent="0.35">
      <c r="A4" s="16" t="s">
        <v>43</v>
      </c>
      <c r="B4" s="44">
        <v>45107</v>
      </c>
      <c r="C4" s="18">
        <v>1</v>
      </c>
      <c r="D4" s="16">
        <v>13.68</v>
      </c>
      <c r="E4" s="16">
        <v>0.16400000000000001</v>
      </c>
      <c r="F4" s="16"/>
      <c r="G4" s="16"/>
      <c r="H4" s="24" t="s">
        <v>70</v>
      </c>
      <c r="I4" s="16"/>
      <c r="J4" s="16"/>
      <c r="K4" s="16">
        <v>0.27</v>
      </c>
      <c r="L4" s="25">
        <v>20</v>
      </c>
      <c r="M4" s="16">
        <v>1.6</v>
      </c>
      <c r="N4" s="16"/>
      <c r="O4" s="16"/>
      <c r="P4" s="25"/>
      <c r="Q4" s="26">
        <f>(K4+L4+M4)*0.21</f>
        <v>4.5926999999999998</v>
      </c>
      <c r="R4" s="26">
        <f t="shared" ref="R4" si="0">SUM(I4:Q4)</f>
        <v>26.462700000000002</v>
      </c>
      <c r="S4" s="27">
        <f>INDEX('2023年合同单价'!$8:$8,MATCH(H4,'2023年合同单价'!$4:$4,0))</f>
        <v>0</v>
      </c>
      <c r="T4" s="27">
        <f>INDEX('2023年合同单价'!$7:$7,MATCH(H4,'2023年合同单价'!$4:$4,0))</f>
        <v>0.18</v>
      </c>
      <c r="U4" s="28">
        <f t="shared" ref="U4:U35" si="1">E4*S4</f>
        <v>0</v>
      </c>
      <c r="V4" s="28">
        <f t="shared" ref="V4:V35" si="2">D4*T4</f>
        <v>2.4623999999999997</v>
      </c>
      <c r="W4" s="28">
        <f>INDEX('2023年合同单价'!$9:$9,MATCH(H4,'2023年合同单价'!$4:$4,0))</f>
        <v>20</v>
      </c>
      <c r="X4" s="28">
        <f t="shared" ref="X4:X40" si="3">IF(OR(H4="LPA",H4="ACE"),IF(F4*0.5%&lt;5,5,F4*0.5%),0)</f>
        <v>0</v>
      </c>
      <c r="Y4" s="28">
        <f>IF(OR(H4="LPA",H4="ACE"),F4*0.03,0)</f>
        <v>0</v>
      </c>
      <c r="Z4" s="28">
        <f t="shared" ref="Z4:Z35" si="4">IF(OR(H4="LPA",H4="ACE"),F4*0.011,0)</f>
        <v>0</v>
      </c>
      <c r="AA4" s="28">
        <f>IF(OR(H4="IBI",H4="PMI",H4="MNC"),IF(F4*0.0136&lt;1.6,1.6,F4*0.0136),"")</f>
        <v>1.6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s="5" customFormat="1" x14ac:dyDescent="0.35">
      <c r="A5" s="16" t="s">
        <v>44</v>
      </c>
      <c r="B5" s="44">
        <v>45107</v>
      </c>
      <c r="C5" s="18">
        <v>1</v>
      </c>
      <c r="D5" s="16">
        <v>31</v>
      </c>
      <c r="E5" s="16">
        <v>0.26</v>
      </c>
      <c r="F5" s="16"/>
      <c r="G5" s="16"/>
      <c r="H5" s="24" t="s">
        <v>70</v>
      </c>
      <c r="I5" s="16"/>
      <c r="J5" s="16"/>
      <c r="K5" s="16">
        <v>0.42</v>
      </c>
      <c r="L5" s="25">
        <v>20</v>
      </c>
      <c r="M5" s="16">
        <v>1.6</v>
      </c>
      <c r="N5" s="16"/>
      <c r="O5" s="16"/>
      <c r="P5" s="25"/>
      <c r="Q5" s="26">
        <f>(K5+L5+M5)*0.21</f>
        <v>4.6242000000000001</v>
      </c>
      <c r="R5" s="26">
        <f t="shared" ref="R5" si="5">SUM(I5:Q5)</f>
        <v>26.644200000000005</v>
      </c>
      <c r="S5" s="27">
        <f>INDEX('2023年合同单价'!$8:$8,MATCH(H5,'2023年合同单价'!$4:$4,0))</f>
        <v>0</v>
      </c>
      <c r="T5" s="27">
        <f>INDEX('2023年合同单价'!$7:$7,MATCH(H5,'2023年合同单价'!$4:$4,0))</f>
        <v>0.18</v>
      </c>
      <c r="U5" s="28">
        <f t="shared" si="1"/>
        <v>0</v>
      </c>
      <c r="V5" s="28">
        <f t="shared" si="2"/>
        <v>5.58</v>
      </c>
      <c r="W5" s="28">
        <f>INDEX('2023年合同单价'!$9:$9,MATCH(H5,'2023年合同单价'!$4:$4,0))</f>
        <v>20</v>
      </c>
      <c r="X5" s="28">
        <f t="shared" si="3"/>
        <v>0</v>
      </c>
      <c r="Y5" s="28">
        <f t="shared" ref="Y5:Y26" si="6">IF(OR(H5="LPA",H5="ACE"),F5*0.03,0)</f>
        <v>0</v>
      </c>
      <c r="Z5" s="28">
        <f t="shared" si="4"/>
        <v>0</v>
      </c>
      <c r="AA5" s="28">
        <f t="shared" ref="AA5:AA68" si="7">IF(OR(H5="IBI",H5="PMI",H5="MNC"),IF(F5*0.0136&lt;1.6,1.6,F5*0.0136),"")</f>
        <v>1.6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</row>
    <row r="6" spans="1:74" s="5" customFormat="1" x14ac:dyDescent="0.35">
      <c r="A6" s="16" t="s">
        <v>45</v>
      </c>
      <c r="B6" s="44">
        <v>45107</v>
      </c>
      <c r="C6" s="18">
        <v>1</v>
      </c>
      <c r="D6" s="16">
        <v>17.5</v>
      </c>
      <c r="E6" s="16">
        <v>0.186</v>
      </c>
      <c r="F6" s="16"/>
      <c r="G6" s="16"/>
      <c r="H6" s="24" t="s">
        <v>68</v>
      </c>
      <c r="I6" s="16"/>
      <c r="J6" s="16"/>
      <c r="K6" s="16">
        <v>0.3</v>
      </c>
      <c r="L6" s="25">
        <v>20</v>
      </c>
      <c r="M6" s="16">
        <v>1.6</v>
      </c>
      <c r="N6" s="16"/>
      <c r="O6" s="16"/>
      <c r="P6" s="25"/>
      <c r="Q6" s="26">
        <f>(K6+L6+M6)*0.21</f>
        <v>4.5990000000000002</v>
      </c>
      <c r="R6" s="26">
        <f>SUM(I6:Q6)</f>
        <v>26.499000000000002</v>
      </c>
      <c r="S6" s="27">
        <f>INDEX('2023年合同单价'!$8:$8,MATCH(H6,'2023年合同单价'!$4:$4,0))</f>
        <v>0</v>
      </c>
      <c r="T6" s="27">
        <f>INDEX('2023年合同单价'!$7:$7,MATCH(H6,'2023年合同单价'!$4:$4,0))</f>
        <v>0.17</v>
      </c>
      <c r="U6" s="28">
        <f t="shared" si="1"/>
        <v>0</v>
      </c>
      <c r="V6" s="28">
        <f t="shared" si="2"/>
        <v>2.9750000000000001</v>
      </c>
      <c r="W6" s="28">
        <f>INDEX('2023年合同单价'!$9:$9,MATCH(H6,'2023年合同单价'!$4:$4,0))</f>
        <v>20</v>
      </c>
      <c r="X6" s="28">
        <f t="shared" si="3"/>
        <v>0</v>
      </c>
      <c r="Y6" s="28">
        <f t="shared" si="6"/>
        <v>0</v>
      </c>
      <c r="Z6" s="28">
        <f t="shared" si="4"/>
        <v>0</v>
      </c>
      <c r="AA6" s="28">
        <f t="shared" si="7"/>
        <v>1.6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s="5" customFormat="1" x14ac:dyDescent="0.35">
      <c r="A7" s="16" t="s">
        <v>46</v>
      </c>
      <c r="B7" s="44">
        <v>45107</v>
      </c>
      <c r="C7" s="18">
        <v>1</v>
      </c>
      <c r="D7" s="16">
        <v>28</v>
      </c>
      <c r="E7" s="16">
        <v>0.17699999999999999</v>
      </c>
      <c r="F7" s="16"/>
      <c r="G7" s="16"/>
      <c r="H7" s="24" t="s">
        <v>70</v>
      </c>
      <c r="I7" s="16"/>
      <c r="J7" s="16"/>
      <c r="K7" s="16">
        <v>0.28999999999999998</v>
      </c>
      <c r="L7" s="25">
        <v>20</v>
      </c>
      <c r="M7" s="16">
        <v>1.6</v>
      </c>
      <c r="N7" s="16"/>
      <c r="O7" s="16"/>
      <c r="P7" s="25"/>
      <c r="Q7" s="26">
        <f>(K7+L7+M7)*0.21</f>
        <v>4.5968999999999998</v>
      </c>
      <c r="R7" s="26">
        <f t="shared" ref="R7:R14" si="8">SUM(I7:Q7)</f>
        <v>26.486899999999999</v>
      </c>
      <c r="S7" s="27">
        <f>INDEX('2023年合同单价'!$8:$8,MATCH(H7,'2023年合同单价'!$4:$4,0))</f>
        <v>0</v>
      </c>
      <c r="T7" s="27">
        <f>INDEX('2023年合同单价'!$7:$7,MATCH(H7,'2023年合同单价'!$4:$4,0))</f>
        <v>0.18</v>
      </c>
      <c r="U7" s="28">
        <f t="shared" si="1"/>
        <v>0</v>
      </c>
      <c r="V7" s="28">
        <f t="shared" si="2"/>
        <v>5.04</v>
      </c>
      <c r="W7" s="28">
        <f>INDEX('2023年合同单价'!$9:$9,MATCH(H7,'2023年合同单价'!$4:$4,0))</f>
        <v>20</v>
      </c>
      <c r="X7" s="28">
        <f t="shared" si="3"/>
        <v>0</v>
      </c>
      <c r="Y7" s="28">
        <f t="shared" si="6"/>
        <v>0</v>
      </c>
      <c r="Z7" s="28">
        <f t="shared" si="4"/>
        <v>0</v>
      </c>
      <c r="AA7" s="28">
        <f t="shared" si="7"/>
        <v>1.6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x14ac:dyDescent="0.35">
      <c r="A8" s="16" t="s">
        <v>47</v>
      </c>
      <c r="B8" s="44">
        <v>45107</v>
      </c>
      <c r="C8" s="18">
        <v>1</v>
      </c>
      <c r="D8" s="16">
        <v>24</v>
      </c>
      <c r="E8" s="16">
        <v>0.27500000000000002</v>
      </c>
      <c r="H8" s="16" t="s">
        <v>72</v>
      </c>
      <c r="I8" s="16">
        <v>0.8</v>
      </c>
      <c r="K8" s="16">
        <v>1.01</v>
      </c>
      <c r="L8" s="25">
        <v>20</v>
      </c>
      <c r="N8" s="16">
        <v>14</v>
      </c>
      <c r="O8" s="16">
        <v>2.75</v>
      </c>
      <c r="P8" s="25">
        <v>5</v>
      </c>
      <c r="R8" s="26">
        <f t="shared" si="8"/>
        <v>43.56</v>
      </c>
      <c r="S8" s="27">
        <f>INDEX('2023年合同单价'!$8:$8,MATCH(H8,'2023年合同单价'!$4:$4,0))</f>
        <v>56.61</v>
      </c>
      <c r="T8" s="27">
        <f>INDEX('2023年合同单价'!$7:$7,MATCH(H8,'2023年合同单价'!$4:$4,0))</f>
        <v>0.17</v>
      </c>
      <c r="U8" s="28">
        <f t="shared" si="1"/>
        <v>15.567750000000002</v>
      </c>
      <c r="V8" s="28">
        <f t="shared" si="2"/>
        <v>4.08</v>
      </c>
      <c r="W8" s="28">
        <f>INDEX('2023年合同单价'!$9:$9,MATCH(H8,'2023年合同单价'!$4:$4,0))</f>
        <v>20</v>
      </c>
      <c r="X8" s="28">
        <f t="shared" si="3"/>
        <v>5</v>
      </c>
      <c r="Y8" s="28">
        <f t="shared" si="6"/>
        <v>0</v>
      </c>
      <c r="Z8" s="28">
        <f t="shared" si="4"/>
        <v>0</v>
      </c>
      <c r="AA8" s="28" t="str">
        <f t="shared" si="7"/>
        <v/>
      </c>
    </row>
    <row r="9" spans="1:74" x14ac:dyDescent="0.35">
      <c r="A9" s="16" t="s">
        <v>48</v>
      </c>
      <c r="B9" s="44">
        <v>45107</v>
      </c>
      <c r="C9" s="18">
        <v>1</v>
      </c>
      <c r="D9" s="16">
        <v>108</v>
      </c>
      <c r="E9" s="16">
        <v>0.93100000000000005</v>
      </c>
      <c r="F9" s="16">
        <v>1780.59</v>
      </c>
      <c r="H9" s="16" t="s">
        <v>72</v>
      </c>
      <c r="I9" s="16">
        <v>0.8</v>
      </c>
      <c r="K9" s="16">
        <v>3.41</v>
      </c>
      <c r="L9" s="25">
        <v>52.7</v>
      </c>
      <c r="N9" s="16">
        <v>14</v>
      </c>
      <c r="O9" s="16">
        <v>9.3000000000000007</v>
      </c>
      <c r="P9" s="25">
        <v>8.9</v>
      </c>
      <c r="R9" s="26">
        <f t="shared" si="8"/>
        <v>89.11</v>
      </c>
      <c r="S9" s="27">
        <f>INDEX('2023年合同单价'!$8:$8,MATCH(H9,'2023年合同单价'!$4:$4,0))</f>
        <v>56.61</v>
      </c>
      <c r="T9" s="27">
        <f>INDEX('2023年合同单价'!$7:$7,MATCH(H9,'2023年合同单价'!$4:$4,0))</f>
        <v>0.17</v>
      </c>
      <c r="U9" s="28">
        <f t="shared" si="1"/>
        <v>52.70391</v>
      </c>
      <c r="V9" s="28">
        <f t="shared" si="2"/>
        <v>18.360000000000003</v>
      </c>
      <c r="W9" s="28">
        <f>INDEX('2023年合同单价'!$9:$9,MATCH(H9,'2023年合同单价'!$4:$4,0))</f>
        <v>20</v>
      </c>
      <c r="X9" s="28">
        <f t="shared" si="3"/>
        <v>8.9029500000000006</v>
      </c>
      <c r="Y9" s="28">
        <f t="shared" si="6"/>
        <v>53.417699999999996</v>
      </c>
      <c r="Z9" s="28">
        <f t="shared" si="4"/>
        <v>19.586489999999998</v>
      </c>
      <c r="AA9" s="28" t="str">
        <f t="shared" si="7"/>
        <v/>
      </c>
    </row>
    <row r="10" spans="1:74" x14ac:dyDescent="0.35">
      <c r="A10" s="16" t="s">
        <v>49</v>
      </c>
      <c r="B10" s="44">
        <v>45107</v>
      </c>
      <c r="C10" s="18">
        <v>1</v>
      </c>
      <c r="D10" s="16">
        <v>160</v>
      </c>
      <c r="E10" s="16">
        <v>1.651</v>
      </c>
      <c r="F10" s="16">
        <v>2121.89</v>
      </c>
      <c r="H10" s="16" t="s">
        <v>72</v>
      </c>
      <c r="I10" s="16">
        <v>0.8</v>
      </c>
      <c r="K10" s="16">
        <v>6.05</v>
      </c>
      <c r="L10" s="25">
        <v>93.46</v>
      </c>
      <c r="N10" s="16">
        <v>14</v>
      </c>
      <c r="O10" s="16">
        <v>16.489999999999998</v>
      </c>
      <c r="P10" s="25">
        <v>10.61</v>
      </c>
      <c r="R10" s="26">
        <f t="shared" si="8"/>
        <v>141.40999999999997</v>
      </c>
      <c r="S10" s="27">
        <f>INDEX('2023年合同单价'!$8:$8,MATCH(H10,'2023年合同单价'!$4:$4,0))</f>
        <v>56.61</v>
      </c>
      <c r="T10" s="27">
        <f>INDEX('2023年合同单价'!$7:$7,MATCH(H10,'2023年合同单价'!$4:$4,0))</f>
        <v>0.17</v>
      </c>
      <c r="U10" s="28">
        <f t="shared" si="1"/>
        <v>93.46311</v>
      </c>
      <c r="V10" s="28">
        <f t="shared" si="2"/>
        <v>27.200000000000003</v>
      </c>
      <c r="W10" s="28">
        <f>INDEX('2023年合同单价'!$9:$9,MATCH(H10,'2023年合同单价'!$4:$4,0))</f>
        <v>20</v>
      </c>
      <c r="X10" s="28">
        <f t="shared" si="3"/>
        <v>10.609449999999999</v>
      </c>
      <c r="Y10" s="28">
        <f t="shared" si="6"/>
        <v>63.656699999999994</v>
      </c>
      <c r="Z10" s="28">
        <f t="shared" si="4"/>
        <v>23.340789999999998</v>
      </c>
      <c r="AA10" s="28" t="str">
        <f t="shared" si="7"/>
        <v/>
      </c>
    </row>
    <row r="11" spans="1:74" x14ac:dyDescent="0.35">
      <c r="A11" s="16" t="s">
        <v>50</v>
      </c>
      <c r="B11" s="44">
        <v>45107</v>
      </c>
      <c r="C11" s="18">
        <v>1</v>
      </c>
      <c r="D11" s="16">
        <v>94</v>
      </c>
      <c r="E11" s="16">
        <v>0.86399999999999999</v>
      </c>
      <c r="F11" s="16">
        <v>2702.57</v>
      </c>
      <c r="H11" s="16" t="s">
        <v>72</v>
      </c>
      <c r="I11" s="16">
        <v>0.8</v>
      </c>
      <c r="K11" s="16">
        <v>3.16</v>
      </c>
      <c r="L11" s="25">
        <v>48.91</v>
      </c>
      <c r="N11" s="16">
        <v>14</v>
      </c>
      <c r="O11" s="16">
        <v>8.6300000000000008</v>
      </c>
      <c r="P11" s="25">
        <v>13.51</v>
      </c>
      <c r="R11" s="26">
        <f t="shared" si="8"/>
        <v>89.01</v>
      </c>
      <c r="S11" s="27">
        <f>INDEX('2023年合同单价'!$8:$8,MATCH(H11,'2023年合同单价'!$4:$4,0))</f>
        <v>56.61</v>
      </c>
      <c r="T11" s="27">
        <f>INDEX('2023年合同单价'!$7:$7,MATCH(H11,'2023年合同单价'!$4:$4,0))</f>
        <v>0.17</v>
      </c>
      <c r="U11" s="28">
        <f t="shared" si="1"/>
        <v>48.91104</v>
      </c>
      <c r="V11" s="28">
        <f t="shared" si="2"/>
        <v>15.98</v>
      </c>
      <c r="W11" s="28">
        <f>INDEX('2023年合同单价'!$9:$9,MATCH(H11,'2023年合同单价'!$4:$4,0))</f>
        <v>20</v>
      </c>
      <c r="X11" s="28">
        <f t="shared" si="3"/>
        <v>13.51285</v>
      </c>
      <c r="Y11" s="28">
        <f t="shared" si="6"/>
        <v>81.077100000000002</v>
      </c>
      <c r="Z11" s="28">
        <f t="shared" si="4"/>
        <v>29.728269999999998</v>
      </c>
      <c r="AA11" s="28" t="str">
        <f t="shared" si="7"/>
        <v/>
      </c>
    </row>
    <row r="12" spans="1:74" x14ac:dyDescent="0.35">
      <c r="A12" s="16" t="s">
        <v>51</v>
      </c>
      <c r="B12" s="44">
        <v>45107</v>
      </c>
      <c r="C12" s="18">
        <v>1</v>
      </c>
      <c r="D12" s="16">
        <v>122</v>
      </c>
      <c r="E12" s="16">
        <v>1.1040000000000001</v>
      </c>
      <c r="F12" s="16">
        <v>2008.96</v>
      </c>
      <c r="H12" s="16" t="s">
        <v>72</v>
      </c>
      <c r="I12" s="16">
        <v>0.8</v>
      </c>
      <c r="K12" s="16">
        <v>4.04</v>
      </c>
      <c r="L12" s="25">
        <v>62.5</v>
      </c>
      <c r="N12" s="16">
        <v>14</v>
      </c>
      <c r="O12" s="16">
        <v>11.03</v>
      </c>
      <c r="P12" s="25">
        <v>10.039999999999999</v>
      </c>
      <c r="R12" s="26">
        <f t="shared" si="8"/>
        <v>102.41</v>
      </c>
      <c r="S12" s="27">
        <f>INDEX('2023年合同单价'!$8:$8,MATCH(H12,'2023年合同单价'!$4:$4,0))</f>
        <v>56.61</v>
      </c>
      <c r="T12" s="27">
        <f>INDEX('2023年合同单价'!$7:$7,MATCH(H12,'2023年合同单价'!$4:$4,0))</f>
        <v>0.17</v>
      </c>
      <c r="U12" s="28">
        <f t="shared" si="1"/>
        <v>62.497440000000005</v>
      </c>
      <c r="V12" s="28">
        <f t="shared" si="2"/>
        <v>20.740000000000002</v>
      </c>
      <c r="W12" s="28">
        <f>INDEX('2023年合同单价'!$9:$9,MATCH(H12,'2023年合同单价'!$4:$4,0))</f>
        <v>20</v>
      </c>
      <c r="X12" s="28">
        <f t="shared" si="3"/>
        <v>10.0448</v>
      </c>
      <c r="Y12" s="28">
        <f t="shared" si="6"/>
        <v>60.268799999999999</v>
      </c>
      <c r="Z12" s="28">
        <f t="shared" si="4"/>
        <v>22.098559999999999</v>
      </c>
      <c r="AA12" s="28" t="str">
        <f t="shared" si="7"/>
        <v/>
      </c>
    </row>
    <row r="13" spans="1:74" x14ac:dyDescent="0.35">
      <c r="A13" s="16" t="s">
        <v>52</v>
      </c>
      <c r="B13" s="44">
        <v>45107</v>
      </c>
      <c r="C13" s="18">
        <v>2</v>
      </c>
      <c r="D13" s="16">
        <v>60</v>
      </c>
      <c r="E13" s="16">
        <v>0.41199999999999998</v>
      </c>
      <c r="F13" s="16">
        <v>2504.34</v>
      </c>
      <c r="H13" s="16" t="s">
        <v>71</v>
      </c>
      <c r="K13" s="16">
        <v>1.51</v>
      </c>
      <c r="L13" s="25">
        <v>27.44</v>
      </c>
      <c r="N13" s="16">
        <v>14</v>
      </c>
      <c r="O13" s="16">
        <v>4.12</v>
      </c>
      <c r="P13" s="25">
        <v>12.52</v>
      </c>
      <c r="R13" s="26">
        <f t="shared" si="8"/>
        <v>59.59</v>
      </c>
      <c r="S13" s="27">
        <f>INDEX('2023年合同单价'!$8:$8,MATCH(H13,'2023年合同单价'!$4:$4,0))</f>
        <v>66.599999999999994</v>
      </c>
      <c r="T13" s="27">
        <f>INDEX('2023年合同单价'!$7:$7,MATCH(H13,'2023年合同单价'!$4:$4,0))</f>
        <v>0.2</v>
      </c>
      <c r="U13" s="28">
        <f t="shared" si="1"/>
        <v>27.439199999999996</v>
      </c>
      <c r="V13" s="28">
        <f t="shared" si="2"/>
        <v>12</v>
      </c>
      <c r="W13" s="28">
        <f>INDEX('2023年合同单价'!$9:$9,MATCH(H13,'2023年合同单价'!$4:$4,0))</f>
        <v>25</v>
      </c>
      <c r="X13" s="28">
        <f t="shared" si="3"/>
        <v>12.521700000000001</v>
      </c>
      <c r="Y13" s="28">
        <f t="shared" si="6"/>
        <v>75.130200000000002</v>
      </c>
      <c r="Z13" s="28">
        <f t="shared" si="4"/>
        <v>27.547740000000001</v>
      </c>
      <c r="AA13" s="28" t="str">
        <f t="shared" si="7"/>
        <v/>
      </c>
    </row>
    <row r="14" spans="1:74" x14ac:dyDescent="0.35">
      <c r="A14" s="16" t="s">
        <v>53</v>
      </c>
      <c r="B14" s="44">
        <v>45107</v>
      </c>
      <c r="C14" s="18">
        <v>1</v>
      </c>
      <c r="D14" s="16">
        <v>101</v>
      </c>
      <c r="E14" s="16">
        <v>0.96</v>
      </c>
      <c r="F14" s="16">
        <v>1970.13</v>
      </c>
      <c r="H14" s="16" t="s">
        <v>71</v>
      </c>
      <c r="K14" s="16">
        <v>3.52</v>
      </c>
      <c r="L14" s="25">
        <v>63.94</v>
      </c>
      <c r="N14" s="16">
        <v>14</v>
      </c>
      <c r="O14" s="16">
        <v>9.59</v>
      </c>
      <c r="P14" s="25">
        <v>9.85</v>
      </c>
      <c r="R14" s="26">
        <f t="shared" si="8"/>
        <v>100.89999999999999</v>
      </c>
      <c r="S14" s="27">
        <f>INDEX('2023年合同单价'!$8:$8,MATCH(H14,'2023年合同单价'!$4:$4,0))</f>
        <v>66.599999999999994</v>
      </c>
      <c r="T14" s="27">
        <f>INDEX('2023年合同单价'!$7:$7,MATCH(H14,'2023年合同单价'!$4:$4,0))</f>
        <v>0.2</v>
      </c>
      <c r="U14" s="28">
        <f t="shared" si="1"/>
        <v>63.935999999999993</v>
      </c>
      <c r="V14" s="28">
        <f t="shared" si="2"/>
        <v>20.200000000000003</v>
      </c>
      <c r="W14" s="28">
        <f>INDEX('2023年合同单价'!$9:$9,MATCH(H14,'2023年合同单价'!$4:$4,0))</f>
        <v>25</v>
      </c>
      <c r="X14" s="28">
        <f t="shared" si="3"/>
        <v>9.8506499999999999</v>
      </c>
      <c r="Y14" s="28">
        <f t="shared" si="6"/>
        <v>59.103900000000003</v>
      </c>
      <c r="Z14" s="28">
        <f t="shared" si="4"/>
        <v>21.671430000000001</v>
      </c>
      <c r="AA14" s="28" t="str">
        <f t="shared" si="7"/>
        <v/>
      </c>
    </row>
    <row r="15" spans="1:74" s="5" customFormat="1" x14ac:dyDescent="0.35">
      <c r="A15" s="16" t="s">
        <v>54</v>
      </c>
      <c r="B15" s="44">
        <v>45107</v>
      </c>
      <c r="C15" s="18">
        <v>1</v>
      </c>
      <c r="D15" s="16">
        <v>22.5</v>
      </c>
      <c r="E15" s="16">
        <v>0.20399999999999999</v>
      </c>
      <c r="F15" s="16"/>
      <c r="G15" s="16"/>
      <c r="H15" s="24" t="s">
        <v>69</v>
      </c>
      <c r="I15" s="16"/>
      <c r="J15" s="16"/>
      <c r="K15" s="16">
        <v>0.33</v>
      </c>
      <c r="L15" s="25">
        <v>20</v>
      </c>
      <c r="M15" s="16">
        <v>1.6</v>
      </c>
      <c r="N15" s="16"/>
      <c r="O15" s="16"/>
      <c r="P15" s="25"/>
      <c r="Q15" s="26">
        <f>(K15+L15+M15)*0.21</f>
        <v>4.6052999999999997</v>
      </c>
      <c r="R15" s="26">
        <f t="shared" ref="R15" si="9">SUM(I15:Q15)</f>
        <v>26.535299999999999</v>
      </c>
      <c r="S15" s="27">
        <f>INDEX('2023年合同单价'!$8:$8,MATCH(H15,'2023年合同单价'!$4:$4,0))</f>
        <v>0</v>
      </c>
      <c r="T15" s="27">
        <f>INDEX('2023年合同单价'!$7:$7,MATCH(H15,'2023年合同单价'!$4:$4,0))</f>
        <v>0.19</v>
      </c>
      <c r="U15" s="28">
        <f t="shared" si="1"/>
        <v>0</v>
      </c>
      <c r="V15" s="28">
        <f t="shared" si="2"/>
        <v>4.2750000000000004</v>
      </c>
      <c r="W15" s="28">
        <f>INDEX('2023年合同单价'!$9:$9,MATCH(H15,'2023年合同单价'!$4:$4,0))</f>
        <v>20</v>
      </c>
      <c r="X15" s="28">
        <f t="shared" si="3"/>
        <v>0</v>
      </c>
      <c r="Y15" s="28">
        <f t="shared" si="6"/>
        <v>0</v>
      </c>
      <c r="Z15" s="28">
        <f t="shared" si="4"/>
        <v>0</v>
      </c>
      <c r="AA15" s="28">
        <f t="shared" si="7"/>
        <v>1.6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4" s="5" customFormat="1" x14ac:dyDescent="0.35">
      <c r="A16" s="16" t="s">
        <v>55</v>
      </c>
      <c r="B16" s="44">
        <v>45107</v>
      </c>
      <c r="C16" s="18">
        <v>2</v>
      </c>
      <c r="D16" s="16">
        <v>54.5</v>
      </c>
      <c r="E16" s="16">
        <v>0.30499999999999999</v>
      </c>
      <c r="F16" s="16"/>
      <c r="G16" s="16"/>
      <c r="H16" s="24" t="s">
        <v>68</v>
      </c>
      <c r="I16" s="16"/>
      <c r="J16" s="16"/>
      <c r="K16" s="16">
        <v>0.49</v>
      </c>
      <c r="L16" s="25">
        <v>20</v>
      </c>
      <c r="M16" s="16">
        <v>1.6</v>
      </c>
      <c r="N16" s="16"/>
      <c r="O16" s="16"/>
      <c r="P16" s="25"/>
      <c r="Q16" s="26">
        <f t="shared" ref="Q16:Q25" si="10">(K16+L16+M16)*0.21</f>
        <v>4.6388999999999996</v>
      </c>
      <c r="R16" s="26">
        <f t="shared" ref="R16" si="11">SUM(I16:Q16)</f>
        <v>26.728899999999999</v>
      </c>
      <c r="S16" s="27">
        <f>INDEX('2023年合同单价'!$8:$8,MATCH(H16,'2023年合同单价'!$4:$4,0))</f>
        <v>0</v>
      </c>
      <c r="T16" s="27">
        <f>INDEX('2023年合同单价'!$7:$7,MATCH(H16,'2023年合同单价'!$4:$4,0))</f>
        <v>0.17</v>
      </c>
      <c r="U16" s="28">
        <f t="shared" si="1"/>
        <v>0</v>
      </c>
      <c r="V16" s="28">
        <f t="shared" si="2"/>
        <v>9.2650000000000006</v>
      </c>
      <c r="W16" s="28">
        <f>INDEX('2023年合同单价'!$9:$9,MATCH(H16,'2023年合同单价'!$4:$4,0))</f>
        <v>20</v>
      </c>
      <c r="X16" s="28">
        <f t="shared" si="3"/>
        <v>0</v>
      </c>
      <c r="Y16" s="28">
        <f t="shared" si="6"/>
        <v>0</v>
      </c>
      <c r="Z16" s="28">
        <f t="shared" si="4"/>
        <v>0</v>
      </c>
      <c r="AA16" s="28">
        <f t="shared" si="7"/>
        <v>1.6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s="5" customFormat="1" x14ac:dyDescent="0.35">
      <c r="A17" s="16" t="s">
        <v>56</v>
      </c>
      <c r="B17" s="44">
        <v>45107</v>
      </c>
      <c r="C17" s="18">
        <v>1</v>
      </c>
      <c r="D17" s="16">
        <v>19</v>
      </c>
      <c r="E17" s="16">
        <v>0.153</v>
      </c>
      <c r="F17" s="16"/>
      <c r="G17" s="16"/>
      <c r="H17" s="24" t="s">
        <v>70</v>
      </c>
      <c r="I17" s="16"/>
      <c r="J17" s="16"/>
      <c r="K17" s="16">
        <v>0.25</v>
      </c>
      <c r="L17" s="25">
        <v>20</v>
      </c>
      <c r="M17" s="16">
        <v>1.6</v>
      </c>
      <c r="N17" s="16"/>
      <c r="O17" s="16"/>
      <c r="P17" s="25"/>
      <c r="Q17" s="26">
        <f t="shared" si="10"/>
        <v>4.5884999999999998</v>
      </c>
      <c r="R17" s="26">
        <f t="shared" ref="R17" si="12">SUM(I17:Q17)</f>
        <v>26.438500000000001</v>
      </c>
      <c r="S17" s="27">
        <f>INDEX('2023年合同单价'!$8:$8,MATCH(H17,'2023年合同单价'!$4:$4,0))</f>
        <v>0</v>
      </c>
      <c r="T17" s="27">
        <f>INDEX('2023年合同单价'!$7:$7,MATCH(H17,'2023年合同单价'!$4:$4,0))</f>
        <v>0.18</v>
      </c>
      <c r="U17" s="28">
        <f t="shared" si="1"/>
        <v>0</v>
      </c>
      <c r="V17" s="28">
        <f t="shared" si="2"/>
        <v>3.42</v>
      </c>
      <c r="W17" s="28">
        <f>INDEX('2023年合同单价'!$9:$9,MATCH(H17,'2023年合同单价'!$4:$4,0))</f>
        <v>20</v>
      </c>
      <c r="X17" s="28">
        <f t="shared" si="3"/>
        <v>0</v>
      </c>
      <c r="Y17" s="28">
        <f t="shared" si="6"/>
        <v>0</v>
      </c>
      <c r="Z17" s="28">
        <f t="shared" si="4"/>
        <v>0</v>
      </c>
      <c r="AA17" s="28">
        <f t="shared" si="7"/>
        <v>1.6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s="5" customFormat="1" x14ac:dyDescent="0.35">
      <c r="A18" s="16" t="s">
        <v>57</v>
      </c>
      <c r="B18" s="44">
        <v>45107</v>
      </c>
      <c r="C18" s="18">
        <v>1</v>
      </c>
      <c r="D18" s="16">
        <v>17.5</v>
      </c>
      <c r="E18" s="16">
        <v>7.3999999999999996E-2</v>
      </c>
      <c r="F18" s="16"/>
      <c r="G18" s="16"/>
      <c r="H18" s="24" t="s">
        <v>69</v>
      </c>
      <c r="I18" s="16"/>
      <c r="J18" s="16"/>
      <c r="K18" s="16">
        <v>0.12</v>
      </c>
      <c r="L18" s="25">
        <v>20</v>
      </c>
      <c r="M18" s="16">
        <v>1.6</v>
      </c>
      <c r="N18" s="16"/>
      <c r="O18" s="16"/>
      <c r="P18" s="25"/>
      <c r="Q18" s="26">
        <f t="shared" si="10"/>
        <v>4.5612000000000004</v>
      </c>
      <c r="R18" s="26">
        <f t="shared" ref="R18:R24" si="13">SUM(I18:Q18)</f>
        <v>26.281200000000002</v>
      </c>
      <c r="S18" s="27">
        <f>INDEX('2023年合同单价'!$8:$8,MATCH(H18,'2023年合同单价'!$4:$4,0))</f>
        <v>0</v>
      </c>
      <c r="T18" s="27">
        <f>INDEX('2023年合同单价'!$7:$7,MATCH(H18,'2023年合同单价'!$4:$4,0))</f>
        <v>0.19</v>
      </c>
      <c r="U18" s="28">
        <f t="shared" si="1"/>
        <v>0</v>
      </c>
      <c r="V18" s="28">
        <f t="shared" si="2"/>
        <v>3.3250000000000002</v>
      </c>
      <c r="W18" s="28">
        <f>INDEX('2023年合同单价'!$9:$9,MATCH(H18,'2023年合同单价'!$4:$4,0))</f>
        <v>20</v>
      </c>
      <c r="X18" s="28">
        <f t="shared" si="3"/>
        <v>0</v>
      </c>
      <c r="Y18" s="28">
        <f t="shared" si="6"/>
        <v>0</v>
      </c>
      <c r="Z18" s="28">
        <f t="shared" si="4"/>
        <v>0</v>
      </c>
      <c r="AA18" s="28">
        <f t="shared" si="7"/>
        <v>1.6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s="5" customFormat="1" x14ac:dyDescent="0.35">
      <c r="A19" s="16" t="s">
        <v>58</v>
      </c>
      <c r="B19" s="44">
        <v>45107</v>
      </c>
      <c r="C19" s="18">
        <v>1</v>
      </c>
      <c r="D19" s="16">
        <v>28</v>
      </c>
      <c r="E19" s="16">
        <v>0.30299999999999999</v>
      </c>
      <c r="F19" s="16"/>
      <c r="G19" s="16"/>
      <c r="H19" s="24" t="s">
        <v>68</v>
      </c>
      <c r="I19" s="16"/>
      <c r="J19" s="16"/>
      <c r="K19" s="16">
        <v>0.49</v>
      </c>
      <c r="L19" s="25">
        <v>20</v>
      </c>
      <c r="M19" s="16">
        <v>1.6</v>
      </c>
      <c r="N19" s="16"/>
      <c r="O19" s="16"/>
      <c r="P19" s="25"/>
      <c r="Q19" s="26">
        <f t="shared" si="10"/>
        <v>4.6388999999999996</v>
      </c>
      <c r="R19" s="26">
        <f t="shared" si="13"/>
        <v>26.728899999999999</v>
      </c>
      <c r="S19" s="27">
        <f>INDEX('2023年合同单价'!$8:$8,MATCH(H19,'2023年合同单价'!$4:$4,0))</f>
        <v>0</v>
      </c>
      <c r="T19" s="27">
        <f>INDEX('2023年合同单价'!$7:$7,MATCH(H19,'2023年合同单价'!$4:$4,0))</f>
        <v>0.17</v>
      </c>
      <c r="U19" s="28">
        <f t="shared" si="1"/>
        <v>0</v>
      </c>
      <c r="V19" s="28">
        <f t="shared" si="2"/>
        <v>4.7600000000000007</v>
      </c>
      <c r="W19" s="28">
        <f>INDEX('2023年合同单价'!$9:$9,MATCH(H19,'2023年合同单价'!$4:$4,0))</f>
        <v>20</v>
      </c>
      <c r="X19" s="28">
        <f t="shared" si="3"/>
        <v>0</v>
      </c>
      <c r="Y19" s="28">
        <f t="shared" si="6"/>
        <v>0</v>
      </c>
      <c r="Z19" s="28">
        <f t="shared" si="4"/>
        <v>0</v>
      </c>
      <c r="AA19" s="28">
        <f t="shared" si="7"/>
        <v>1.6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35">
      <c r="A20" s="16" t="s">
        <v>59</v>
      </c>
      <c r="B20" s="44">
        <v>45107</v>
      </c>
      <c r="C20" s="18">
        <v>2</v>
      </c>
      <c r="D20" s="16">
        <v>125.5</v>
      </c>
      <c r="E20" s="16">
        <v>0.188</v>
      </c>
      <c r="H20" s="16" t="s">
        <v>68</v>
      </c>
      <c r="K20" s="16">
        <v>0.75</v>
      </c>
      <c r="L20" s="25">
        <v>21.34</v>
      </c>
      <c r="M20" s="16">
        <v>1.71</v>
      </c>
      <c r="P20" s="25"/>
      <c r="Q20" s="26">
        <f t="shared" si="10"/>
        <v>4.9980000000000002</v>
      </c>
      <c r="R20" s="26">
        <f t="shared" si="13"/>
        <v>28.798000000000002</v>
      </c>
      <c r="S20" s="27">
        <f>INDEX('2023年合同单价'!$8:$8,MATCH(H20,'2023年合同单价'!$4:$4,0))</f>
        <v>0</v>
      </c>
      <c r="T20" s="27">
        <f>INDEX('2023年合同单价'!$7:$7,MATCH(H20,'2023年合同单价'!$4:$4,0))</f>
        <v>0.17</v>
      </c>
      <c r="U20" s="28">
        <f t="shared" si="1"/>
        <v>0</v>
      </c>
      <c r="V20" s="28">
        <f t="shared" si="2"/>
        <v>21.335000000000001</v>
      </c>
      <c r="W20" s="28">
        <f>INDEX('2023年合同单价'!$9:$9,MATCH(H20,'2023年合同单价'!$4:$4,0))</f>
        <v>20</v>
      </c>
      <c r="X20" s="28">
        <f t="shared" si="3"/>
        <v>0</v>
      </c>
      <c r="Y20" s="28">
        <f t="shared" si="6"/>
        <v>0</v>
      </c>
      <c r="Z20" s="28">
        <f t="shared" si="4"/>
        <v>0</v>
      </c>
      <c r="AA20" s="28">
        <f t="shared" si="7"/>
        <v>1.6</v>
      </c>
    </row>
    <row r="21" spans="1:74" s="5" customFormat="1" x14ac:dyDescent="0.35">
      <c r="A21" s="16" t="s">
        <v>60</v>
      </c>
      <c r="B21" s="44">
        <v>45107</v>
      </c>
      <c r="C21" s="18">
        <v>1</v>
      </c>
      <c r="D21" s="16">
        <v>14.5</v>
      </c>
      <c r="E21" s="16">
        <v>0.108</v>
      </c>
      <c r="F21" s="16"/>
      <c r="G21" s="16"/>
      <c r="H21" s="24" t="s">
        <v>68</v>
      </c>
      <c r="I21" s="16"/>
      <c r="J21" s="16"/>
      <c r="K21" s="16">
        <v>0.17</v>
      </c>
      <c r="L21" s="25">
        <v>20</v>
      </c>
      <c r="M21" s="16">
        <v>1.6</v>
      </c>
      <c r="N21" s="16"/>
      <c r="O21" s="16"/>
      <c r="P21" s="25"/>
      <c r="Q21" s="26">
        <f t="shared" si="10"/>
        <v>4.5717000000000008</v>
      </c>
      <c r="R21" s="26">
        <f t="shared" si="13"/>
        <v>26.341700000000003</v>
      </c>
      <c r="S21" s="27">
        <f>INDEX('2023年合同单价'!$8:$8,MATCH(H21,'2023年合同单价'!$4:$4,0))</f>
        <v>0</v>
      </c>
      <c r="T21" s="27">
        <f>INDEX('2023年合同单价'!$7:$7,MATCH(H21,'2023年合同单价'!$4:$4,0))</f>
        <v>0.17</v>
      </c>
      <c r="U21" s="28">
        <f t="shared" si="1"/>
        <v>0</v>
      </c>
      <c r="V21" s="28">
        <f t="shared" si="2"/>
        <v>2.4650000000000003</v>
      </c>
      <c r="W21" s="28">
        <f>INDEX('2023年合同单价'!$9:$9,MATCH(H21,'2023年合同单价'!$4:$4,0))</f>
        <v>20</v>
      </c>
      <c r="X21" s="28">
        <f t="shared" si="3"/>
        <v>0</v>
      </c>
      <c r="Y21" s="28">
        <f t="shared" si="6"/>
        <v>0</v>
      </c>
      <c r="Z21" s="28">
        <f t="shared" si="4"/>
        <v>0</v>
      </c>
      <c r="AA21" s="28">
        <f t="shared" si="7"/>
        <v>1.6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s="5" customFormat="1" x14ac:dyDescent="0.35">
      <c r="A22" s="16" t="s">
        <v>61</v>
      </c>
      <c r="B22" s="44">
        <v>45107</v>
      </c>
      <c r="C22" s="18">
        <v>1</v>
      </c>
      <c r="D22" s="16">
        <v>9.5</v>
      </c>
      <c r="E22" s="16">
        <v>0.154</v>
      </c>
      <c r="F22" s="16"/>
      <c r="G22" s="16"/>
      <c r="H22" s="24" t="s">
        <v>68</v>
      </c>
      <c r="I22" s="16"/>
      <c r="J22" s="16"/>
      <c r="K22" s="16">
        <v>0.25</v>
      </c>
      <c r="L22" s="25">
        <v>20</v>
      </c>
      <c r="M22" s="16">
        <v>1.6</v>
      </c>
      <c r="N22" s="16"/>
      <c r="O22" s="16"/>
      <c r="P22" s="25"/>
      <c r="Q22" s="26">
        <f t="shared" si="10"/>
        <v>4.5884999999999998</v>
      </c>
      <c r="R22" s="26">
        <f t="shared" si="13"/>
        <v>26.438500000000001</v>
      </c>
      <c r="S22" s="27">
        <f>INDEX('2023年合同单价'!$8:$8,MATCH(H22,'2023年合同单价'!$4:$4,0))</f>
        <v>0</v>
      </c>
      <c r="T22" s="27">
        <f>INDEX('2023年合同单价'!$7:$7,MATCH(H22,'2023年合同单价'!$4:$4,0))</f>
        <v>0.17</v>
      </c>
      <c r="U22" s="28">
        <f t="shared" si="1"/>
        <v>0</v>
      </c>
      <c r="V22" s="28">
        <f t="shared" si="2"/>
        <v>1.6150000000000002</v>
      </c>
      <c r="W22" s="28">
        <f>INDEX('2023年合同单价'!$9:$9,MATCH(H22,'2023年合同单价'!$4:$4,0))</f>
        <v>20</v>
      </c>
      <c r="X22" s="28">
        <f t="shared" si="3"/>
        <v>0</v>
      </c>
      <c r="Y22" s="28">
        <f t="shared" si="6"/>
        <v>0</v>
      </c>
      <c r="Z22" s="28">
        <f t="shared" si="4"/>
        <v>0</v>
      </c>
      <c r="AA22" s="28">
        <f t="shared" si="7"/>
        <v>1.6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s="5" customFormat="1" x14ac:dyDescent="0.35">
      <c r="A23" s="16" t="s">
        <v>62</v>
      </c>
      <c r="B23" s="44">
        <v>45107</v>
      </c>
      <c r="C23" s="18">
        <v>1</v>
      </c>
      <c r="D23" s="16">
        <v>24</v>
      </c>
      <c r="E23" s="16">
        <v>0.17699999999999999</v>
      </c>
      <c r="F23" s="16"/>
      <c r="G23" s="16"/>
      <c r="H23" s="24" t="s">
        <v>68</v>
      </c>
      <c r="I23" s="16"/>
      <c r="J23" s="16"/>
      <c r="K23" s="16">
        <v>0.28999999999999998</v>
      </c>
      <c r="L23" s="25">
        <v>20</v>
      </c>
      <c r="M23" s="16">
        <v>1.6</v>
      </c>
      <c r="N23" s="16"/>
      <c r="O23" s="16"/>
      <c r="P23" s="29"/>
      <c r="Q23" s="26">
        <f t="shared" si="10"/>
        <v>4.5968999999999998</v>
      </c>
      <c r="R23" s="26">
        <f t="shared" si="13"/>
        <v>26.486899999999999</v>
      </c>
      <c r="S23" s="27">
        <f>INDEX('2023年合同单价'!$8:$8,MATCH(H23,'2023年合同单价'!$4:$4,0))</f>
        <v>0</v>
      </c>
      <c r="T23" s="27">
        <f>INDEX('2023年合同单价'!$7:$7,MATCH(H23,'2023年合同单价'!$4:$4,0))</f>
        <v>0.17</v>
      </c>
      <c r="U23" s="28">
        <f t="shared" si="1"/>
        <v>0</v>
      </c>
      <c r="V23" s="28">
        <f t="shared" si="2"/>
        <v>4.08</v>
      </c>
      <c r="W23" s="28">
        <f>INDEX('2023年合同单价'!$9:$9,MATCH(H23,'2023年合同单价'!$4:$4,0))</f>
        <v>20</v>
      </c>
      <c r="X23" s="28">
        <f t="shared" si="3"/>
        <v>0</v>
      </c>
      <c r="Y23" s="28">
        <f t="shared" si="6"/>
        <v>0</v>
      </c>
      <c r="Z23" s="28">
        <f t="shared" si="4"/>
        <v>0</v>
      </c>
      <c r="AA23" s="28">
        <f t="shared" si="7"/>
        <v>1.6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s="5" customFormat="1" x14ac:dyDescent="0.35">
      <c r="A24" s="16" t="s">
        <v>63</v>
      </c>
      <c r="B24" s="44">
        <v>45107</v>
      </c>
      <c r="C24" s="18">
        <v>1</v>
      </c>
      <c r="D24" s="16">
        <v>12</v>
      </c>
      <c r="E24" s="16">
        <v>7.6999999999999999E-2</v>
      </c>
      <c r="F24" s="16"/>
      <c r="G24" s="16"/>
      <c r="H24" s="24" t="s">
        <v>68</v>
      </c>
      <c r="I24" s="16"/>
      <c r="J24" s="16"/>
      <c r="K24" s="16">
        <v>0.12</v>
      </c>
      <c r="L24" s="25">
        <v>20</v>
      </c>
      <c r="M24" s="16">
        <v>1.6</v>
      </c>
      <c r="N24" s="16"/>
      <c r="O24" s="16"/>
      <c r="P24" s="29"/>
      <c r="Q24" s="26">
        <f t="shared" si="10"/>
        <v>4.5612000000000004</v>
      </c>
      <c r="R24" s="26">
        <f t="shared" si="13"/>
        <v>26.281200000000002</v>
      </c>
      <c r="S24" s="27">
        <f>INDEX('2023年合同单价'!$8:$8,MATCH(H24,'2023年合同单价'!$4:$4,0))</f>
        <v>0</v>
      </c>
      <c r="T24" s="27">
        <f>INDEX('2023年合同单价'!$7:$7,MATCH(H24,'2023年合同单价'!$4:$4,0))</f>
        <v>0.17</v>
      </c>
      <c r="U24" s="28">
        <f t="shared" si="1"/>
        <v>0</v>
      </c>
      <c r="V24" s="28">
        <f t="shared" si="2"/>
        <v>2.04</v>
      </c>
      <c r="W24" s="28">
        <f>INDEX('2023年合同单价'!$9:$9,MATCH(H24,'2023年合同单价'!$4:$4,0))</f>
        <v>20</v>
      </c>
      <c r="X24" s="28">
        <f t="shared" si="3"/>
        <v>0</v>
      </c>
      <c r="Y24" s="28">
        <f t="shared" si="6"/>
        <v>0</v>
      </c>
      <c r="Z24" s="28">
        <f t="shared" si="4"/>
        <v>0</v>
      </c>
      <c r="AA24" s="28">
        <f t="shared" si="7"/>
        <v>1.6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35">
      <c r="A25" s="16" t="s">
        <v>64</v>
      </c>
      <c r="B25" s="44">
        <v>45107</v>
      </c>
      <c r="C25" s="18">
        <v>1</v>
      </c>
      <c r="D25" s="16">
        <v>69</v>
      </c>
      <c r="E25" s="16">
        <v>0.84399999999999997</v>
      </c>
      <c r="H25" s="16" t="s">
        <v>68</v>
      </c>
      <c r="K25" s="16">
        <v>1.37</v>
      </c>
      <c r="L25" s="30">
        <v>38.74</v>
      </c>
      <c r="M25" s="16">
        <v>3.1</v>
      </c>
      <c r="P25" s="29"/>
      <c r="Q25" s="26">
        <f t="shared" si="10"/>
        <v>9.0740999999999996</v>
      </c>
      <c r="R25" s="26">
        <f>SUM(I25:Q25)</f>
        <v>52.284100000000002</v>
      </c>
      <c r="S25" s="27">
        <f>INDEX('2023年合同单价'!$8:$8,MATCH(H25,'2023年合同单价'!$4:$4,0))</f>
        <v>0</v>
      </c>
      <c r="T25" s="27">
        <f>INDEX('2023年合同单价'!$7:$7,MATCH(H25,'2023年合同单价'!$4:$4,0))</f>
        <v>0.17</v>
      </c>
      <c r="U25" s="28">
        <f t="shared" si="1"/>
        <v>0</v>
      </c>
      <c r="V25" s="31">
        <f t="shared" si="2"/>
        <v>11.73</v>
      </c>
      <c r="W25" s="31">
        <f>INDEX('2023年合同单价'!$9:$9,MATCH(H25,'2023年合同单价'!$4:$4,0))</f>
        <v>20</v>
      </c>
      <c r="X25" s="28">
        <f t="shared" si="3"/>
        <v>0</v>
      </c>
      <c r="Y25" s="28">
        <f t="shared" si="6"/>
        <v>0</v>
      </c>
      <c r="Z25" s="28">
        <f t="shared" si="4"/>
        <v>0</v>
      </c>
      <c r="AA25" s="28">
        <f t="shared" si="7"/>
        <v>1.6</v>
      </c>
    </row>
    <row r="26" spans="1:74" x14ac:dyDescent="0.35">
      <c r="A26" s="16" t="s">
        <v>65</v>
      </c>
      <c r="B26" s="44">
        <v>45107</v>
      </c>
      <c r="C26" s="18">
        <v>1</v>
      </c>
      <c r="D26" s="16">
        <v>30</v>
      </c>
      <c r="E26" s="16">
        <v>0.25700000000000001</v>
      </c>
      <c r="H26" s="16" t="s">
        <v>68</v>
      </c>
      <c r="J26" s="30">
        <v>2.78</v>
      </c>
      <c r="K26" s="16">
        <v>1.1100000000000001</v>
      </c>
      <c r="L26" s="30">
        <v>46.08</v>
      </c>
      <c r="M26" s="16">
        <v>3.69</v>
      </c>
      <c r="N26" s="30">
        <f>1.46+2.66+7.81</f>
        <v>11.93</v>
      </c>
      <c r="P26" s="29"/>
      <c r="Q26" s="26">
        <f>(J26+K26+L26+M26+N26)*0.21</f>
        <v>13.773899999999999</v>
      </c>
      <c r="R26" s="26">
        <f>SUM(I26:Q26)</f>
        <v>79.363900000000001</v>
      </c>
      <c r="S26" s="27">
        <f>INDEX('2023年合同单价'!$8:$8,MATCH(H26,'2023年合同单价'!$4:$4,0))</f>
        <v>0</v>
      </c>
      <c r="T26" s="27">
        <f>INDEX('2023年合同单价'!$7:$7,MATCH(H26,'2023年合同单价'!$4:$4,0))</f>
        <v>0.17</v>
      </c>
      <c r="U26" s="28">
        <f t="shared" si="1"/>
        <v>0</v>
      </c>
      <c r="V26" s="31">
        <f t="shared" si="2"/>
        <v>5.1000000000000005</v>
      </c>
      <c r="W26" s="31">
        <f>INDEX('2023年合同单价'!$9:$9,MATCH(H26,'2023年合同单价'!$4:$4,0))</f>
        <v>20</v>
      </c>
      <c r="X26" s="28">
        <f t="shared" si="3"/>
        <v>0</v>
      </c>
      <c r="Y26" s="28">
        <f t="shared" si="6"/>
        <v>0</v>
      </c>
      <c r="Z26" s="28">
        <f t="shared" si="4"/>
        <v>0</v>
      </c>
      <c r="AA26" s="28">
        <f t="shared" si="7"/>
        <v>1.6</v>
      </c>
    </row>
    <row r="27" spans="1:74" s="14" customFormat="1" x14ac:dyDescent="0.35">
      <c r="A27" s="32" t="s">
        <v>42</v>
      </c>
      <c r="B27" s="45" t="s">
        <v>91</v>
      </c>
      <c r="C27" s="33">
        <v>1</v>
      </c>
      <c r="D27" s="32">
        <v>19.3</v>
      </c>
      <c r="E27" s="32">
        <v>0.24299999999999999</v>
      </c>
      <c r="F27" s="32"/>
      <c r="G27" s="32"/>
      <c r="H27" s="32" t="s">
        <v>87</v>
      </c>
      <c r="I27" s="32"/>
      <c r="J27" s="32"/>
      <c r="K27" s="32">
        <v>0.39</v>
      </c>
      <c r="L27" s="32">
        <v>20</v>
      </c>
      <c r="M27" s="32">
        <v>1.6</v>
      </c>
      <c r="N27" s="32"/>
      <c r="O27" s="32"/>
      <c r="P27" s="32"/>
      <c r="Q27" s="34">
        <f>(K27+L27+M27)*0.21</f>
        <v>4.6179000000000006</v>
      </c>
      <c r="R27" s="34">
        <f t="shared" ref="R27:R90" si="14">SUM(I27:Q27)</f>
        <v>26.607900000000001</v>
      </c>
      <c r="S27" s="32">
        <f>INDEX('2023年合同单价'!$8:$8,MATCH(H27,'2023年合同单价'!$4:$4,0))</f>
        <v>0</v>
      </c>
      <c r="T27" s="32">
        <f>INDEX('2023年合同单价'!$7:$7,MATCH(H27,'2023年合同单价'!$4:$4,0))</f>
        <v>0.17</v>
      </c>
      <c r="U27" s="35">
        <f t="shared" si="1"/>
        <v>0</v>
      </c>
      <c r="V27" s="35">
        <f t="shared" si="2"/>
        <v>3.2810000000000001</v>
      </c>
      <c r="W27" s="35">
        <f>INDEX('2023年合同单价'!$9:$9,MATCH(H27,'2023年合同单价'!$4:$4,0))</f>
        <v>20</v>
      </c>
      <c r="X27" s="35">
        <f t="shared" si="3"/>
        <v>0</v>
      </c>
      <c r="Y27" s="28">
        <f t="shared" ref="Y27:Y68" si="15">IF(OR(H27="LPA",H27="ACE"),F27*0.03%,0)</f>
        <v>0</v>
      </c>
      <c r="Z27" s="28">
        <f t="shared" si="4"/>
        <v>0</v>
      </c>
      <c r="AA27" s="28">
        <f t="shared" si="7"/>
        <v>1.6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x14ac:dyDescent="0.35">
      <c r="A28" s="32" t="s">
        <v>42</v>
      </c>
      <c r="B28" s="44" t="s">
        <v>91</v>
      </c>
      <c r="C28" s="18">
        <v>1</v>
      </c>
      <c r="D28" s="16">
        <v>11.6</v>
      </c>
      <c r="E28" s="16">
        <v>8.4000000000000005E-2</v>
      </c>
      <c r="H28" s="16" t="s">
        <v>88</v>
      </c>
      <c r="K28" s="16">
        <v>0.14000000000000001</v>
      </c>
      <c r="L28" s="25">
        <v>20</v>
      </c>
      <c r="M28" s="16">
        <v>1.6</v>
      </c>
      <c r="P28" s="29"/>
      <c r="Q28" s="26">
        <f t="shared" ref="Q28:Q39" si="16">(K28+L28+M28)*0.21</f>
        <v>4.5654000000000003</v>
      </c>
      <c r="R28" s="26">
        <f t="shared" si="14"/>
        <v>26.305400000000002</v>
      </c>
      <c r="S28" s="27">
        <f>INDEX('2023年合同单价'!$8:$8,MATCH(H28,'2023年合同单价'!$4:$4,0))</f>
        <v>0</v>
      </c>
      <c r="T28" s="27">
        <f>INDEX('2023年合同单价'!$7:$7,MATCH(H28,'2023年合同单价'!$4:$4,0))</f>
        <v>0.18</v>
      </c>
      <c r="U28" s="28">
        <f t="shared" si="1"/>
        <v>0</v>
      </c>
      <c r="V28" s="28">
        <f t="shared" si="2"/>
        <v>2.0880000000000001</v>
      </c>
      <c r="W28" s="28">
        <f>INDEX('2023年合同单价'!$9:$9,MATCH(H28,'2023年合同单价'!$4:$4,0))</f>
        <v>20</v>
      </c>
      <c r="X28" s="28">
        <f t="shared" si="3"/>
        <v>0</v>
      </c>
      <c r="Y28" s="28">
        <f t="shared" si="15"/>
        <v>0</v>
      </c>
      <c r="Z28" s="28">
        <f t="shared" si="4"/>
        <v>0</v>
      </c>
      <c r="AA28" s="28">
        <f t="shared" si="7"/>
        <v>1.6</v>
      </c>
    </row>
    <row r="29" spans="1:74" x14ac:dyDescent="0.35">
      <c r="A29" s="32" t="s">
        <v>42</v>
      </c>
      <c r="B29" s="44" t="s">
        <v>92</v>
      </c>
      <c r="C29" s="18">
        <v>1</v>
      </c>
      <c r="D29" s="16">
        <v>127</v>
      </c>
      <c r="E29" s="16">
        <v>1.171</v>
      </c>
      <c r="H29" s="16" t="s">
        <v>88</v>
      </c>
      <c r="K29" s="16">
        <v>1.9</v>
      </c>
      <c r="L29" s="30">
        <v>56.91</v>
      </c>
      <c r="M29" s="16">
        <v>4.55</v>
      </c>
      <c r="P29" s="29"/>
      <c r="Q29" s="26">
        <f t="shared" si="16"/>
        <v>13.305599999999998</v>
      </c>
      <c r="R29" s="26">
        <f t="shared" si="14"/>
        <v>76.665599999999984</v>
      </c>
      <c r="S29" s="27">
        <f>INDEX('2023年合同单价'!$8:$8,MATCH(H29,'2023年合同单价'!$4:$4,0))</f>
        <v>0</v>
      </c>
      <c r="T29" s="27">
        <f>INDEX('2023年合同单价'!$7:$7,MATCH(H29,'2023年合同单价'!$4:$4,0))</f>
        <v>0.18</v>
      </c>
      <c r="U29" s="28">
        <f t="shared" si="1"/>
        <v>0</v>
      </c>
      <c r="V29" s="31">
        <f t="shared" si="2"/>
        <v>22.86</v>
      </c>
      <c r="W29" s="28">
        <f>INDEX('2023年合同单价'!$9:$9,MATCH(H29,'2023年合同单价'!$4:$4,0))</f>
        <v>20</v>
      </c>
      <c r="X29" s="28">
        <f t="shared" si="3"/>
        <v>0</v>
      </c>
      <c r="Y29" s="28">
        <f t="shared" si="15"/>
        <v>0</v>
      </c>
      <c r="Z29" s="28">
        <f t="shared" si="4"/>
        <v>0</v>
      </c>
      <c r="AA29" s="28">
        <f t="shared" si="7"/>
        <v>1.6</v>
      </c>
    </row>
    <row r="30" spans="1:74" x14ac:dyDescent="0.35">
      <c r="A30" s="32" t="s">
        <v>42</v>
      </c>
      <c r="B30" s="44" t="s">
        <v>92</v>
      </c>
      <c r="C30" s="18">
        <v>1</v>
      </c>
      <c r="D30" s="16">
        <v>25</v>
      </c>
      <c r="E30" s="16">
        <v>0.19</v>
      </c>
      <c r="H30" s="16" t="s">
        <v>87</v>
      </c>
      <c r="K30" s="16">
        <v>0.31</v>
      </c>
      <c r="L30" s="25">
        <v>20</v>
      </c>
      <c r="M30" s="16">
        <v>1.6</v>
      </c>
      <c r="P30" s="29"/>
      <c r="Q30" s="26">
        <f t="shared" si="16"/>
        <v>4.6010999999999997</v>
      </c>
      <c r="R30" s="26">
        <f t="shared" si="14"/>
        <v>26.511099999999999</v>
      </c>
      <c r="S30" s="27">
        <f>INDEX('2023年合同单价'!$8:$8,MATCH(H30,'2023年合同单价'!$4:$4,0))</f>
        <v>0</v>
      </c>
      <c r="T30" s="27">
        <f>INDEX('2023年合同单价'!$7:$7,MATCH(H30,'2023年合同单价'!$4:$4,0))</f>
        <v>0.17</v>
      </c>
      <c r="U30" s="28">
        <f t="shared" si="1"/>
        <v>0</v>
      </c>
      <c r="V30" s="28">
        <f t="shared" si="2"/>
        <v>4.25</v>
      </c>
      <c r="W30" s="28">
        <f>INDEX('2023年合同单价'!$9:$9,MATCH(H30,'2023年合同单价'!$4:$4,0))</f>
        <v>20</v>
      </c>
      <c r="X30" s="28">
        <f t="shared" si="3"/>
        <v>0</v>
      </c>
      <c r="Y30" s="28">
        <f t="shared" si="15"/>
        <v>0</v>
      </c>
      <c r="Z30" s="28">
        <f t="shared" si="4"/>
        <v>0</v>
      </c>
      <c r="AA30" s="28">
        <f t="shared" si="7"/>
        <v>1.6</v>
      </c>
    </row>
    <row r="31" spans="1:74" x14ac:dyDescent="0.35">
      <c r="A31" s="32" t="s">
        <v>42</v>
      </c>
      <c r="B31" s="44" t="s">
        <v>91</v>
      </c>
      <c r="C31" s="18">
        <v>1</v>
      </c>
      <c r="D31" s="16">
        <v>137</v>
      </c>
      <c r="E31" s="16">
        <v>1.296</v>
      </c>
      <c r="F31" s="16">
        <v>2003.91</v>
      </c>
      <c r="H31" s="16" t="s">
        <v>89</v>
      </c>
      <c r="I31" s="16">
        <v>0.8</v>
      </c>
      <c r="K31" s="16">
        <v>4.75</v>
      </c>
      <c r="L31" s="25">
        <v>73.37</v>
      </c>
      <c r="N31" s="16">
        <v>14</v>
      </c>
      <c r="O31" s="16">
        <v>12.95</v>
      </c>
      <c r="P31" s="29">
        <v>10.02</v>
      </c>
      <c r="R31" s="26">
        <f>SUM(I31:Q31)</f>
        <v>115.89</v>
      </c>
      <c r="S31" s="27">
        <f>INDEX('2023年合同单价'!$8:$8,MATCH(H31,'2023年合同单价'!$4:$4,0))</f>
        <v>56.61</v>
      </c>
      <c r="T31" s="27">
        <f>INDEX('2023年合同单价'!$7:$7,MATCH(H31,'2023年合同单价'!$4:$4,0))</f>
        <v>0.17</v>
      </c>
      <c r="U31" s="28">
        <f t="shared" si="1"/>
        <v>73.366560000000007</v>
      </c>
      <c r="V31" s="28">
        <f t="shared" si="2"/>
        <v>23.290000000000003</v>
      </c>
      <c r="W31" s="28">
        <f>INDEX('2023年合同单价'!$9:$9,MATCH(H31,'2023年合同单价'!$4:$4,0))</f>
        <v>20</v>
      </c>
      <c r="X31" s="28">
        <f t="shared" si="3"/>
        <v>10.019550000000001</v>
      </c>
      <c r="Y31" s="28">
        <f t="shared" si="15"/>
        <v>0.60117299999999996</v>
      </c>
      <c r="Z31" s="28">
        <f t="shared" si="4"/>
        <v>22.043009999999999</v>
      </c>
      <c r="AA31" s="28" t="str">
        <f t="shared" si="7"/>
        <v/>
      </c>
    </row>
    <row r="32" spans="1:74" x14ac:dyDescent="0.35">
      <c r="A32" s="32" t="s">
        <v>42</v>
      </c>
      <c r="B32" s="44" t="s">
        <v>91</v>
      </c>
      <c r="C32" s="18">
        <v>1</v>
      </c>
      <c r="D32" s="16">
        <v>104</v>
      </c>
      <c r="E32" s="16">
        <v>1.3720000000000001</v>
      </c>
      <c r="F32" s="16">
        <v>1190.5999999999999</v>
      </c>
      <c r="H32" s="16" t="s">
        <v>89</v>
      </c>
      <c r="I32" s="16">
        <v>0.8</v>
      </c>
      <c r="K32" s="16">
        <v>5.03</v>
      </c>
      <c r="L32" s="25">
        <v>77.67</v>
      </c>
      <c r="N32" s="16">
        <v>14</v>
      </c>
      <c r="O32" s="16">
        <v>13.71</v>
      </c>
      <c r="P32" s="29">
        <v>5.95</v>
      </c>
      <c r="R32" s="26">
        <f t="shared" si="14"/>
        <v>117.16000000000001</v>
      </c>
      <c r="S32" s="27">
        <f>INDEX('2023年合同单价'!$8:$8,MATCH(H32,'2023年合同单价'!$4:$4,0))</f>
        <v>56.61</v>
      </c>
      <c r="T32" s="27">
        <f>INDEX('2023年合同单价'!$7:$7,MATCH(H32,'2023年合同单价'!$4:$4,0))</f>
        <v>0.17</v>
      </c>
      <c r="U32" s="28">
        <f t="shared" si="1"/>
        <v>77.66892</v>
      </c>
      <c r="V32" s="28">
        <f t="shared" si="2"/>
        <v>17.68</v>
      </c>
      <c r="W32" s="28">
        <f>INDEX('2023年合同单价'!$9:$9,MATCH(H32,'2023年合同单价'!$4:$4,0))</f>
        <v>20</v>
      </c>
      <c r="X32" s="28">
        <f t="shared" si="3"/>
        <v>5.9529999999999994</v>
      </c>
      <c r="Y32" s="28">
        <f t="shared" si="15"/>
        <v>0.35717999999999994</v>
      </c>
      <c r="Z32" s="28">
        <f t="shared" si="4"/>
        <v>13.096599999999999</v>
      </c>
      <c r="AA32" s="28" t="str">
        <f t="shared" si="7"/>
        <v/>
      </c>
    </row>
    <row r="33" spans="1:67" x14ac:dyDescent="0.35">
      <c r="A33" s="32" t="s">
        <v>42</v>
      </c>
      <c r="B33" s="44" t="s">
        <v>93</v>
      </c>
      <c r="C33" s="18">
        <v>1</v>
      </c>
      <c r="D33" s="16">
        <v>11.36</v>
      </c>
      <c r="E33" s="16">
        <v>9.6000000000000002E-2</v>
      </c>
      <c r="H33" s="16" t="s">
        <v>87</v>
      </c>
      <c r="K33" s="16">
        <v>0.16</v>
      </c>
      <c r="L33" s="25">
        <v>20</v>
      </c>
      <c r="M33" s="16">
        <v>1.6</v>
      </c>
      <c r="P33" s="29"/>
      <c r="Q33" s="26">
        <f t="shared" si="16"/>
        <v>4.5696000000000003</v>
      </c>
      <c r="R33" s="26">
        <f t="shared" si="14"/>
        <v>26.329600000000003</v>
      </c>
      <c r="S33" s="27">
        <f>INDEX('2023年合同单价'!$8:$8,MATCH(H33,'2023年合同单价'!$4:$4,0))</f>
        <v>0</v>
      </c>
      <c r="T33" s="27">
        <f>INDEX('2023年合同单价'!$7:$7,MATCH(H33,'2023年合同单价'!$4:$4,0))</f>
        <v>0.17</v>
      </c>
      <c r="U33" s="28">
        <f t="shared" si="1"/>
        <v>0</v>
      </c>
      <c r="V33" s="28">
        <f t="shared" si="2"/>
        <v>1.9312</v>
      </c>
      <c r="W33" s="28">
        <f>INDEX('2023年合同单价'!$9:$9,MATCH(H33,'2023年合同单价'!$4:$4,0))</f>
        <v>20</v>
      </c>
      <c r="X33" s="28">
        <f t="shared" si="3"/>
        <v>0</v>
      </c>
      <c r="Y33" s="28">
        <f t="shared" si="15"/>
        <v>0</v>
      </c>
      <c r="Z33" s="28">
        <f t="shared" si="4"/>
        <v>0</v>
      </c>
      <c r="AA33" s="28">
        <f t="shared" si="7"/>
        <v>1.6</v>
      </c>
    </row>
    <row r="34" spans="1:67" x14ac:dyDescent="0.35">
      <c r="A34" s="32" t="s">
        <v>42</v>
      </c>
      <c r="B34" s="44" t="s">
        <v>94</v>
      </c>
      <c r="C34" s="18">
        <v>1</v>
      </c>
      <c r="D34" s="16">
        <v>14.2</v>
      </c>
      <c r="E34" s="16">
        <v>0.115</v>
      </c>
      <c r="H34" s="16" t="s">
        <v>87</v>
      </c>
      <c r="K34" s="16">
        <v>0.19</v>
      </c>
      <c r="L34" s="25">
        <v>20</v>
      </c>
      <c r="M34" s="16">
        <v>1.6</v>
      </c>
      <c r="P34" s="29"/>
      <c r="Q34" s="26">
        <f t="shared" si="16"/>
        <v>4.5759000000000007</v>
      </c>
      <c r="R34" s="26">
        <f t="shared" si="14"/>
        <v>26.365900000000003</v>
      </c>
      <c r="S34" s="27">
        <f>INDEX('2023年合同单价'!$8:$8,MATCH(H34,'2023年合同单价'!$4:$4,0))</f>
        <v>0</v>
      </c>
      <c r="T34" s="27">
        <f>INDEX('2023年合同单价'!$7:$7,MATCH(H34,'2023年合同单价'!$4:$4,0))</f>
        <v>0.17</v>
      </c>
      <c r="U34" s="28">
        <f t="shared" si="1"/>
        <v>0</v>
      </c>
      <c r="V34" s="28">
        <f t="shared" si="2"/>
        <v>2.4140000000000001</v>
      </c>
      <c r="W34" s="28">
        <f>INDEX('2023年合同单价'!$9:$9,MATCH(H34,'2023年合同单价'!$4:$4,0))</f>
        <v>20</v>
      </c>
      <c r="X34" s="28">
        <f t="shared" si="3"/>
        <v>0</v>
      </c>
      <c r="Y34" s="28">
        <f t="shared" si="15"/>
        <v>0</v>
      </c>
      <c r="Z34" s="28">
        <f t="shared" si="4"/>
        <v>0</v>
      </c>
      <c r="AA34" s="28">
        <f t="shared" si="7"/>
        <v>1.6</v>
      </c>
    </row>
    <row r="35" spans="1:67" x14ac:dyDescent="0.35">
      <c r="A35" s="32" t="s">
        <v>42</v>
      </c>
      <c r="B35" s="44" t="s">
        <v>94</v>
      </c>
      <c r="C35" s="18">
        <v>1</v>
      </c>
      <c r="D35" s="16">
        <v>34</v>
      </c>
      <c r="E35" s="16">
        <v>0.185</v>
      </c>
      <c r="H35" s="16" t="s">
        <v>87</v>
      </c>
      <c r="K35" s="16">
        <v>0.3</v>
      </c>
      <c r="L35" s="25">
        <v>20</v>
      </c>
      <c r="M35" s="16">
        <v>1.6</v>
      </c>
      <c r="P35" s="29"/>
      <c r="Q35" s="26">
        <f t="shared" si="16"/>
        <v>4.5990000000000002</v>
      </c>
      <c r="R35" s="26">
        <f t="shared" si="14"/>
        <v>26.499000000000002</v>
      </c>
      <c r="S35" s="27">
        <f>INDEX('2023年合同单价'!$8:$8,MATCH(H35,'2023年合同单价'!$4:$4,0))</f>
        <v>0</v>
      </c>
      <c r="T35" s="27">
        <f>INDEX('2023年合同单价'!$7:$7,MATCH(H35,'2023年合同单价'!$4:$4,0))</f>
        <v>0.17</v>
      </c>
      <c r="U35" s="28">
        <f t="shared" si="1"/>
        <v>0</v>
      </c>
      <c r="V35" s="28">
        <f t="shared" si="2"/>
        <v>5.78</v>
      </c>
      <c r="W35" s="28">
        <f>INDEX('2023年合同单价'!$9:$9,MATCH(H35,'2023年合同单价'!$4:$4,0))</f>
        <v>20</v>
      </c>
      <c r="X35" s="28">
        <f t="shared" si="3"/>
        <v>0</v>
      </c>
      <c r="Y35" s="28">
        <f t="shared" si="15"/>
        <v>0</v>
      </c>
      <c r="Z35" s="28">
        <f t="shared" si="4"/>
        <v>0</v>
      </c>
      <c r="AA35" s="28">
        <f t="shared" si="7"/>
        <v>1.6</v>
      </c>
    </row>
    <row r="36" spans="1:67" x14ac:dyDescent="0.35">
      <c r="A36" s="32" t="s">
        <v>42</v>
      </c>
      <c r="B36" s="44" t="s">
        <v>95</v>
      </c>
      <c r="C36" s="18">
        <v>1</v>
      </c>
      <c r="D36" s="16">
        <v>25</v>
      </c>
      <c r="E36" s="16">
        <v>0.18</v>
      </c>
      <c r="F36" s="16">
        <v>1227.72</v>
      </c>
      <c r="H36" s="16" t="s">
        <v>89</v>
      </c>
      <c r="I36" s="16">
        <v>0.8</v>
      </c>
      <c r="K36" s="16">
        <v>0.66</v>
      </c>
      <c r="L36" s="25">
        <v>20</v>
      </c>
      <c r="N36" s="16">
        <v>14</v>
      </c>
      <c r="O36" s="16">
        <v>1.8</v>
      </c>
      <c r="P36" s="29">
        <v>6.14</v>
      </c>
      <c r="R36" s="26">
        <f t="shared" si="14"/>
        <v>43.4</v>
      </c>
      <c r="S36" s="27">
        <f>INDEX('2023年合同单价'!$8:$8,MATCH(H36,'2023年合同单价'!$4:$4,0))</f>
        <v>56.61</v>
      </c>
      <c r="T36" s="27">
        <f>INDEX('2023年合同单价'!$7:$7,MATCH(H36,'2023年合同单价'!$4:$4,0))</f>
        <v>0.17</v>
      </c>
      <c r="U36" s="28">
        <f t="shared" ref="U36:U67" si="17">E36*S36</f>
        <v>10.1898</v>
      </c>
      <c r="V36" s="28">
        <f t="shared" ref="V36:V67" si="18">D36*T36</f>
        <v>4.25</v>
      </c>
      <c r="W36" s="28">
        <f>INDEX('2023年合同单价'!$9:$9,MATCH(H36,'2023年合同单价'!$4:$4,0))</f>
        <v>20</v>
      </c>
      <c r="X36" s="28">
        <f t="shared" si="3"/>
        <v>6.1386000000000003</v>
      </c>
      <c r="Y36" s="28">
        <f t="shared" si="15"/>
        <v>0.36831599999999998</v>
      </c>
      <c r="Z36" s="28">
        <f t="shared" ref="Z36:Z68" si="19">IF(OR(H36="LPA",H36="ACE"),F36*0.011,0)</f>
        <v>13.50492</v>
      </c>
      <c r="AA36" s="28" t="str">
        <f t="shared" si="7"/>
        <v/>
      </c>
    </row>
    <row r="37" spans="1:67" x14ac:dyDescent="0.35">
      <c r="A37" s="32" t="s">
        <v>42</v>
      </c>
      <c r="B37" s="44" t="s">
        <v>96</v>
      </c>
      <c r="C37" s="18">
        <v>2</v>
      </c>
      <c r="D37" s="16">
        <v>62</v>
      </c>
      <c r="E37" s="16">
        <v>0.49</v>
      </c>
      <c r="H37" s="16" t="s">
        <v>87</v>
      </c>
      <c r="K37" s="16">
        <v>0.79</v>
      </c>
      <c r="L37" s="30">
        <v>22.49</v>
      </c>
      <c r="M37" s="16">
        <v>1.8</v>
      </c>
      <c r="P37" s="29"/>
      <c r="Q37" s="26">
        <f t="shared" si="16"/>
        <v>5.266799999999999</v>
      </c>
      <c r="R37" s="26">
        <f t="shared" si="14"/>
        <v>30.346799999999998</v>
      </c>
      <c r="S37" s="27">
        <f>INDEX('2023年合同单价'!$8:$8,MATCH(H37,'2023年合同单价'!$4:$4,0))</f>
        <v>0</v>
      </c>
      <c r="T37" s="27">
        <f>INDEX('2023年合同单价'!$7:$7,MATCH(H37,'2023年合同单价'!$4:$4,0))</f>
        <v>0.17</v>
      </c>
      <c r="U37" s="28">
        <f t="shared" si="17"/>
        <v>0</v>
      </c>
      <c r="V37" s="31">
        <f t="shared" si="18"/>
        <v>10.540000000000001</v>
      </c>
      <c r="W37" s="31">
        <f>INDEX('2023年合同单价'!$9:$9,MATCH(H37,'2023年合同单价'!$4:$4,0))</f>
        <v>20</v>
      </c>
      <c r="X37" s="28">
        <f t="shared" si="3"/>
        <v>0</v>
      </c>
      <c r="Y37" s="28">
        <f t="shared" si="15"/>
        <v>0</v>
      </c>
      <c r="Z37" s="28">
        <f t="shared" si="19"/>
        <v>0</v>
      </c>
      <c r="AA37" s="28">
        <f t="shared" si="7"/>
        <v>1.6</v>
      </c>
    </row>
    <row r="38" spans="1:67" x14ac:dyDescent="0.35">
      <c r="A38" s="32" t="s">
        <v>42</v>
      </c>
      <c r="B38" s="44" t="s">
        <v>96</v>
      </c>
      <c r="C38" s="18">
        <v>1</v>
      </c>
      <c r="D38" s="16">
        <v>31</v>
      </c>
      <c r="E38" s="16">
        <v>0.245</v>
      </c>
      <c r="H38" s="16" t="s">
        <v>87</v>
      </c>
      <c r="K38" s="16">
        <v>0.4</v>
      </c>
      <c r="L38" s="25">
        <v>20</v>
      </c>
      <c r="M38" s="16">
        <v>1.6</v>
      </c>
      <c r="P38" s="29"/>
      <c r="Q38" s="26">
        <f t="shared" si="16"/>
        <v>4.62</v>
      </c>
      <c r="R38" s="26">
        <f t="shared" si="14"/>
        <v>26.62</v>
      </c>
      <c r="S38" s="27">
        <f>INDEX('2023年合同单价'!$8:$8,MATCH(H38,'2023年合同单价'!$4:$4,0))</f>
        <v>0</v>
      </c>
      <c r="T38" s="27">
        <f>INDEX('2023年合同单价'!$7:$7,MATCH(H38,'2023年合同单价'!$4:$4,0))</f>
        <v>0.17</v>
      </c>
      <c r="U38" s="28">
        <f t="shared" si="17"/>
        <v>0</v>
      </c>
      <c r="V38" s="28">
        <f t="shared" si="18"/>
        <v>5.2700000000000005</v>
      </c>
      <c r="W38" s="28">
        <f>INDEX('2023年合同单价'!$9:$9,MATCH(H38,'2023年合同单价'!$4:$4,0))</f>
        <v>20</v>
      </c>
      <c r="X38" s="28">
        <f t="shared" si="3"/>
        <v>0</v>
      </c>
      <c r="Y38" s="28">
        <f t="shared" si="15"/>
        <v>0</v>
      </c>
      <c r="Z38" s="28">
        <f t="shared" si="19"/>
        <v>0</v>
      </c>
      <c r="AA38" s="28">
        <f t="shared" si="7"/>
        <v>1.6</v>
      </c>
    </row>
    <row r="39" spans="1:67" x14ac:dyDescent="0.35">
      <c r="A39" s="32" t="s">
        <v>42</v>
      </c>
      <c r="B39" s="44" t="s">
        <v>96</v>
      </c>
      <c r="C39" s="18">
        <v>1</v>
      </c>
      <c r="D39" s="16">
        <v>31</v>
      </c>
      <c r="E39" s="16">
        <v>0.245</v>
      </c>
      <c r="H39" s="16" t="s">
        <v>87</v>
      </c>
      <c r="K39" s="16">
        <v>0.4</v>
      </c>
      <c r="L39" s="25">
        <v>20</v>
      </c>
      <c r="M39" s="16">
        <v>1.6</v>
      </c>
      <c r="P39" s="29"/>
      <c r="Q39" s="26">
        <f t="shared" si="16"/>
        <v>4.62</v>
      </c>
      <c r="R39" s="26">
        <f t="shared" si="14"/>
        <v>26.62</v>
      </c>
      <c r="S39" s="27">
        <f>INDEX('2023年合同单价'!$8:$8,MATCH(H39,'2023年合同单价'!$4:$4,0))</f>
        <v>0</v>
      </c>
      <c r="T39" s="27">
        <f>INDEX('2023年合同单价'!$7:$7,MATCH(H39,'2023年合同单价'!$4:$4,0))</f>
        <v>0.17</v>
      </c>
      <c r="U39" s="28">
        <f t="shared" si="17"/>
        <v>0</v>
      </c>
      <c r="V39" s="28">
        <f t="shared" si="18"/>
        <v>5.2700000000000005</v>
      </c>
      <c r="W39" s="28">
        <f>INDEX('2023年合同单价'!$9:$9,MATCH(H39,'2023年合同单价'!$4:$4,0))</f>
        <v>20</v>
      </c>
      <c r="X39" s="28">
        <f t="shared" si="3"/>
        <v>0</v>
      </c>
      <c r="Y39" s="28">
        <f t="shared" si="15"/>
        <v>0</v>
      </c>
      <c r="Z39" s="28">
        <f t="shared" si="19"/>
        <v>0</v>
      </c>
      <c r="AA39" s="28">
        <f t="shared" si="7"/>
        <v>1.6</v>
      </c>
    </row>
    <row r="40" spans="1:67" x14ac:dyDescent="0.35">
      <c r="A40" s="32" t="s">
        <v>42</v>
      </c>
      <c r="B40" s="44" t="s">
        <v>96</v>
      </c>
      <c r="C40" s="18">
        <v>1</v>
      </c>
      <c r="D40" s="16">
        <v>31</v>
      </c>
      <c r="E40" s="16">
        <v>0.245</v>
      </c>
      <c r="H40" s="16" t="s">
        <v>87</v>
      </c>
      <c r="K40" s="16">
        <v>0.4</v>
      </c>
      <c r="L40" s="25">
        <v>20</v>
      </c>
      <c r="M40" s="16">
        <v>1.6</v>
      </c>
      <c r="P40" s="29"/>
      <c r="Q40" s="26">
        <f t="shared" ref="Q40:Q71" si="20">IF(OR(H40="PMI",H40="MNC",H40="IBI"),(K40+L40+M40)*0.21,"")</f>
        <v>4.62</v>
      </c>
      <c r="R40" s="26">
        <f t="shared" si="14"/>
        <v>26.62</v>
      </c>
      <c r="S40" s="27">
        <f>INDEX('2023年合同单价'!$8:$8,MATCH(H40,'2023年合同单价'!$4:$4,0))</f>
        <v>0</v>
      </c>
      <c r="T40" s="27">
        <f>INDEX('2023年合同单价'!$7:$7,MATCH(H40,'2023年合同单价'!$4:$4,0))</f>
        <v>0.17</v>
      </c>
      <c r="U40" s="28">
        <f t="shared" si="17"/>
        <v>0</v>
      </c>
      <c r="V40" s="28">
        <f t="shared" si="18"/>
        <v>5.2700000000000005</v>
      </c>
      <c r="W40" s="28">
        <f>INDEX('2023年合同单价'!$9:$9,MATCH(H40,'2023年合同单价'!$4:$4,0))</f>
        <v>20</v>
      </c>
      <c r="X40" s="28">
        <f t="shared" si="3"/>
        <v>0</v>
      </c>
      <c r="Y40" s="28">
        <f t="shared" si="15"/>
        <v>0</v>
      </c>
      <c r="Z40" s="28">
        <f t="shared" si="19"/>
        <v>0</v>
      </c>
      <c r="AA40" s="28">
        <f t="shared" si="7"/>
        <v>1.6</v>
      </c>
    </row>
    <row r="41" spans="1:67" s="15" customFormat="1" x14ac:dyDescent="0.35">
      <c r="A41" s="36" t="s">
        <v>37</v>
      </c>
      <c r="B41" s="46" t="s">
        <v>97</v>
      </c>
      <c r="C41" s="37">
        <v>1</v>
      </c>
      <c r="D41" s="36">
        <v>117.5</v>
      </c>
      <c r="E41" s="36">
        <v>1.1319999999999999</v>
      </c>
      <c r="F41" s="36">
        <v>2819.58</v>
      </c>
      <c r="G41" s="36"/>
      <c r="H41" s="36" t="s">
        <v>105</v>
      </c>
      <c r="I41" s="36">
        <v>0.56999999999999995</v>
      </c>
      <c r="J41" s="36"/>
      <c r="K41" s="36">
        <v>4.1500000000000004</v>
      </c>
      <c r="L41" s="38">
        <v>64.08</v>
      </c>
      <c r="M41" s="36"/>
      <c r="N41" s="36">
        <v>14</v>
      </c>
      <c r="O41" s="36">
        <v>11.31</v>
      </c>
      <c r="P41" s="39">
        <v>14.1</v>
      </c>
      <c r="Q41" s="40" t="str">
        <f t="shared" si="20"/>
        <v/>
      </c>
      <c r="R41" s="40">
        <f t="shared" si="14"/>
        <v>108.21</v>
      </c>
      <c r="S41" s="36">
        <f>INDEX('2023年合同单价'!$8:$8,MATCH(H41,'2023年合同单价'!$4:$4,0))</f>
        <v>56.61</v>
      </c>
      <c r="T41" s="36">
        <f>INDEX('2023年合同单价'!$7:$7,MATCH(H41,'2023年合同单价'!$4:$4,0))</f>
        <v>0.17</v>
      </c>
      <c r="U41" s="41">
        <f t="shared" si="17"/>
        <v>64.082519999999988</v>
      </c>
      <c r="V41" s="41">
        <f t="shared" si="18"/>
        <v>19.975000000000001</v>
      </c>
      <c r="W41" s="41">
        <f>INDEX('2023年合同单价'!$9:$9,MATCH(H41,'2023年合同单价'!$4:$4,0))</f>
        <v>20</v>
      </c>
      <c r="X41" s="41">
        <f>IF(OR(H41="LPA",H41="ACE",H41="TFE"),IF(F41*0.5%&lt;5,5,F41*0.5%),0)</f>
        <v>14.097899999999999</v>
      </c>
      <c r="Y41" s="28">
        <f t="shared" si="15"/>
        <v>0</v>
      </c>
      <c r="Z41" s="28">
        <f t="shared" si="19"/>
        <v>0</v>
      </c>
      <c r="AA41" s="28" t="str">
        <f t="shared" si="7"/>
        <v/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x14ac:dyDescent="0.35">
      <c r="A42" s="36" t="s">
        <v>37</v>
      </c>
      <c r="B42" s="44" t="s">
        <v>95</v>
      </c>
      <c r="C42" s="18">
        <v>2</v>
      </c>
      <c r="D42" s="16">
        <v>55</v>
      </c>
      <c r="E42" s="16">
        <v>0.436</v>
      </c>
      <c r="F42" s="16">
        <v>2150.02</v>
      </c>
      <c r="H42" s="16" t="s">
        <v>105</v>
      </c>
      <c r="I42" s="16">
        <v>0.56999999999999995</v>
      </c>
      <c r="K42" s="16">
        <v>1.6</v>
      </c>
      <c r="L42" s="29">
        <v>24.68</v>
      </c>
      <c r="N42" s="16">
        <v>14</v>
      </c>
      <c r="O42" s="16">
        <v>4.3600000000000003</v>
      </c>
      <c r="P42" s="29">
        <v>10.75</v>
      </c>
      <c r="Q42" s="26" t="str">
        <f t="shared" si="20"/>
        <v/>
      </c>
      <c r="R42" s="26">
        <f t="shared" si="14"/>
        <v>55.96</v>
      </c>
      <c r="S42" s="27">
        <f>INDEX('2023年合同单价'!$8:$8,MATCH(H42,'2023年合同单价'!$4:$4,0))</f>
        <v>56.61</v>
      </c>
      <c r="T42" s="27">
        <f>INDEX('2023年合同单价'!$7:$7,MATCH(H42,'2023年合同单价'!$4:$4,0))</f>
        <v>0.17</v>
      </c>
      <c r="U42" s="28">
        <f t="shared" si="17"/>
        <v>24.68196</v>
      </c>
      <c r="V42" s="28">
        <f t="shared" si="18"/>
        <v>9.3500000000000014</v>
      </c>
      <c r="W42" s="28">
        <f>INDEX('2023年合同单价'!$9:$9,MATCH(H42,'2023年合同单价'!$4:$4,0))</f>
        <v>20</v>
      </c>
      <c r="X42" s="28">
        <f>IF(OR(H42="LPA",H42="ACE",H42="TFE"),IF(F42*0.5%&lt;5,5,F42*0.5%),0)</f>
        <v>10.7501</v>
      </c>
      <c r="Y42" s="28">
        <f t="shared" si="15"/>
        <v>0</v>
      </c>
      <c r="Z42" s="28">
        <f t="shared" si="19"/>
        <v>0</v>
      </c>
      <c r="AA42" s="28" t="str">
        <f t="shared" si="7"/>
        <v/>
      </c>
    </row>
    <row r="43" spans="1:67" x14ac:dyDescent="0.35">
      <c r="A43" s="36" t="s">
        <v>37</v>
      </c>
      <c r="B43" s="44" t="s">
        <v>98</v>
      </c>
      <c r="C43" s="18">
        <v>1</v>
      </c>
      <c r="D43" s="16">
        <v>157</v>
      </c>
      <c r="E43" s="16">
        <v>1.44</v>
      </c>
      <c r="H43" s="16" t="s">
        <v>87</v>
      </c>
      <c r="K43" s="16">
        <v>2.33</v>
      </c>
      <c r="L43" s="30">
        <v>66.099999999999994</v>
      </c>
      <c r="M43" s="16">
        <v>5.29</v>
      </c>
      <c r="P43" s="29"/>
      <c r="Q43" s="26">
        <f t="shared" si="20"/>
        <v>15.481199999999999</v>
      </c>
      <c r="R43" s="26">
        <f t="shared" si="14"/>
        <v>89.2012</v>
      </c>
      <c r="S43" s="27">
        <f>INDEX('2023年合同单价'!$8:$8,MATCH(H43,'2023年合同单价'!$4:$4,0))</f>
        <v>0</v>
      </c>
      <c r="T43" s="27">
        <f>INDEX('2023年合同单价'!$7:$7,MATCH(H43,'2023年合同单价'!$4:$4,0))</f>
        <v>0.17</v>
      </c>
      <c r="U43" s="28">
        <f t="shared" si="17"/>
        <v>0</v>
      </c>
      <c r="V43" s="31">
        <f t="shared" si="18"/>
        <v>26.69</v>
      </c>
      <c r="W43" s="28">
        <f>INDEX('2023年合同单价'!$9:$9,MATCH(H43,'2023年合同单价'!$4:$4,0))</f>
        <v>20</v>
      </c>
      <c r="X43" s="28">
        <f t="shared" ref="X43:X61" si="21">IF(OR(H43="LPA",H43="ACE",H43="TFE"),IF(F43*0.5%&lt;5,5,F43*0.5%),0)</f>
        <v>0</v>
      </c>
      <c r="Y43" s="28">
        <f t="shared" si="15"/>
        <v>0</v>
      </c>
      <c r="Z43" s="28">
        <f t="shared" si="19"/>
        <v>0</v>
      </c>
      <c r="AA43" s="28">
        <f t="shared" si="7"/>
        <v>1.6</v>
      </c>
    </row>
    <row r="44" spans="1:67" x14ac:dyDescent="0.35">
      <c r="A44" s="36" t="s">
        <v>37</v>
      </c>
      <c r="B44" s="44" t="s">
        <v>98</v>
      </c>
      <c r="C44" s="18">
        <v>1</v>
      </c>
      <c r="D44" s="16">
        <v>32</v>
      </c>
      <c r="E44" s="16">
        <v>0.26</v>
      </c>
      <c r="H44" s="16" t="s">
        <v>87</v>
      </c>
      <c r="K44" s="16">
        <v>0.42</v>
      </c>
      <c r="L44" s="29">
        <v>20</v>
      </c>
      <c r="M44" s="16">
        <v>1.6</v>
      </c>
      <c r="P44" s="29"/>
      <c r="Q44" s="26">
        <f t="shared" si="20"/>
        <v>4.6242000000000001</v>
      </c>
      <c r="R44" s="26">
        <f t="shared" si="14"/>
        <v>26.644200000000005</v>
      </c>
      <c r="S44" s="27">
        <f>INDEX('2023年合同单价'!$8:$8,MATCH(H44,'2023年合同单价'!$4:$4,0))</f>
        <v>0</v>
      </c>
      <c r="T44" s="27">
        <f>INDEX('2023年合同单价'!$7:$7,MATCH(H44,'2023年合同单价'!$4:$4,0))</f>
        <v>0.17</v>
      </c>
      <c r="U44" s="28">
        <f t="shared" si="17"/>
        <v>0</v>
      </c>
      <c r="V44" s="28">
        <f t="shared" si="18"/>
        <v>5.44</v>
      </c>
      <c r="W44" s="28">
        <f>INDEX('2023年合同单价'!$9:$9,MATCH(H44,'2023年合同单价'!$4:$4,0))</f>
        <v>20</v>
      </c>
      <c r="X44" s="28">
        <f t="shared" si="21"/>
        <v>0</v>
      </c>
      <c r="Y44" s="28">
        <f t="shared" si="15"/>
        <v>0</v>
      </c>
      <c r="Z44" s="28">
        <f t="shared" si="19"/>
        <v>0</v>
      </c>
      <c r="AA44" s="28">
        <f t="shared" si="7"/>
        <v>1.6</v>
      </c>
    </row>
    <row r="45" spans="1:67" x14ac:dyDescent="0.35">
      <c r="A45" s="36" t="s">
        <v>37</v>
      </c>
      <c r="B45" s="44" t="s">
        <v>98</v>
      </c>
      <c r="C45" s="18">
        <v>1</v>
      </c>
      <c r="D45" s="16">
        <v>110</v>
      </c>
      <c r="E45" s="16">
        <v>1.44</v>
      </c>
      <c r="H45" s="16" t="s">
        <v>87</v>
      </c>
      <c r="K45" s="16">
        <v>2.33</v>
      </c>
      <c r="L45" s="30">
        <v>66.099999999999994</v>
      </c>
      <c r="M45" s="16">
        <v>5.29</v>
      </c>
      <c r="P45" s="29"/>
      <c r="Q45" s="26">
        <f t="shared" si="20"/>
        <v>15.481199999999999</v>
      </c>
      <c r="R45" s="26">
        <f t="shared" si="14"/>
        <v>89.2012</v>
      </c>
      <c r="S45" s="27">
        <f>INDEX('2023年合同单价'!$8:$8,MATCH(H45,'2023年合同单价'!$4:$4,0))</f>
        <v>0</v>
      </c>
      <c r="T45" s="27">
        <f>INDEX('2023年合同单价'!$7:$7,MATCH(H45,'2023年合同单价'!$4:$4,0))</f>
        <v>0.17</v>
      </c>
      <c r="U45" s="28">
        <f t="shared" si="17"/>
        <v>0</v>
      </c>
      <c r="V45" s="31">
        <f t="shared" si="18"/>
        <v>18.700000000000003</v>
      </c>
      <c r="W45" s="31">
        <f>INDEX('2023年合同单价'!$9:$9,MATCH(H45,'2023年合同单价'!$4:$4,0))</f>
        <v>20</v>
      </c>
      <c r="X45" s="28">
        <f t="shared" si="21"/>
        <v>0</v>
      </c>
      <c r="Y45" s="28">
        <f t="shared" si="15"/>
        <v>0</v>
      </c>
      <c r="Z45" s="28">
        <f t="shared" si="19"/>
        <v>0</v>
      </c>
      <c r="AA45" s="28">
        <f t="shared" si="7"/>
        <v>1.6</v>
      </c>
    </row>
    <row r="46" spans="1:67" x14ac:dyDescent="0.35">
      <c r="A46" s="36" t="s">
        <v>37</v>
      </c>
      <c r="B46" s="44" t="s">
        <v>98</v>
      </c>
      <c r="C46" s="18">
        <v>3</v>
      </c>
      <c r="D46" s="16">
        <v>68</v>
      </c>
      <c r="E46" s="16">
        <v>0.40100000000000002</v>
      </c>
      <c r="H46" s="16" t="s">
        <v>87</v>
      </c>
      <c r="K46" s="16">
        <v>0.65</v>
      </c>
      <c r="L46" s="29">
        <v>20</v>
      </c>
      <c r="M46" s="16">
        <v>1.6</v>
      </c>
      <c r="P46" s="29"/>
      <c r="Q46" s="26">
        <f t="shared" si="20"/>
        <v>4.6724999999999994</v>
      </c>
      <c r="R46" s="26">
        <f t="shared" si="14"/>
        <v>26.922499999999999</v>
      </c>
      <c r="S46" s="27">
        <f>INDEX('2023年合同单价'!$8:$8,MATCH(H46,'2023年合同单价'!$4:$4,0))</f>
        <v>0</v>
      </c>
      <c r="T46" s="27">
        <f>INDEX('2023年合同单价'!$7:$7,MATCH(H46,'2023年合同单价'!$4:$4,0))</f>
        <v>0.17</v>
      </c>
      <c r="U46" s="28">
        <f t="shared" si="17"/>
        <v>0</v>
      </c>
      <c r="V46" s="28">
        <f t="shared" si="18"/>
        <v>11.56</v>
      </c>
      <c r="W46" s="28">
        <f>INDEX('2023年合同单价'!$9:$9,MATCH(H46,'2023年合同单价'!$4:$4,0))</f>
        <v>20</v>
      </c>
      <c r="X46" s="28">
        <f t="shared" si="21"/>
        <v>0</v>
      </c>
      <c r="Y46" s="28">
        <f t="shared" si="15"/>
        <v>0</v>
      </c>
      <c r="Z46" s="28">
        <f t="shared" si="19"/>
        <v>0</v>
      </c>
      <c r="AA46" s="28">
        <f t="shared" si="7"/>
        <v>1.6</v>
      </c>
    </row>
    <row r="47" spans="1:67" x14ac:dyDescent="0.35">
      <c r="A47" s="36" t="s">
        <v>37</v>
      </c>
      <c r="B47" s="44" t="s">
        <v>98</v>
      </c>
      <c r="C47" s="18">
        <v>1</v>
      </c>
      <c r="D47" s="16">
        <v>117</v>
      </c>
      <c r="E47" s="16">
        <v>1.3440000000000001</v>
      </c>
      <c r="H47" s="16" t="s">
        <v>87</v>
      </c>
      <c r="K47" s="16">
        <v>2.1800000000000002</v>
      </c>
      <c r="L47" s="30">
        <v>61.69</v>
      </c>
      <c r="M47" s="16">
        <v>4.9400000000000004</v>
      </c>
      <c r="P47" s="29"/>
      <c r="Q47" s="26">
        <f t="shared" si="20"/>
        <v>14.450099999999999</v>
      </c>
      <c r="R47" s="26">
        <f t="shared" si="14"/>
        <v>83.260099999999994</v>
      </c>
      <c r="S47" s="27">
        <f>INDEX('2023年合同单价'!$8:$8,MATCH(H47,'2023年合同单价'!$4:$4,0))</f>
        <v>0</v>
      </c>
      <c r="T47" s="27">
        <f>INDEX('2023年合同单价'!$7:$7,MATCH(H47,'2023年合同单价'!$4:$4,0))</f>
        <v>0.17</v>
      </c>
      <c r="U47" s="28">
        <f t="shared" si="17"/>
        <v>0</v>
      </c>
      <c r="V47" s="31">
        <f t="shared" si="18"/>
        <v>19.89</v>
      </c>
      <c r="W47" s="31">
        <f>INDEX('2023年合同单价'!$9:$9,MATCH(H47,'2023年合同单价'!$4:$4,0))</f>
        <v>20</v>
      </c>
      <c r="X47" s="28">
        <f t="shared" si="21"/>
        <v>0</v>
      </c>
      <c r="Y47" s="28">
        <f t="shared" si="15"/>
        <v>0</v>
      </c>
      <c r="Z47" s="28">
        <f t="shared" si="19"/>
        <v>0</v>
      </c>
      <c r="AA47" s="28">
        <f t="shared" si="7"/>
        <v>1.6</v>
      </c>
    </row>
    <row r="48" spans="1:67" x14ac:dyDescent="0.35">
      <c r="A48" s="36" t="s">
        <v>37</v>
      </c>
      <c r="B48" s="44" t="s">
        <v>98</v>
      </c>
      <c r="C48" s="18">
        <v>1</v>
      </c>
      <c r="D48" s="16">
        <v>12</v>
      </c>
      <c r="E48" s="16">
        <v>0.108</v>
      </c>
      <c r="H48" s="16" t="s">
        <v>87</v>
      </c>
      <c r="K48" s="16">
        <v>0.17</v>
      </c>
      <c r="L48" s="29">
        <v>20</v>
      </c>
      <c r="M48" s="16">
        <v>1.6</v>
      </c>
      <c r="P48" s="29"/>
      <c r="Q48" s="26">
        <f t="shared" si="20"/>
        <v>4.5717000000000008</v>
      </c>
      <c r="R48" s="26">
        <f t="shared" si="14"/>
        <v>26.341700000000003</v>
      </c>
      <c r="S48" s="27">
        <f>INDEX('2023年合同单价'!$8:$8,MATCH(H48,'2023年合同单价'!$4:$4,0))</f>
        <v>0</v>
      </c>
      <c r="T48" s="27">
        <f>INDEX('2023年合同单价'!$7:$7,MATCH(H48,'2023年合同单价'!$4:$4,0))</f>
        <v>0.17</v>
      </c>
      <c r="U48" s="28">
        <f t="shared" si="17"/>
        <v>0</v>
      </c>
      <c r="V48" s="28">
        <f t="shared" si="18"/>
        <v>2.04</v>
      </c>
      <c r="W48" s="28">
        <f>INDEX('2023年合同单价'!$9:$9,MATCH(H48,'2023年合同单价'!$4:$4,0))</f>
        <v>20</v>
      </c>
      <c r="X48" s="28">
        <f t="shared" si="21"/>
        <v>0</v>
      </c>
      <c r="Y48" s="28">
        <f t="shared" si="15"/>
        <v>0</v>
      </c>
      <c r="Z48" s="28">
        <f t="shared" si="19"/>
        <v>0</v>
      </c>
      <c r="AA48" s="28">
        <f t="shared" si="7"/>
        <v>1.6</v>
      </c>
    </row>
    <row r="49" spans="1:27" x14ac:dyDescent="0.35">
      <c r="A49" s="36" t="s">
        <v>37</v>
      </c>
      <c r="B49" s="44" t="s">
        <v>98</v>
      </c>
      <c r="C49" s="18">
        <v>2</v>
      </c>
      <c r="D49" s="16">
        <v>40</v>
      </c>
      <c r="E49" s="16">
        <v>0.36399999999999999</v>
      </c>
      <c r="H49" s="16" t="s">
        <v>87</v>
      </c>
      <c r="K49" s="16">
        <v>0.59</v>
      </c>
      <c r="L49" s="29">
        <v>20</v>
      </c>
      <c r="M49" s="16">
        <v>1.6</v>
      </c>
      <c r="P49" s="29"/>
      <c r="Q49" s="26">
        <f t="shared" si="20"/>
        <v>4.6599000000000004</v>
      </c>
      <c r="R49" s="26">
        <f t="shared" si="14"/>
        <v>26.849900000000002</v>
      </c>
      <c r="S49" s="27">
        <f>INDEX('2023年合同单价'!$8:$8,MATCH(H49,'2023年合同单价'!$4:$4,0))</f>
        <v>0</v>
      </c>
      <c r="T49" s="27">
        <f>INDEX('2023年合同单价'!$7:$7,MATCH(H49,'2023年合同单价'!$4:$4,0))</f>
        <v>0.17</v>
      </c>
      <c r="U49" s="28">
        <f t="shared" si="17"/>
        <v>0</v>
      </c>
      <c r="V49" s="28">
        <f t="shared" si="18"/>
        <v>6.8000000000000007</v>
      </c>
      <c r="W49" s="28">
        <f>INDEX('2023年合同单价'!$9:$9,MATCH(H49,'2023年合同单价'!$4:$4,0))</f>
        <v>20</v>
      </c>
      <c r="X49" s="28">
        <f t="shared" si="21"/>
        <v>0</v>
      </c>
      <c r="Y49" s="28">
        <f t="shared" si="15"/>
        <v>0</v>
      </c>
      <c r="Z49" s="28">
        <f t="shared" si="19"/>
        <v>0</v>
      </c>
      <c r="AA49" s="28">
        <f t="shared" si="7"/>
        <v>1.6</v>
      </c>
    </row>
    <row r="50" spans="1:27" x14ac:dyDescent="0.35">
      <c r="A50" s="36" t="s">
        <v>37</v>
      </c>
      <c r="B50" s="44" t="s">
        <v>98</v>
      </c>
      <c r="C50" s="18">
        <v>1</v>
      </c>
      <c r="D50" s="16">
        <v>28</v>
      </c>
      <c r="E50" s="16">
        <v>0.111</v>
      </c>
      <c r="H50" s="16" t="s">
        <v>87</v>
      </c>
      <c r="K50" s="16">
        <v>0.18</v>
      </c>
      <c r="L50" s="29">
        <v>20</v>
      </c>
      <c r="M50" s="16">
        <v>1.6</v>
      </c>
      <c r="P50" s="29"/>
      <c r="Q50" s="26">
        <f t="shared" si="20"/>
        <v>4.5738000000000003</v>
      </c>
      <c r="R50" s="26">
        <f t="shared" si="14"/>
        <v>26.3538</v>
      </c>
      <c r="S50" s="27">
        <f>INDEX('2023年合同单价'!$8:$8,MATCH(H50,'2023年合同单价'!$4:$4,0))</f>
        <v>0</v>
      </c>
      <c r="T50" s="27">
        <f>INDEX('2023年合同单价'!$7:$7,MATCH(H50,'2023年合同单价'!$4:$4,0))</f>
        <v>0.17</v>
      </c>
      <c r="U50" s="28">
        <f t="shared" si="17"/>
        <v>0</v>
      </c>
      <c r="V50" s="28">
        <f t="shared" si="18"/>
        <v>4.7600000000000007</v>
      </c>
      <c r="W50" s="28">
        <f>INDEX('2023年合同单价'!$9:$9,MATCH(H50,'2023年合同单价'!$4:$4,0))</f>
        <v>20</v>
      </c>
      <c r="X50" s="28">
        <f t="shared" si="21"/>
        <v>0</v>
      </c>
      <c r="Y50" s="28">
        <f t="shared" si="15"/>
        <v>0</v>
      </c>
      <c r="Z50" s="28">
        <f t="shared" si="19"/>
        <v>0</v>
      </c>
      <c r="AA50" s="28">
        <f t="shared" si="7"/>
        <v>1.6</v>
      </c>
    </row>
    <row r="51" spans="1:27" x14ac:dyDescent="0.35">
      <c r="A51" s="36" t="s">
        <v>37</v>
      </c>
      <c r="B51" s="44" t="s">
        <v>98</v>
      </c>
      <c r="C51" s="18">
        <v>1</v>
      </c>
      <c r="D51" s="16">
        <v>20</v>
      </c>
      <c r="E51" s="16">
        <v>0.182</v>
      </c>
      <c r="H51" s="16" t="s">
        <v>87</v>
      </c>
      <c r="K51" s="16">
        <v>0.28999999999999998</v>
      </c>
      <c r="L51" s="29">
        <v>20</v>
      </c>
      <c r="M51" s="16">
        <v>1.6</v>
      </c>
      <c r="P51" s="29"/>
      <c r="Q51" s="26">
        <f t="shared" si="20"/>
        <v>4.5968999999999998</v>
      </c>
      <c r="R51" s="26">
        <f t="shared" si="14"/>
        <v>26.486899999999999</v>
      </c>
      <c r="S51" s="27">
        <f>INDEX('2023年合同单价'!$8:$8,MATCH(H51,'2023年合同单价'!$4:$4,0))</f>
        <v>0</v>
      </c>
      <c r="T51" s="27">
        <f>INDEX('2023年合同单价'!$7:$7,MATCH(H51,'2023年合同单价'!$4:$4,0))</f>
        <v>0.17</v>
      </c>
      <c r="U51" s="28">
        <f t="shared" si="17"/>
        <v>0</v>
      </c>
      <c r="V51" s="28">
        <f t="shared" si="18"/>
        <v>3.4000000000000004</v>
      </c>
      <c r="W51" s="28">
        <f>INDEX('2023年合同单价'!$9:$9,MATCH(H51,'2023年合同单价'!$4:$4,0))</f>
        <v>20</v>
      </c>
      <c r="X51" s="28">
        <f t="shared" si="21"/>
        <v>0</v>
      </c>
      <c r="Y51" s="28">
        <f t="shared" si="15"/>
        <v>0</v>
      </c>
      <c r="Z51" s="28">
        <f t="shared" si="19"/>
        <v>0</v>
      </c>
      <c r="AA51" s="28">
        <f t="shared" si="7"/>
        <v>1.6</v>
      </c>
    </row>
    <row r="52" spans="1:27" x14ac:dyDescent="0.35">
      <c r="A52" s="36" t="s">
        <v>37</v>
      </c>
      <c r="B52" s="44" t="s">
        <v>98</v>
      </c>
      <c r="C52" s="18">
        <v>1</v>
      </c>
      <c r="D52" s="16">
        <v>233</v>
      </c>
      <c r="E52" s="16">
        <v>1.776</v>
      </c>
      <c r="H52" s="16" t="s">
        <v>106</v>
      </c>
      <c r="K52" s="16">
        <v>2.88</v>
      </c>
      <c r="L52" s="30">
        <v>91.11</v>
      </c>
      <c r="M52" s="16">
        <v>7.29</v>
      </c>
      <c r="P52" s="29"/>
      <c r="Q52" s="26">
        <f t="shared" si="20"/>
        <v>21.268799999999999</v>
      </c>
      <c r="R52" s="26">
        <f t="shared" si="14"/>
        <v>122.5488</v>
      </c>
      <c r="S52" s="27">
        <f>INDEX('2023年合同单价'!$8:$8,MATCH(H52,'2023年合同单价'!$4:$4,0))</f>
        <v>0</v>
      </c>
      <c r="T52" s="27">
        <f>INDEX('2023年合同单价'!$7:$7,MATCH(H52,'2023年合同单价'!$4:$4,0))</f>
        <v>0.19</v>
      </c>
      <c r="U52" s="28">
        <f t="shared" si="17"/>
        <v>0</v>
      </c>
      <c r="V52" s="31">
        <f t="shared" si="18"/>
        <v>44.27</v>
      </c>
      <c r="W52" s="28">
        <f>INDEX('2023年合同单价'!$9:$9,MATCH(H52,'2023年合同单价'!$4:$4,0))</f>
        <v>20</v>
      </c>
      <c r="X52" s="28">
        <f t="shared" si="21"/>
        <v>0</v>
      </c>
      <c r="Y52" s="28">
        <f t="shared" si="15"/>
        <v>0</v>
      </c>
      <c r="Z52" s="28">
        <f t="shared" si="19"/>
        <v>0</v>
      </c>
      <c r="AA52" s="28">
        <f t="shared" si="7"/>
        <v>1.6</v>
      </c>
    </row>
    <row r="53" spans="1:27" x14ac:dyDescent="0.35">
      <c r="A53" s="36" t="s">
        <v>37</v>
      </c>
      <c r="B53" s="44" t="s">
        <v>98</v>
      </c>
      <c r="C53" s="18">
        <v>1</v>
      </c>
      <c r="D53" s="16">
        <v>1</v>
      </c>
      <c r="E53" s="16">
        <v>2E-3</v>
      </c>
      <c r="H53" s="16" t="s">
        <v>87</v>
      </c>
      <c r="K53" s="16">
        <v>0.01</v>
      </c>
      <c r="L53" s="29">
        <v>20</v>
      </c>
      <c r="M53" s="16">
        <v>1.6</v>
      </c>
      <c r="P53" s="29"/>
      <c r="Q53" s="26">
        <f t="shared" si="20"/>
        <v>4.5381</v>
      </c>
      <c r="R53" s="26">
        <f t="shared" si="14"/>
        <v>26.148100000000003</v>
      </c>
      <c r="S53" s="27">
        <f>INDEX('2023年合同单价'!$8:$8,MATCH(H53,'2023年合同单价'!$4:$4,0))</f>
        <v>0</v>
      </c>
      <c r="T53" s="27">
        <f>INDEX('2023年合同单价'!$7:$7,MATCH(H53,'2023年合同单价'!$4:$4,0))</f>
        <v>0.17</v>
      </c>
      <c r="U53" s="28">
        <f t="shared" si="17"/>
        <v>0</v>
      </c>
      <c r="V53" s="28">
        <f t="shared" si="18"/>
        <v>0.17</v>
      </c>
      <c r="W53" s="28">
        <f>INDEX('2023年合同单价'!$9:$9,MATCH(H53,'2023年合同单价'!$4:$4,0))</f>
        <v>20</v>
      </c>
      <c r="X53" s="28">
        <f t="shared" si="21"/>
        <v>0</v>
      </c>
      <c r="Y53" s="28">
        <f t="shared" si="15"/>
        <v>0</v>
      </c>
      <c r="Z53" s="28">
        <f t="shared" si="19"/>
        <v>0</v>
      </c>
      <c r="AA53" s="28">
        <f t="shared" si="7"/>
        <v>1.6</v>
      </c>
    </row>
    <row r="54" spans="1:27" x14ac:dyDescent="0.35">
      <c r="A54" s="36" t="s">
        <v>37</v>
      </c>
      <c r="B54" s="44" t="s">
        <v>99</v>
      </c>
      <c r="C54" s="18">
        <v>1</v>
      </c>
      <c r="D54" s="16">
        <v>11</v>
      </c>
      <c r="E54" s="16">
        <v>9.1999999999999998E-2</v>
      </c>
      <c r="H54" s="16" t="s">
        <v>88</v>
      </c>
      <c r="K54" s="16">
        <v>0.15</v>
      </c>
      <c r="L54" s="29">
        <v>20</v>
      </c>
      <c r="M54" s="16">
        <v>1.6</v>
      </c>
      <c r="P54" s="29"/>
      <c r="Q54" s="26">
        <f t="shared" si="20"/>
        <v>4.5674999999999999</v>
      </c>
      <c r="R54" s="26">
        <f t="shared" si="14"/>
        <v>26.317499999999999</v>
      </c>
      <c r="S54" s="27">
        <f>INDEX('2023年合同单价'!$8:$8,MATCH(H54,'2023年合同单价'!$4:$4,0))</f>
        <v>0</v>
      </c>
      <c r="T54" s="27">
        <f>INDEX('2023年合同单价'!$7:$7,MATCH(H54,'2023年合同单价'!$4:$4,0))</f>
        <v>0.18</v>
      </c>
      <c r="U54" s="28">
        <f t="shared" si="17"/>
        <v>0</v>
      </c>
      <c r="V54" s="28">
        <f t="shared" si="18"/>
        <v>1.98</v>
      </c>
      <c r="W54" s="28">
        <f>INDEX('2023年合同单价'!$9:$9,MATCH(H54,'2023年合同单价'!$4:$4,0))</f>
        <v>20</v>
      </c>
      <c r="X54" s="28">
        <f t="shared" si="21"/>
        <v>0</v>
      </c>
      <c r="Y54" s="28">
        <f t="shared" si="15"/>
        <v>0</v>
      </c>
      <c r="Z54" s="28">
        <f t="shared" si="19"/>
        <v>0</v>
      </c>
      <c r="AA54" s="28">
        <f t="shared" si="7"/>
        <v>1.6</v>
      </c>
    </row>
    <row r="55" spans="1:27" x14ac:dyDescent="0.35">
      <c r="A55" s="36" t="s">
        <v>37</v>
      </c>
      <c r="B55" s="44" t="s">
        <v>100</v>
      </c>
      <c r="C55" s="18">
        <v>1</v>
      </c>
      <c r="D55" s="16">
        <v>89</v>
      </c>
      <c r="E55" s="16">
        <v>0.86399999999999999</v>
      </c>
      <c r="F55" s="16">
        <v>2547.36</v>
      </c>
      <c r="H55" s="16" t="s">
        <v>89</v>
      </c>
      <c r="I55" s="16">
        <v>0.8</v>
      </c>
      <c r="K55" s="16">
        <v>3.16</v>
      </c>
      <c r="L55" s="29">
        <v>48.91</v>
      </c>
      <c r="N55" s="16">
        <v>14</v>
      </c>
      <c r="O55" s="16">
        <v>8.6300000000000008</v>
      </c>
      <c r="P55" s="29">
        <v>12.74</v>
      </c>
      <c r="Q55" s="26" t="str">
        <f t="shared" si="20"/>
        <v/>
      </c>
      <c r="R55" s="26">
        <f t="shared" si="14"/>
        <v>88.24</v>
      </c>
      <c r="S55" s="27">
        <f>INDEX('2023年合同单价'!$8:$8,MATCH(H55,'2023年合同单价'!$4:$4,0))</f>
        <v>56.61</v>
      </c>
      <c r="T55" s="27">
        <f>INDEX('2023年合同单价'!$7:$7,MATCH(H55,'2023年合同单价'!$4:$4,0))</f>
        <v>0.17</v>
      </c>
      <c r="U55" s="28">
        <f t="shared" si="17"/>
        <v>48.91104</v>
      </c>
      <c r="V55" s="28">
        <f t="shared" si="18"/>
        <v>15.13</v>
      </c>
      <c r="W55" s="28">
        <f>INDEX('2023年合同单价'!$9:$9,MATCH(H55,'2023年合同单价'!$4:$4,0))</f>
        <v>20</v>
      </c>
      <c r="X55" s="28">
        <f t="shared" si="21"/>
        <v>12.736800000000001</v>
      </c>
      <c r="Y55" s="28">
        <f t="shared" si="15"/>
        <v>0.764208</v>
      </c>
      <c r="Z55" s="28">
        <f t="shared" si="19"/>
        <v>28.020959999999999</v>
      </c>
      <c r="AA55" s="28" t="str">
        <f t="shared" si="7"/>
        <v/>
      </c>
    </row>
    <row r="56" spans="1:27" x14ac:dyDescent="0.35">
      <c r="A56" s="36" t="s">
        <v>37</v>
      </c>
      <c r="B56" s="44" t="s">
        <v>101</v>
      </c>
      <c r="C56" s="18">
        <v>1</v>
      </c>
      <c r="D56" s="16">
        <v>31</v>
      </c>
      <c r="E56" s="16">
        <v>0.24299999999999999</v>
      </c>
      <c r="H56" s="16" t="s">
        <v>87</v>
      </c>
      <c r="K56" s="16">
        <v>0.39</v>
      </c>
      <c r="L56" s="29">
        <v>20</v>
      </c>
      <c r="M56" s="16">
        <v>1.6</v>
      </c>
      <c r="P56" s="29"/>
      <c r="Q56" s="26">
        <f t="shared" si="20"/>
        <v>4.6179000000000006</v>
      </c>
      <c r="R56" s="26">
        <f t="shared" si="14"/>
        <v>26.607900000000001</v>
      </c>
      <c r="S56" s="27">
        <f>INDEX('2023年合同单价'!$8:$8,MATCH(H56,'2023年合同单价'!$4:$4,0))</f>
        <v>0</v>
      </c>
      <c r="T56" s="27">
        <f>INDEX('2023年合同单价'!$7:$7,MATCH(H56,'2023年合同单价'!$4:$4,0))</f>
        <v>0.17</v>
      </c>
      <c r="U56" s="28">
        <f t="shared" si="17"/>
        <v>0</v>
      </c>
      <c r="V56" s="28">
        <f t="shared" si="18"/>
        <v>5.2700000000000005</v>
      </c>
      <c r="W56" s="28">
        <f>INDEX('2023年合同单价'!$9:$9,MATCH(H56,'2023年合同单价'!$4:$4,0))</f>
        <v>20</v>
      </c>
      <c r="X56" s="28">
        <f t="shared" si="21"/>
        <v>0</v>
      </c>
      <c r="Y56" s="28">
        <f t="shared" si="15"/>
        <v>0</v>
      </c>
      <c r="Z56" s="28">
        <f t="shared" si="19"/>
        <v>0</v>
      </c>
      <c r="AA56" s="28">
        <f t="shared" si="7"/>
        <v>1.6</v>
      </c>
    </row>
    <row r="57" spans="1:27" x14ac:dyDescent="0.35">
      <c r="A57" s="36" t="s">
        <v>37</v>
      </c>
      <c r="B57" s="44" t="s">
        <v>101</v>
      </c>
      <c r="C57" s="18">
        <v>1</v>
      </c>
      <c r="D57" s="16">
        <v>18.5</v>
      </c>
      <c r="E57" s="16">
        <v>0.16400000000000001</v>
      </c>
      <c r="H57" s="16" t="s">
        <v>88</v>
      </c>
      <c r="K57" s="16">
        <v>0.27</v>
      </c>
      <c r="L57" s="29">
        <v>20</v>
      </c>
      <c r="M57" s="16">
        <v>1.6</v>
      </c>
      <c r="P57" s="29"/>
      <c r="Q57" s="26">
        <f t="shared" si="20"/>
        <v>4.5926999999999998</v>
      </c>
      <c r="R57" s="26">
        <f t="shared" si="14"/>
        <v>26.462700000000002</v>
      </c>
      <c r="S57" s="27">
        <f>INDEX('2023年合同单价'!$8:$8,MATCH(H57,'2023年合同单价'!$4:$4,0))</f>
        <v>0</v>
      </c>
      <c r="T57" s="27">
        <f>INDEX('2023年合同单价'!$7:$7,MATCH(H57,'2023年合同单价'!$4:$4,0))</f>
        <v>0.18</v>
      </c>
      <c r="U57" s="28">
        <f t="shared" si="17"/>
        <v>0</v>
      </c>
      <c r="V57" s="28">
        <f t="shared" si="18"/>
        <v>3.33</v>
      </c>
      <c r="W57" s="28">
        <f>INDEX('2023年合同单价'!$9:$9,MATCH(H57,'2023年合同单价'!$4:$4,0))</f>
        <v>20</v>
      </c>
      <c r="X57" s="28">
        <f t="shared" si="21"/>
        <v>0</v>
      </c>
      <c r="Y57" s="28">
        <f t="shared" si="15"/>
        <v>0</v>
      </c>
      <c r="Z57" s="28">
        <f t="shared" si="19"/>
        <v>0</v>
      </c>
      <c r="AA57" s="28">
        <f t="shared" si="7"/>
        <v>1.6</v>
      </c>
    </row>
    <row r="58" spans="1:27" x14ac:dyDescent="0.35">
      <c r="A58" s="36" t="s">
        <v>37</v>
      </c>
      <c r="B58" s="44" t="s">
        <v>101</v>
      </c>
      <c r="C58" s="18">
        <v>1</v>
      </c>
      <c r="D58" s="16">
        <v>167</v>
      </c>
      <c r="E58" s="16">
        <v>1.2669999999999999</v>
      </c>
      <c r="F58" s="16">
        <v>3505.92</v>
      </c>
      <c r="H58" s="16" t="s">
        <v>105</v>
      </c>
      <c r="I58" s="16">
        <v>0.56999999999999995</v>
      </c>
      <c r="K58" s="16">
        <v>4.6399999999999997</v>
      </c>
      <c r="L58" s="29">
        <v>71.72</v>
      </c>
      <c r="N58" s="16">
        <v>14</v>
      </c>
      <c r="O58" s="16">
        <v>12.66</v>
      </c>
      <c r="P58" s="29">
        <v>17.53</v>
      </c>
      <c r="Q58" s="26" t="str">
        <f t="shared" si="20"/>
        <v/>
      </c>
      <c r="R58" s="26">
        <f t="shared" si="14"/>
        <v>121.11999999999999</v>
      </c>
      <c r="S58" s="27">
        <f>INDEX('2023年合同单价'!$8:$8,MATCH(H58,'2023年合同单价'!$4:$4,0))</f>
        <v>56.61</v>
      </c>
      <c r="T58" s="27">
        <f>INDEX('2023年合同单价'!$7:$7,MATCH(H58,'2023年合同单价'!$4:$4,0))</f>
        <v>0.17</v>
      </c>
      <c r="U58" s="28">
        <f t="shared" si="17"/>
        <v>71.724869999999996</v>
      </c>
      <c r="V58" s="28">
        <f t="shared" si="18"/>
        <v>28.39</v>
      </c>
      <c r="W58" s="28">
        <f>INDEX('2023年合同单价'!$9:$9,MATCH(H58,'2023年合同单价'!$4:$4,0))</f>
        <v>20</v>
      </c>
      <c r="X58" s="28">
        <f t="shared" si="21"/>
        <v>17.529600000000002</v>
      </c>
      <c r="Y58" s="28">
        <f t="shared" si="15"/>
        <v>0</v>
      </c>
      <c r="Z58" s="28">
        <f t="shared" si="19"/>
        <v>0</v>
      </c>
      <c r="AA58" s="28" t="str">
        <f t="shared" si="7"/>
        <v/>
      </c>
    </row>
    <row r="59" spans="1:27" x14ac:dyDescent="0.35">
      <c r="A59" s="36" t="s">
        <v>37</v>
      </c>
      <c r="B59" s="44" t="s">
        <v>102</v>
      </c>
      <c r="C59" s="18">
        <v>1</v>
      </c>
      <c r="D59" s="16">
        <v>97</v>
      </c>
      <c r="E59" s="16">
        <v>0.998</v>
      </c>
      <c r="F59" s="16">
        <v>2556.63</v>
      </c>
      <c r="H59" s="16" t="s">
        <v>105</v>
      </c>
      <c r="I59" s="16">
        <v>0.56999999999999995</v>
      </c>
      <c r="K59" s="16">
        <v>3.66</v>
      </c>
      <c r="L59" s="29">
        <v>56.5</v>
      </c>
      <c r="N59" s="16">
        <v>14</v>
      </c>
      <c r="O59" s="16">
        <v>9.9700000000000006</v>
      </c>
      <c r="P59" s="29">
        <v>12.78</v>
      </c>
      <c r="Q59" s="26" t="str">
        <f t="shared" si="20"/>
        <v/>
      </c>
      <c r="R59" s="26">
        <f t="shared" si="14"/>
        <v>97.48</v>
      </c>
      <c r="S59" s="27">
        <f>INDEX('2023年合同单价'!$8:$8,MATCH(H59,'2023年合同单价'!$4:$4,0))</f>
        <v>56.61</v>
      </c>
      <c r="T59" s="27">
        <f>INDEX('2023年合同单价'!$7:$7,MATCH(H59,'2023年合同单价'!$4:$4,0))</f>
        <v>0.17</v>
      </c>
      <c r="U59" s="28">
        <f t="shared" si="17"/>
        <v>56.496780000000001</v>
      </c>
      <c r="V59" s="28">
        <f t="shared" si="18"/>
        <v>16.490000000000002</v>
      </c>
      <c r="W59" s="28">
        <f>INDEX('2023年合同单价'!$9:$9,MATCH(H59,'2023年合同单价'!$4:$4,0))</f>
        <v>20</v>
      </c>
      <c r="X59" s="28">
        <f t="shared" si="21"/>
        <v>12.783150000000001</v>
      </c>
      <c r="Y59" s="28">
        <f t="shared" si="15"/>
        <v>0</v>
      </c>
      <c r="Z59" s="28">
        <f t="shared" si="19"/>
        <v>0</v>
      </c>
      <c r="AA59" s="28" t="str">
        <f t="shared" si="7"/>
        <v/>
      </c>
    </row>
    <row r="60" spans="1:27" x14ac:dyDescent="0.35">
      <c r="A60" s="36" t="s">
        <v>37</v>
      </c>
      <c r="B60" s="44" t="s">
        <v>102</v>
      </c>
      <c r="C60" s="18">
        <v>1</v>
      </c>
      <c r="D60" s="16">
        <v>80</v>
      </c>
      <c r="E60" s="16">
        <v>1.0169999999999999</v>
      </c>
      <c r="F60" s="16">
        <v>1736.22</v>
      </c>
      <c r="H60" s="16" t="s">
        <v>105</v>
      </c>
      <c r="I60" s="16">
        <v>0.56999999999999995</v>
      </c>
      <c r="K60" s="16">
        <v>3.73</v>
      </c>
      <c r="L60" s="29">
        <v>57.57</v>
      </c>
      <c r="N60" s="16">
        <v>14</v>
      </c>
      <c r="O60" s="16">
        <v>10.16</v>
      </c>
      <c r="P60" s="29">
        <v>8.68</v>
      </c>
      <c r="Q60" s="26" t="str">
        <f t="shared" si="20"/>
        <v/>
      </c>
      <c r="R60" s="26">
        <f t="shared" si="14"/>
        <v>94.710000000000008</v>
      </c>
      <c r="S60" s="27">
        <f>INDEX('2023年合同单价'!$8:$8,MATCH(H60,'2023年合同单价'!$4:$4,0))</f>
        <v>56.61</v>
      </c>
      <c r="T60" s="27">
        <f>INDEX('2023年合同单价'!$7:$7,MATCH(H60,'2023年合同单价'!$4:$4,0))</f>
        <v>0.17</v>
      </c>
      <c r="U60" s="28">
        <f t="shared" si="17"/>
        <v>57.572369999999992</v>
      </c>
      <c r="V60" s="28">
        <f t="shared" si="18"/>
        <v>13.600000000000001</v>
      </c>
      <c r="W60" s="28">
        <f>INDEX('2023年合同单价'!$9:$9,MATCH(H60,'2023年合同单价'!$4:$4,0))</f>
        <v>20</v>
      </c>
      <c r="X60" s="28">
        <f t="shared" si="21"/>
        <v>8.6811000000000007</v>
      </c>
      <c r="Y60" s="28">
        <f t="shared" si="15"/>
        <v>0</v>
      </c>
      <c r="Z60" s="28">
        <f t="shared" si="19"/>
        <v>0</v>
      </c>
      <c r="AA60" s="28" t="str">
        <f t="shared" si="7"/>
        <v/>
      </c>
    </row>
    <row r="61" spans="1:27" x14ac:dyDescent="0.35">
      <c r="A61" s="36" t="s">
        <v>37</v>
      </c>
      <c r="B61" s="44" t="s">
        <v>103</v>
      </c>
      <c r="C61" s="18">
        <v>1</v>
      </c>
      <c r="D61" s="16">
        <v>91</v>
      </c>
      <c r="E61" s="16">
        <v>0.79600000000000004</v>
      </c>
      <c r="H61" s="16" t="s">
        <v>87</v>
      </c>
      <c r="K61" s="16">
        <v>1.29</v>
      </c>
      <c r="L61" s="30">
        <v>36.54</v>
      </c>
      <c r="M61" s="16">
        <v>2.92</v>
      </c>
      <c r="P61" s="29"/>
      <c r="Q61" s="26">
        <f t="shared" si="20"/>
        <v>8.5574999999999992</v>
      </c>
      <c r="R61" s="26">
        <f t="shared" si="14"/>
        <v>49.307499999999997</v>
      </c>
      <c r="S61" s="27">
        <f>INDEX('2023年合同单价'!$8:$8,MATCH(H61,'2023年合同单价'!$4:$4,0))</f>
        <v>0</v>
      </c>
      <c r="T61" s="27">
        <f>INDEX('2023年合同单价'!$7:$7,MATCH(H61,'2023年合同单价'!$4:$4,0))</f>
        <v>0.17</v>
      </c>
      <c r="U61" s="28">
        <f t="shared" si="17"/>
        <v>0</v>
      </c>
      <c r="V61" s="31">
        <f t="shared" si="18"/>
        <v>15.47</v>
      </c>
      <c r="W61" s="31">
        <f>INDEX('2023年合同单价'!$9:$9,MATCH(H61,'2023年合同单价'!$4:$4,0))</f>
        <v>20</v>
      </c>
      <c r="X61" s="28">
        <f t="shared" si="21"/>
        <v>0</v>
      </c>
      <c r="Y61" s="28">
        <f t="shared" si="15"/>
        <v>0</v>
      </c>
      <c r="Z61" s="28">
        <f t="shared" si="19"/>
        <v>0</v>
      </c>
      <c r="AA61" s="28">
        <f t="shared" si="7"/>
        <v>1.6</v>
      </c>
    </row>
    <row r="62" spans="1:27" x14ac:dyDescent="0.35">
      <c r="A62" s="36" t="s">
        <v>37</v>
      </c>
      <c r="B62" s="44" t="s">
        <v>103</v>
      </c>
      <c r="C62" s="18">
        <v>1</v>
      </c>
      <c r="D62" s="16">
        <v>85</v>
      </c>
      <c r="E62" s="16">
        <v>0.67200000000000004</v>
      </c>
      <c r="F62" s="16">
        <v>2064.6999999999998</v>
      </c>
      <c r="H62" s="16" t="s">
        <v>89</v>
      </c>
      <c r="I62" s="16">
        <v>0.8</v>
      </c>
      <c r="K62" s="16">
        <v>2.46</v>
      </c>
      <c r="L62" s="29">
        <v>38.04</v>
      </c>
      <c r="N62" s="16">
        <v>14</v>
      </c>
      <c r="O62" s="16">
        <v>6.71</v>
      </c>
      <c r="P62" s="29"/>
      <c r="Q62" s="26" t="str">
        <f t="shared" si="20"/>
        <v/>
      </c>
      <c r="R62" s="26">
        <f t="shared" si="14"/>
        <v>62.01</v>
      </c>
      <c r="S62" s="27">
        <f>INDEX('2023年合同单价'!$8:$8,MATCH(H62,'2023年合同单价'!$4:$4,0))</f>
        <v>56.61</v>
      </c>
      <c r="T62" s="27">
        <f>INDEX('2023年合同单价'!$7:$7,MATCH(H62,'2023年合同单价'!$4:$4,0))</f>
        <v>0.17</v>
      </c>
      <c r="U62" s="28">
        <f t="shared" si="17"/>
        <v>38.041920000000005</v>
      </c>
      <c r="V62" s="28">
        <f t="shared" si="18"/>
        <v>14.450000000000001</v>
      </c>
      <c r="W62" s="28">
        <f>INDEX('2023年合同单价'!$9:$9,MATCH(H62,'2023年合同单价'!$4:$4,0))</f>
        <v>20</v>
      </c>
      <c r="X62" s="42"/>
      <c r="Y62" s="28">
        <f t="shared" si="15"/>
        <v>0.61940999999999991</v>
      </c>
      <c r="Z62" s="28">
        <f t="shared" si="19"/>
        <v>22.711699999999997</v>
      </c>
      <c r="AA62" s="28" t="str">
        <f t="shared" si="7"/>
        <v/>
      </c>
    </row>
    <row r="63" spans="1:27" x14ac:dyDescent="0.35">
      <c r="A63" s="36" t="s">
        <v>37</v>
      </c>
      <c r="B63" s="44" t="s">
        <v>103</v>
      </c>
      <c r="C63" s="18">
        <v>1</v>
      </c>
      <c r="D63" s="16">
        <v>17</v>
      </c>
      <c r="E63" s="16">
        <v>1.2999999999999999E-2</v>
      </c>
      <c r="F63" s="16">
        <v>861.95</v>
      </c>
      <c r="H63" s="16" t="s">
        <v>89</v>
      </c>
      <c r="I63" s="16">
        <v>0.8</v>
      </c>
      <c r="K63" s="16">
        <v>0.19</v>
      </c>
      <c r="L63" s="29">
        <v>20</v>
      </c>
      <c r="N63" s="16">
        <v>14</v>
      </c>
      <c r="O63" s="16">
        <v>0.51</v>
      </c>
      <c r="P63" s="29"/>
      <c r="Q63" s="26" t="str">
        <f t="shared" si="20"/>
        <v/>
      </c>
      <c r="R63" s="26">
        <f t="shared" si="14"/>
        <v>35.499999999999993</v>
      </c>
      <c r="S63" s="27">
        <f>INDEX('2023年合同单价'!$8:$8,MATCH(H63,'2023年合同单价'!$4:$4,0))</f>
        <v>56.61</v>
      </c>
      <c r="T63" s="27">
        <f>INDEX('2023年合同单价'!$7:$7,MATCH(H63,'2023年合同单价'!$4:$4,0))</f>
        <v>0.17</v>
      </c>
      <c r="U63" s="28">
        <f t="shared" si="17"/>
        <v>0.73592999999999997</v>
      </c>
      <c r="V63" s="28">
        <f t="shared" si="18"/>
        <v>2.89</v>
      </c>
      <c r="W63" s="28">
        <f>INDEX('2023年合同单价'!$9:$9,MATCH(H63,'2023年合同单价'!$4:$4,0))</f>
        <v>20</v>
      </c>
      <c r="X63" s="42"/>
      <c r="Y63" s="28">
        <f t="shared" si="15"/>
        <v>0.25858500000000001</v>
      </c>
      <c r="Z63" s="28">
        <f t="shared" si="19"/>
        <v>9.4814500000000006</v>
      </c>
      <c r="AA63" s="28" t="str">
        <f t="shared" si="7"/>
        <v/>
      </c>
    </row>
    <row r="64" spans="1:27" x14ac:dyDescent="0.35">
      <c r="A64" s="36" t="s">
        <v>37</v>
      </c>
      <c r="B64" s="44" t="s">
        <v>103</v>
      </c>
      <c r="C64" s="18">
        <v>1</v>
      </c>
      <c r="D64" s="16">
        <v>74</v>
      </c>
      <c r="E64" s="16">
        <v>0.90200000000000002</v>
      </c>
      <c r="F64" s="16">
        <v>3345.9</v>
      </c>
      <c r="H64" s="16" t="s">
        <v>105</v>
      </c>
      <c r="I64" s="16">
        <v>0.56999999999999995</v>
      </c>
      <c r="K64" s="16">
        <v>3.3</v>
      </c>
      <c r="L64" s="29">
        <v>51.06</v>
      </c>
      <c r="N64" s="16">
        <v>14</v>
      </c>
      <c r="O64" s="16">
        <v>9.01</v>
      </c>
      <c r="P64" s="29"/>
      <c r="Q64" s="26" t="str">
        <f t="shared" si="20"/>
        <v/>
      </c>
      <c r="R64" s="26">
        <f t="shared" si="14"/>
        <v>77.940000000000012</v>
      </c>
      <c r="S64" s="27">
        <f>INDEX('2023年合同单价'!$8:$8,MATCH(H64,'2023年合同单价'!$4:$4,0))</f>
        <v>56.61</v>
      </c>
      <c r="T64" s="27">
        <f>INDEX('2023年合同单价'!$7:$7,MATCH(H64,'2023年合同单价'!$4:$4,0))</f>
        <v>0.17</v>
      </c>
      <c r="U64" s="28">
        <f t="shared" si="17"/>
        <v>51.062220000000003</v>
      </c>
      <c r="V64" s="28">
        <f t="shared" si="18"/>
        <v>12.58</v>
      </c>
      <c r="W64" s="28">
        <f>INDEX('2023年合同单价'!$9:$9,MATCH(H64,'2023年合同单价'!$4:$4,0))</f>
        <v>20</v>
      </c>
      <c r="X64" s="42"/>
      <c r="Y64" s="28">
        <f t="shared" si="15"/>
        <v>0</v>
      </c>
      <c r="Z64" s="28">
        <f t="shared" si="19"/>
        <v>0</v>
      </c>
      <c r="AA64" s="28" t="str">
        <f t="shared" si="7"/>
        <v/>
      </c>
    </row>
    <row r="65" spans="1:27" x14ac:dyDescent="0.35">
      <c r="A65" s="36" t="s">
        <v>37</v>
      </c>
      <c r="B65" s="44" t="s">
        <v>103</v>
      </c>
      <c r="C65" s="18">
        <v>1</v>
      </c>
      <c r="D65" s="16">
        <v>109</v>
      </c>
      <c r="E65" s="16">
        <v>1.2669999999999999</v>
      </c>
      <c r="F65" s="16">
        <v>3995.2</v>
      </c>
      <c r="H65" s="16" t="s">
        <v>107</v>
      </c>
      <c r="K65" s="16">
        <v>4.6399999999999997</v>
      </c>
      <c r="L65" s="29">
        <v>84.38</v>
      </c>
      <c r="N65" s="16">
        <v>14</v>
      </c>
      <c r="O65" s="16">
        <v>12.66</v>
      </c>
      <c r="P65" s="29"/>
      <c r="Q65" s="26" t="str">
        <f t="shared" si="20"/>
        <v/>
      </c>
      <c r="R65" s="26">
        <f t="shared" si="14"/>
        <v>115.67999999999999</v>
      </c>
      <c r="S65" s="27">
        <f>INDEX('2023年合同单价'!$8:$8,MATCH(H65,'2023年合同单价'!$4:$4,0))</f>
        <v>66.599999999999994</v>
      </c>
      <c r="T65" s="27">
        <f>INDEX('2023年合同单价'!$7:$7,MATCH(H65,'2023年合同单价'!$4:$4,0))</f>
        <v>0.2</v>
      </c>
      <c r="U65" s="28">
        <f t="shared" si="17"/>
        <v>84.382199999999983</v>
      </c>
      <c r="V65" s="28">
        <f t="shared" si="18"/>
        <v>21.8</v>
      </c>
      <c r="W65" s="28">
        <f>INDEX('2023年合同单价'!$9:$9,MATCH(H65,'2023年合同单价'!$4:$4,0))</f>
        <v>25</v>
      </c>
      <c r="X65" s="42"/>
      <c r="Y65" s="28">
        <f t="shared" si="15"/>
        <v>1.1985599999999998</v>
      </c>
      <c r="Z65" s="28">
        <f t="shared" si="19"/>
        <v>43.947199999999995</v>
      </c>
      <c r="AA65" s="28" t="str">
        <f t="shared" si="7"/>
        <v/>
      </c>
    </row>
    <row r="66" spans="1:27" x14ac:dyDescent="0.35">
      <c r="A66" s="36" t="s">
        <v>37</v>
      </c>
      <c r="B66" s="44" t="s">
        <v>104</v>
      </c>
      <c r="C66" s="18">
        <v>1</v>
      </c>
      <c r="D66" s="16">
        <v>49</v>
      </c>
      <c r="E66" s="16">
        <v>0.76800000000000002</v>
      </c>
      <c r="F66" s="16">
        <v>1124.97</v>
      </c>
      <c r="H66" s="16" t="s">
        <v>105</v>
      </c>
      <c r="I66" s="16">
        <v>0.56999999999999995</v>
      </c>
      <c r="K66" s="16">
        <v>2.81</v>
      </c>
      <c r="L66" s="29">
        <v>43.48</v>
      </c>
      <c r="N66" s="16">
        <v>14</v>
      </c>
      <c r="O66" s="16">
        <v>7.67</v>
      </c>
      <c r="P66" s="29">
        <v>5.62</v>
      </c>
      <c r="Q66" s="26" t="str">
        <f t="shared" si="20"/>
        <v/>
      </c>
      <c r="R66" s="26">
        <f t="shared" si="14"/>
        <v>74.150000000000006</v>
      </c>
      <c r="S66" s="27">
        <f>INDEX('2023年合同单价'!$8:$8,MATCH(H66,'2023年合同单价'!$4:$4,0))</f>
        <v>56.61</v>
      </c>
      <c r="T66" s="27">
        <f>INDEX('2023年合同单价'!$7:$7,MATCH(H66,'2023年合同单价'!$4:$4,0))</f>
        <v>0.17</v>
      </c>
      <c r="U66" s="28">
        <f t="shared" si="17"/>
        <v>43.476480000000002</v>
      </c>
      <c r="V66" s="28">
        <f t="shared" si="18"/>
        <v>8.33</v>
      </c>
      <c r="W66" s="28">
        <f>INDEX('2023年合同单价'!$9:$9,MATCH(H66,'2023年合同单价'!$4:$4,0))</f>
        <v>20</v>
      </c>
      <c r="X66" s="28">
        <f>IF(OR(H66="LPA",H66="ACE",H66="TFE",H66="FUE"),IF(F66*0.5%&lt;5,5,F66*0.5%),0)</f>
        <v>5.6248500000000003</v>
      </c>
      <c r="Y66" s="28">
        <f t="shared" si="15"/>
        <v>0</v>
      </c>
      <c r="Z66" s="28">
        <f t="shared" si="19"/>
        <v>0</v>
      </c>
      <c r="AA66" s="28" t="str">
        <f t="shared" si="7"/>
        <v/>
      </c>
    </row>
    <row r="67" spans="1:27" x14ac:dyDescent="0.35">
      <c r="A67" s="36" t="s">
        <v>37</v>
      </c>
      <c r="B67" s="44" t="s">
        <v>104</v>
      </c>
      <c r="C67" s="18">
        <v>2</v>
      </c>
      <c r="D67" s="16">
        <v>239</v>
      </c>
      <c r="E67" s="16">
        <v>2.5720000000000001</v>
      </c>
      <c r="F67" s="16">
        <v>2916.95</v>
      </c>
      <c r="H67" s="16" t="s">
        <v>108</v>
      </c>
      <c r="K67" s="16">
        <v>9.42</v>
      </c>
      <c r="L67" s="29">
        <v>171.3</v>
      </c>
      <c r="N67" s="16">
        <v>14</v>
      </c>
      <c r="O67" s="16">
        <v>25.69</v>
      </c>
      <c r="P67" s="29">
        <v>14.58</v>
      </c>
      <c r="Q67" s="26" t="str">
        <f t="shared" si="20"/>
        <v/>
      </c>
      <c r="R67" s="26">
        <f t="shared" si="14"/>
        <v>234.99</v>
      </c>
      <c r="S67" s="27">
        <f>INDEX('2023年合同单价'!$8:$8,MATCH(H67,'2023年合同单价'!$4:$4,0))</f>
        <v>66.599999999999994</v>
      </c>
      <c r="T67" s="27">
        <f>INDEX('2023年合同单价'!$7:$7,MATCH(H67,'2023年合同单价'!$4:$4,0))</f>
        <v>0.2</v>
      </c>
      <c r="U67" s="28">
        <f t="shared" si="17"/>
        <v>171.29519999999999</v>
      </c>
      <c r="V67" s="28">
        <f t="shared" si="18"/>
        <v>47.800000000000004</v>
      </c>
      <c r="W67" s="28">
        <f>INDEX('2023年合同单价'!$9:$9,MATCH(H67,'2023年合同单价'!$4:$4,0))</f>
        <v>25</v>
      </c>
      <c r="X67" s="28">
        <f t="shared" ref="X67:X71" si="22">IF(OR(H67="LPA",H67="ACE",H67="TFE",H67="FUE"),IF(F67*0.5%&lt;5,5,F67*0.5%),0)</f>
        <v>14.58475</v>
      </c>
      <c r="Y67" s="28">
        <f t="shared" si="15"/>
        <v>0</v>
      </c>
      <c r="Z67" s="28">
        <f t="shared" si="19"/>
        <v>0</v>
      </c>
      <c r="AA67" s="28" t="str">
        <f t="shared" si="7"/>
        <v/>
      </c>
    </row>
    <row r="68" spans="1:27" x14ac:dyDescent="0.35">
      <c r="A68" s="36" t="s">
        <v>37</v>
      </c>
      <c r="B68" s="44" t="s">
        <v>104</v>
      </c>
      <c r="C68" s="18">
        <v>1</v>
      </c>
      <c r="D68" s="16">
        <v>105</v>
      </c>
      <c r="E68" s="16">
        <v>0.96</v>
      </c>
      <c r="F68" s="16">
        <v>3462.35</v>
      </c>
      <c r="H68" s="16" t="s">
        <v>108</v>
      </c>
      <c r="K68" s="16">
        <v>3.52</v>
      </c>
      <c r="L68" s="29">
        <v>63.94</v>
      </c>
      <c r="N68" s="16">
        <v>14</v>
      </c>
      <c r="O68" s="16">
        <v>9.59</v>
      </c>
      <c r="P68" s="29">
        <v>17.309999999999999</v>
      </c>
      <c r="Q68" s="26" t="str">
        <f t="shared" si="20"/>
        <v/>
      </c>
      <c r="R68" s="26">
        <f t="shared" si="14"/>
        <v>108.36</v>
      </c>
      <c r="S68" s="27">
        <f>INDEX('2023年合同单价'!$8:$8,MATCH(H68,'2023年合同单价'!$4:$4,0))</f>
        <v>66.599999999999994</v>
      </c>
      <c r="T68" s="27">
        <f>INDEX('2023年合同单价'!$7:$7,MATCH(H68,'2023年合同单价'!$4:$4,0))</f>
        <v>0.2</v>
      </c>
      <c r="U68" s="28">
        <f t="shared" ref="U68:U88" si="23">E68*S68</f>
        <v>63.935999999999993</v>
      </c>
      <c r="V68" s="28">
        <f t="shared" ref="V68:V88" si="24">D68*T68</f>
        <v>21</v>
      </c>
      <c r="W68" s="28">
        <f>INDEX('2023年合同单价'!$9:$9,MATCH(H68,'2023年合同单价'!$4:$4,0))</f>
        <v>25</v>
      </c>
      <c r="X68" s="28">
        <f t="shared" si="22"/>
        <v>17.31175</v>
      </c>
      <c r="Y68" s="28">
        <f t="shared" si="15"/>
        <v>0</v>
      </c>
      <c r="Z68" s="28">
        <f t="shared" si="19"/>
        <v>0</v>
      </c>
      <c r="AA68" s="28" t="str">
        <f t="shared" si="7"/>
        <v/>
      </c>
    </row>
    <row r="69" spans="1:27" x14ac:dyDescent="0.35">
      <c r="A69" s="36" t="s">
        <v>37</v>
      </c>
      <c r="B69" s="44" t="s">
        <v>104</v>
      </c>
      <c r="C69" s="18">
        <v>1</v>
      </c>
      <c r="D69" s="16">
        <v>124</v>
      </c>
      <c r="E69" s="16">
        <v>1.276</v>
      </c>
      <c r="F69" s="16">
        <v>3495.15</v>
      </c>
      <c r="H69" s="16" t="s">
        <v>108</v>
      </c>
      <c r="K69" s="16">
        <v>4.67</v>
      </c>
      <c r="L69" s="29">
        <v>84.98</v>
      </c>
      <c r="N69" s="16">
        <v>14</v>
      </c>
      <c r="O69" s="16">
        <v>12.75</v>
      </c>
      <c r="P69" s="29">
        <v>17.48</v>
      </c>
      <c r="Q69" s="26" t="str">
        <f t="shared" si="20"/>
        <v/>
      </c>
      <c r="R69" s="26">
        <f t="shared" si="14"/>
        <v>133.88</v>
      </c>
      <c r="S69" s="27">
        <f>INDEX('2023年合同单价'!$8:$8,MATCH(H69,'2023年合同单价'!$4:$4,0))</f>
        <v>66.599999999999994</v>
      </c>
      <c r="T69" s="27">
        <f>INDEX('2023年合同单价'!$7:$7,MATCH(H69,'2023年合同单价'!$4:$4,0))</f>
        <v>0.2</v>
      </c>
      <c r="U69" s="28">
        <f t="shared" si="23"/>
        <v>84.9816</v>
      </c>
      <c r="V69" s="28">
        <f t="shared" si="24"/>
        <v>24.8</v>
      </c>
      <c r="W69" s="28">
        <f>INDEX('2023年合同单价'!$9:$9,MATCH(H69,'2023年合同单价'!$4:$4,0))</f>
        <v>25</v>
      </c>
      <c r="X69" s="28">
        <f t="shared" si="22"/>
        <v>17.475750000000001</v>
      </c>
      <c r="Y69" s="28">
        <f t="shared" ref="Y69:Y71" si="25">IF(OR(H69="LPA",H69="ACE"),F69*0.03%,0)</f>
        <v>0</v>
      </c>
      <c r="Z69" s="28">
        <f t="shared" ref="Z69:Z71" si="26">IF(OR(H69="LPA",H69="ACE"),F69*0.011,0)</f>
        <v>0</v>
      </c>
      <c r="AA69" s="28" t="str">
        <f t="shared" ref="AA69:AA103" si="27">IF(OR(H69="IBI",H69="PMI",H69="MNC"),IF(F69*0.0136&lt;1.6,1.6,F69*0.0136),"")</f>
        <v/>
      </c>
    </row>
    <row r="70" spans="1:27" x14ac:dyDescent="0.35">
      <c r="A70" s="36" t="s">
        <v>37</v>
      </c>
      <c r="B70" s="44" t="s">
        <v>104</v>
      </c>
      <c r="C70" s="18">
        <v>1</v>
      </c>
      <c r="D70" s="16">
        <v>31</v>
      </c>
      <c r="E70" s="16">
        <v>0.23499999999999999</v>
      </c>
      <c r="H70" s="16" t="s">
        <v>87</v>
      </c>
      <c r="K70" s="16">
        <v>0.38</v>
      </c>
      <c r="L70" s="29">
        <v>20</v>
      </c>
      <c r="M70" s="16">
        <v>1.6</v>
      </c>
      <c r="P70" s="29"/>
      <c r="Q70" s="26">
        <f t="shared" si="20"/>
        <v>4.6158000000000001</v>
      </c>
      <c r="R70" s="26">
        <f t="shared" si="14"/>
        <v>26.595800000000001</v>
      </c>
      <c r="S70" s="27">
        <f>INDEX('2023年合同单价'!$8:$8,MATCH(H70,'2023年合同单价'!$4:$4,0))</f>
        <v>0</v>
      </c>
      <c r="T70" s="27">
        <f>INDEX('2023年合同单价'!$7:$7,MATCH(H70,'2023年合同单价'!$4:$4,0))</f>
        <v>0.17</v>
      </c>
      <c r="U70" s="28">
        <f t="shared" si="23"/>
        <v>0</v>
      </c>
      <c r="V70" s="28">
        <f t="shared" si="24"/>
        <v>5.2700000000000005</v>
      </c>
      <c r="W70" s="28">
        <f>INDEX('2023年合同单价'!$9:$9,MATCH(H70,'2023年合同单价'!$4:$4,0))</f>
        <v>20</v>
      </c>
      <c r="X70" s="28">
        <f t="shared" si="22"/>
        <v>0</v>
      </c>
      <c r="Y70" s="28">
        <f t="shared" si="25"/>
        <v>0</v>
      </c>
      <c r="Z70" s="28">
        <f t="shared" si="26"/>
        <v>0</v>
      </c>
      <c r="AA70" s="28">
        <f t="shared" si="27"/>
        <v>1.6</v>
      </c>
    </row>
    <row r="71" spans="1:27" x14ac:dyDescent="0.35">
      <c r="A71" s="36" t="s">
        <v>37</v>
      </c>
      <c r="B71" s="44" t="s">
        <v>104</v>
      </c>
      <c r="C71" s="18">
        <v>2</v>
      </c>
      <c r="D71" s="16">
        <v>43</v>
      </c>
      <c r="E71" s="16">
        <v>0.32100000000000001</v>
      </c>
      <c r="H71" s="16" t="s">
        <v>88</v>
      </c>
      <c r="K71" s="16">
        <v>0.52</v>
      </c>
      <c r="L71" s="29">
        <v>20</v>
      </c>
      <c r="M71" s="16">
        <v>1.6</v>
      </c>
      <c r="P71" s="29"/>
      <c r="Q71" s="26">
        <f t="shared" si="20"/>
        <v>4.6452</v>
      </c>
      <c r="R71" s="26">
        <f t="shared" si="14"/>
        <v>26.7652</v>
      </c>
      <c r="S71" s="27">
        <f>INDEX('2023年合同单价'!$8:$8,MATCH(H71,'2023年合同单价'!$4:$4,0))</f>
        <v>0</v>
      </c>
      <c r="T71" s="27">
        <f>INDEX('2023年合同单价'!$7:$7,MATCH(H71,'2023年合同单价'!$4:$4,0))</f>
        <v>0.18</v>
      </c>
      <c r="U71" s="28">
        <f t="shared" si="23"/>
        <v>0</v>
      </c>
      <c r="V71" s="28">
        <f t="shared" si="24"/>
        <v>7.7399999999999993</v>
      </c>
      <c r="W71" s="28">
        <f>INDEX('2023年合同单价'!$9:$9,MATCH(H71,'2023年合同单价'!$4:$4,0))</f>
        <v>20</v>
      </c>
      <c r="X71" s="28">
        <f t="shared" si="22"/>
        <v>0</v>
      </c>
      <c r="Y71" s="28">
        <f t="shared" si="25"/>
        <v>0</v>
      </c>
      <c r="Z71" s="28">
        <f t="shared" si="26"/>
        <v>0</v>
      </c>
      <c r="AA71" s="28">
        <f t="shared" si="27"/>
        <v>1.6</v>
      </c>
    </row>
    <row r="72" spans="1:27" x14ac:dyDescent="0.35">
      <c r="A72" s="16" t="s">
        <v>122</v>
      </c>
      <c r="B72" s="64" t="s">
        <v>123</v>
      </c>
      <c r="C72" s="18">
        <v>1</v>
      </c>
      <c r="D72" s="16">
        <v>61</v>
      </c>
      <c r="E72" s="16">
        <v>0.72899999999999998</v>
      </c>
      <c r="F72" s="16">
        <v>242.76</v>
      </c>
      <c r="G72" s="16">
        <v>1689.2</v>
      </c>
      <c r="H72" s="16" t="s">
        <v>105</v>
      </c>
      <c r="I72" s="16">
        <v>0.56999999999999995</v>
      </c>
      <c r="K72" s="16">
        <v>2.67</v>
      </c>
      <c r="L72" s="16">
        <v>41.27</v>
      </c>
      <c r="N72" s="16">
        <v>14</v>
      </c>
      <c r="O72" s="16">
        <v>7.28</v>
      </c>
      <c r="P72" s="16">
        <v>8.4499999999999993</v>
      </c>
      <c r="R72" s="26">
        <f>SUM(I72:Q72)</f>
        <v>74.240000000000009</v>
      </c>
      <c r="S72" s="27">
        <f>INDEX('2023年合同单价'!$8:$8,MATCH(H72,'2023年合同单价'!$4:$4,0))</f>
        <v>56.61</v>
      </c>
      <c r="T72" s="27">
        <f>INDEX('2023年合同单价'!$7:$7,MATCH(H72,'2023年合同单价'!$4:$4,0))</f>
        <v>0.17</v>
      </c>
      <c r="U72" s="28">
        <f t="shared" si="23"/>
        <v>41.268689999999999</v>
      </c>
      <c r="V72" s="28">
        <f t="shared" si="24"/>
        <v>10.370000000000001</v>
      </c>
      <c r="W72" s="28">
        <f>INDEX('2023年合同单价'!$9:$9,MATCH(H72,'2023年合同单价'!$4:$4,0))</f>
        <v>20</v>
      </c>
      <c r="X72" s="28">
        <f>IF(OR(H72="LPA",H72="ACE",H72="TFE",H72="FUE",H72="SPC"),IF(G72*0.5%&lt;5,5,G72*0.5%),0)</f>
        <v>8.4459999999999997</v>
      </c>
      <c r="Y72" s="28">
        <f>IF(OR(H72="LPA",H72="ACE",H72="TFE",H72="FUE",H72="SPC"),F72*0.03,0)</f>
        <v>7.2827999999999991</v>
      </c>
      <c r="Z72" s="28">
        <f>IF(OR(H72="LPA",H72="ACE",H72="TFE",H72="FUE",H72="SPC"),F72*0.011,0)</f>
        <v>2.6703599999999996</v>
      </c>
      <c r="AA72" s="28" t="str">
        <f t="shared" si="27"/>
        <v/>
      </c>
    </row>
    <row r="73" spans="1:27" x14ac:dyDescent="0.35">
      <c r="A73" s="16" t="s">
        <v>122</v>
      </c>
      <c r="B73" s="64" t="s">
        <v>123</v>
      </c>
      <c r="C73" s="18">
        <v>1</v>
      </c>
      <c r="D73" s="16">
        <v>3.68</v>
      </c>
      <c r="E73" s="16">
        <v>3.1E-2</v>
      </c>
      <c r="F73" s="16">
        <v>10.32</v>
      </c>
      <c r="G73" s="16">
        <v>155.03</v>
      </c>
      <c r="H73" s="16" t="s">
        <v>105</v>
      </c>
      <c r="I73" s="16">
        <v>0.56999999999999995</v>
      </c>
      <c r="K73" s="16">
        <v>0.11</v>
      </c>
      <c r="L73" s="16">
        <v>20</v>
      </c>
      <c r="N73" s="16">
        <v>14</v>
      </c>
      <c r="O73" s="16">
        <v>0.31</v>
      </c>
      <c r="P73" s="16">
        <v>5</v>
      </c>
      <c r="R73" s="26">
        <f t="shared" si="14"/>
        <v>39.99</v>
      </c>
      <c r="S73" s="27">
        <f>INDEX('2023年合同单价'!$8:$8,MATCH(H73,'2023年合同单价'!$4:$4,0))</f>
        <v>56.61</v>
      </c>
      <c r="T73" s="27">
        <f>INDEX('2023年合同单价'!$7:$7,MATCH(H73,'2023年合同单价'!$4:$4,0))</f>
        <v>0.17</v>
      </c>
      <c r="U73" s="28">
        <f t="shared" si="23"/>
        <v>1.75491</v>
      </c>
      <c r="V73" s="28">
        <f t="shared" si="24"/>
        <v>0.62560000000000004</v>
      </c>
      <c r="W73" s="28">
        <f>INDEX('2023年合同单价'!$9:$9,MATCH(H73,'2023年合同单价'!$4:$4,0))</f>
        <v>20</v>
      </c>
      <c r="X73" s="28">
        <f t="shared" ref="X73:X88" si="28">IF(OR(H73="LPA",H73="ACE",H73="TFE",H73="FUE",H73="SPC"),IF(G73*0.5%&lt;5,5,G73*0.5%),0)</f>
        <v>5</v>
      </c>
      <c r="Y73" s="28">
        <f t="shared" ref="Y73:Y88" si="29">IF(OR(H73="LPA",H73="ACE",H73="TFE",H73="FUE",H73="SPC"),F73*0.03,0)</f>
        <v>0.30959999999999999</v>
      </c>
      <c r="Z73" s="28">
        <f t="shared" ref="Z73:Z88" si="30">IF(OR(H73="LPA",H73="ACE",H73="TFE",H73="FUE",H73="SPC"),F73*0.011,0)</f>
        <v>0.11352</v>
      </c>
      <c r="AA73" s="28" t="str">
        <f t="shared" si="27"/>
        <v/>
      </c>
    </row>
    <row r="74" spans="1:27" x14ac:dyDescent="0.35">
      <c r="A74" s="16" t="s">
        <v>122</v>
      </c>
      <c r="B74" s="64" t="s">
        <v>123</v>
      </c>
      <c r="C74" s="18">
        <v>1</v>
      </c>
      <c r="D74" s="16">
        <v>82</v>
      </c>
      <c r="E74" s="16">
        <v>0.79600000000000004</v>
      </c>
      <c r="F74" s="16">
        <v>265.07</v>
      </c>
      <c r="G74" s="16">
        <v>3334.65</v>
      </c>
      <c r="H74" s="16" t="s">
        <v>89</v>
      </c>
      <c r="I74" s="16">
        <v>0.8</v>
      </c>
      <c r="K74" s="16">
        <v>2.92</v>
      </c>
      <c r="L74" s="16">
        <v>45.06</v>
      </c>
      <c r="N74" s="16">
        <v>14</v>
      </c>
      <c r="O74" s="16">
        <v>7.95</v>
      </c>
      <c r="P74" s="16">
        <v>16.670000000000002</v>
      </c>
      <c r="R74" s="26">
        <f t="shared" si="14"/>
        <v>87.4</v>
      </c>
      <c r="S74" s="27">
        <f>INDEX('2023年合同单价'!$8:$8,MATCH(H74,'2023年合同单价'!$4:$4,0))</f>
        <v>56.61</v>
      </c>
      <c r="T74" s="27">
        <f>INDEX('2023年合同单价'!$7:$7,MATCH(H74,'2023年合同单价'!$4:$4,0))</f>
        <v>0.17</v>
      </c>
      <c r="U74" s="28">
        <f t="shared" si="23"/>
        <v>45.06156</v>
      </c>
      <c r="V74" s="28">
        <f t="shared" si="24"/>
        <v>13.940000000000001</v>
      </c>
      <c r="W74" s="28">
        <f>INDEX('2023年合同单价'!$9:$9,MATCH(H74,'2023年合同单价'!$4:$4,0))</f>
        <v>20</v>
      </c>
      <c r="X74" s="28">
        <f t="shared" si="28"/>
        <v>16.673249999999999</v>
      </c>
      <c r="Y74" s="28">
        <f t="shared" si="29"/>
        <v>7.9520999999999997</v>
      </c>
      <c r="Z74" s="28">
        <f t="shared" si="30"/>
        <v>2.9157699999999998</v>
      </c>
      <c r="AA74" s="28" t="str">
        <f t="shared" si="27"/>
        <v/>
      </c>
    </row>
    <row r="75" spans="1:27" x14ac:dyDescent="0.35">
      <c r="A75" s="16" t="s">
        <v>122</v>
      </c>
      <c r="B75" s="64" t="s">
        <v>123</v>
      </c>
      <c r="C75" s="18">
        <v>2</v>
      </c>
      <c r="D75" s="16">
        <v>52</v>
      </c>
      <c r="E75" s="16">
        <v>0.34499999999999997</v>
      </c>
      <c r="F75" s="16">
        <v>114.89</v>
      </c>
      <c r="G75" s="16">
        <v>1640.04</v>
      </c>
      <c r="H75" s="16" t="s">
        <v>127</v>
      </c>
      <c r="K75" s="16">
        <v>1.26</v>
      </c>
      <c r="L75" s="16">
        <v>34.47</v>
      </c>
      <c r="N75" s="16">
        <v>14</v>
      </c>
      <c r="O75" s="16">
        <v>3.45</v>
      </c>
      <c r="P75" s="16">
        <v>8.1999999999999993</v>
      </c>
      <c r="R75" s="26">
        <f t="shared" si="14"/>
        <v>61.379999999999995</v>
      </c>
      <c r="S75" s="27">
        <f>INDEX('2023年合同单价'!$8:$8,MATCH(H75,'2023年合同单价'!$4:$4,0))</f>
        <v>99.9</v>
      </c>
      <c r="T75" s="27">
        <f>INDEX('2023年合同单价'!$7:$7,MATCH(H75,'2023年合同单价'!$4:$4,0))</f>
        <v>0.3</v>
      </c>
      <c r="U75" s="28">
        <f t="shared" si="23"/>
        <v>34.465499999999999</v>
      </c>
      <c r="V75" s="28">
        <f t="shared" si="24"/>
        <v>15.6</v>
      </c>
      <c r="W75" s="28">
        <f>INDEX('2023年合同单价'!$9:$9,MATCH(H75,'2023年合同单价'!$4:$4,0))</f>
        <v>25</v>
      </c>
      <c r="X75" s="28">
        <f t="shared" si="28"/>
        <v>8.2002000000000006</v>
      </c>
      <c r="Y75" s="28">
        <f t="shared" si="29"/>
        <v>3.4466999999999999</v>
      </c>
      <c r="Z75" s="28">
        <f t="shared" si="30"/>
        <v>1.26379</v>
      </c>
      <c r="AA75" s="28" t="str">
        <f t="shared" si="27"/>
        <v/>
      </c>
    </row>
    <row r="76" spans="1:27" x14ac:dyDescent="0.35">
      <c r="A76" s="16" t="s">
        <v>122</v>
      </c>
      <c r="B76" s="64" t="s">
        <v>102</v>
      </c>
      <c r="C76" s="18">
        <v>1</v>
      </c>
      <c r="D76" s="16">
        <v>97</v>
      </c>
      <c r="E76" s="16">
        <v>0.998</v>
      </c>
      <c r="F76" s="16">
        <v>332.33</v>
      </c>
      <c r="G76" s="16">
        <v>2556.63</v>
      </c>
      <c r="H76" s="16" t="s">
        <v>105</v>
      </c>
      <c r="R76" s="26">
        <f t="shared" si="14"/>
        <v>0</v>
      </c>
      <c r="S76" s="27">
        <f>INDEX('2023年合同单价'!$8:$8,MATCH(H76,'2023年合同单价'!$4:$4,0))</f>
        <v>56.61</v>
      </c>
      <c r="T76" s="27">
        <f>INDEX('2023年合同单价'!$7:$7,MATCH(H76,'2023年合同单价'!$4:$4,0))</f>
        <v>0.17</v>
      </c>
      <c r="U76" s="28">
        <f t="shared" si="23"/>
        <v>56.496780000000001</v>
      </c>
      <c r="V76" s="28">
        <f t="shared" si="24"/>
        <v>16.490000000000002</v>
      </c>
      <c r="W76" s="28">
        <f>INDEX('2023年合同单价'!$9:$9,MATCH(H76,'2023年合同单价'!$4:$4,0))</f>
        <v>20</v>
      </c>
      <c r="X76" s="28">
        <f t="shared" si="28"/>
        <v>12.783150000000001</v>
      </c>
      <c r="Y76" s="28">
        <f t="shared" si="29"/>
        <v>9.9698999999999991</v>
      </c>
      <c r="Z76" s="28">
        <f t="shared" si="30"/>
        <v>3.6556299999999995</v>
      </c>
      <c r="AA76" s="28" t="str">
        <f t="shared" si="27"/>
        <v/>
      </c>
    </row>
    <row r="77" spans="1:27" x14ac:dyDescent="0.35">
      <c r="A77" s="16" t="s">
        <v>122</v>
      </c>
      <c r="B77" s="64" t="s">
        <v>124</v>
      </c>
      <c r="C77" s="18">
        <v>2</v>
      </c>
      <c r="D77" s="16">
        <v>392.5</v>
      </c>
      <c r="E77" s="16">
        <v>0.56000000000000005</v>
      </c>
      <c r="F77" s="16">
        <v>186.48</v>
      </c>
      <c r="G77" s="16">
        <v>2261.4</v>
      </c>
      <c r="H77" s="16" t="s">
        <v>89</v>
      </c>
      <c r="I77" s="16">
        <v>0.8</v>
      </c>
      <c r="K77" s="16">
        <v>4.32</v>
      </c>
      <c r="L77" s="16">
        <v>66.73</v>
      </c>
      <c r="N77" s="16">
        <v>14</v>
      </c>
      <c r="O77" s="16">
        <v>11.78</v>
      </c>
      <c r="R77" s="26">
        <f t="shared" si="14"/>
        <v>97.63000000000001</v>
      </c>
      <c r="S77" s="27">
        <f>INDEX('2023年合同单价'!$8:$8,MATCH(H77,'2023年合同单价'!$4:$4,0))</f>
        <v>56.61</v>
      </c>
      <c r="T77" s="27">
        <f>INDEX('2023年合同单价'!$7:$7,MATCH(H77,'2023年合同单价'!$4:$4,0))</f>
        <v>0.17</v>
      </c>
      <c r="U77" s="28">
        <f t="shared" si="23"/>
        <v>31.701600000000003</v>
      </c>
      <c r="V77" s="28">
        <f t="shared" si="24"/>
        <v>66.725000000000009</v>
      </c>
      <c r="W77" s="28">
        <f>INDEX('2023年合同单价'!$9:$9,MATCH(H77,'2023年合同单价'!$4:$4,0))</f>
        <v>20</v>
      </c>
      <c r="X77" s="28">
        <f t="shared" si="28"/>
        <v>11.307</v>
      </c>
      <c r="Y77" s="28">
        <f t="shared" si="29"/>
        <v>5.5943999999999994</v>
      </c>
      <c r="Z77" s="28">
        <f t="shared" si="30"/>
        <v>2.0512799999999998</v>
      </c>
      <c r="AA77" s="28" t="str">
        <f t="shared" si="27"/>
        <v/>
      </c>
    </row>
    <row r="78" spans="1:27" x14ac:dyDescent="0.35">
      <c r="A78" s="16" t="s">
        <v>122</v>
      </c>
      <c r="B78" s="64" t="s">
        <v>124</v>
      </c>
      <c r="C78" s="18">
        <v>1</v>
      </c>
      <c r="D78" s="16">
        <v>33.5</v>
      </c>
      <c r="E78" s="16">
        <v>0.35299999999999998</v>
      </c>
      <c r="F78" s="16">
        <v>117.55</v>
      </c>
      <c r="G78" s="16">
        <v>1376.35</v>
      </c>
      <c r="H78" s="16" t="s">
        <v>89</v>
      </c>
      <c r="I78" s="16">
        <v>0.8</v>
      </c>
      <c r="K78" s="16">
        <v>1.29</v>
      </c>
      <c r="L78" s="16">
        <v>20</v>
      </c>
      <c r="N78" s="16">
        <v>14</v>
      </c>
      <c r="O78" s="16">
        <v>3.53</v>
      </c>
      <c r="R78" s="26">
        <f t="shared" si="14"/>
        <v>39.620000000000005</v>
      </c>
      <c r="S78" s="27">
        <f>INDEX('2023年合同单价'!$8:$8,MATCH(H78,'2023年合同单价'!$4:$4,0))</f>
        <v>56.61</v>
      </c>
      <c r="T78" s="27">
        <f>INDEX('2023年合同单价'!$7:$7,MATCH(H78,'2023年合同单价'!$4:$4,0))</f>
        <v>0.17</v>
      </c>
      <c r="U78" s="28">
        <f t="shared" si="23"/>
        <v>19.983329999999999</v>
      </c>
      <c r="V78" s="28">
        <f t="shared" si="24"/>
        <v>5.6950000000000003</v>
      </c>
      <c r="W78" s="28">
        <f>INDEX('2023年合同单价'!$9:$9,MATCH(H78,'2023年合同单价'!$4:$4,0))</f>
        <v>20</v>
      </c>
      <c r="X78" s="28">
        <f t="shared" si="28"/>
        <v>6.8817499999999994</v>
      </c>
      <c r="Y78" s="28">
        <f t="shared" si="29"/>
        <v>3.5265</v>
      </c>
      <c r="Z78" s="28">
        <f t="shared" si="30"/>
        <v>1.2930499999999998</v>
      </c>
      <c r="AA78" s="28" t="str">
        <f t="shared" si="27"/>
        <v/>
      </c>
    </row>
    <row r="79" spans="1:27" x14ac:dyDescent="0.35">
      <c r="A79" s="16" t="s">
        <v>122</v>
      </c>
      <c r="B79" s="64" t="s">
        <v>124</v>
      </c>
      <c r="C79" s="18">
        <v>1</v>
      </c>
      <c r="D79" s="16">
        <v>147</v>
      </c>
      <c r="E79" s="16">
        <v>1.276</v>
      </c>
      <c r="F79" s="16">
        <v>424.91</v>
      </c>
      <c r="G79" s="16">
        <v>5380.1</v>
      </c>
      <c r="H79" s="16" t="s">
        <v>89</v>
      </c>
      <c r="I79" s="16">
        <v>0.8</v>
      </c>
      <c r="K79" s="16">
        <v>4.67</v>
      </c>
      <c r="L79" s="16">
        <v>72.23</v>
      </c>
      <c r="N79" s="16">
        <v>14</v>
      </c>
      <c r="O79" s="16">
        <v>12.75</v>
      </c>
      <c r="P79" s="16">
        <v>26.9</v>
      </c>
      <c r="R79" s="26">
        <f t="shared" si="14"/>
        <v>131.35</v>
      </c>
      <c r="S79" s="27">
        <f>INDEX('2023年合同单价'!$8:$8,MATCH(H79,'2023年合同单价'!$4:$4,0))</f>
        <v>56.61</v>
      </c>
      <c r="T79" s="27">
        <f>INDEX('2023年合同单价'!$7:$7,MATCH(H79,'2023年合同单价'!$4:$4,0))</f>
        <v>0.17</v>
      </c>
      <c r="U79" s="28">
        <f t="shared" si="23"/>
        <v>72.234359999999995</v>
      </c>
      <c r="V79" s="28">
        <f t="shared" si="24"/>
        <v>24.990000000000002</v>
      </c>
      <c r="W79" s="28">
        <f>INDEX('2023年合同单价'!$9:$9,MATCH(H79,'2023年合同单价'!$4:$4,0))</f>
        <v>20</v>
      </c>
      <c r="X79" s="28">
        <f t="shared" si="28"/>
        <v>26.900500000000001</v>
      </c>
      <c r="Y79" s="28">
        <f t="shared" si="29"/>
        <v>12.747300000000001</v>
      </c>
      <c r="Z79" s="28">
        <f t="shared" si="30"/>
        <v>4.67401</v>
      </c>
      <c r="AA79" s="28" t="str">
        <f t="shared" si="27"/>
        <v/>
      </c>
    </row>
    <row r="80" spans="1:27" x14ac:dyDescent="0.35">
      <c r="A80" s="16" t="s">
        <v>122</v>
      </c>
      <c r="B80" s="64" t="s">
        <v>125</v>
      </c>
      <c r="C80" s="18">
        <v>1</v>
      </c>
      <c r="D80" s="16">
        <v>125</v>
      </c>
      <c r="E80" s="16">
        <v>1.0169999999999999</v>
      </c>
      <c r="F80" s="16">
        <v>338.66</v>
      </c>
      <c r="G80" s="16">
        <v>3621.33</v>
      </c>
      <c r="H80" s="16" t="s">
        <v>107</v>
      </c>
      <c r="K80" s="16">
        <v>3.73</v>
      </c>
      <c r="L80" s="16">
        <v>67.73</v>
      </c>
      <c r="N80" s="16">
        <v>14</v>
      </c>
      <c r="O80" s="16">
        <v>10.16</v>
      </c>
      <c r="P80" s="16">
        <v>18.11</v>
      </c>
      <c r="R80" s="26">
        <f t="shared" si="14"/>
        <v>113.73</v>
      </c>
      <c r="S80" s="27">
        <f>INDEX('2023年合同单价'!$8:$8,MATCH(H80,'2023年合同单价'!$4:$4,0))</f>
        <v>66.599999999999994</v>
      </c>
      <c r="T80" s="27">
        <f>INDEX('2023年合同单价'!$7:$7,MATCH(H80,'2023年合同单价'!$4:$4,0))</f>
        <v>0.2</v>
      </c>
      <c r="U80" s="28">
        <f t="shared" si="23"/>
        <v>67.732199999999992</v>
      </c>
      <c r="V80" s="28">
        <f t="shared" si="24"/>
        <v>25</v>
      </c>
      <c r="W80" s="28">
        <f>INDEX('2023年合同单价'!$9:$9,MATCH(H80,'2023年合同单价'!$4:$4,0))</f>
        <v>25</v>
      </c>
      <c r="X80" s="28">
        <f>IF(OR(H80="LPA",H80="ACE",H80="TFE",H80="FUE",H80="SPC"),IF(G80*0.5%&lt;5,5,G80*0.5%),0)</f>
        <v>18.106649999999998</v>
      </c>
      <c r="Y80" s="28">
        <f>IF(OR(H80="LPA",H80="ACE",H80="TFE",H80="FUE",H80="SPC"),F80*0.03,0)</f>
        <v>10.159800000000001</v>
      </c>
      <c r="Z80" s="28">
        <f t="shared" si="30"/>
        <v>3.72526</v>
      </c>
      <c r="AA80" s="28" t="str">
        <f t="shared" si="27"/>
        <v/>
      </c>
    </row>
    <row r="81" spans="1:27" x14ac:dyDescent="0.35">
      <c r="A81" s="16" t="s">
        <v>122</v>
      </c>
      <c r="B81" s="64" t="s">
        <v>125</v>
      </c>
      <c r="C81" s="18">
        <v>1</v>
      </c>
      <c r="D81" s="16">
        <v>104</v>
      </c>
      <c r="E81" s="16">
        <v>1.1519999999999999</v>
      </c>
      <c r="F81" s="16">
        <v>383.62</v>
      </c>
      <c r="G81" s="16">
        <v>3633.29</v>
      </c>
      <c r="H81" s="16" t="s">
        <v>107</v>
      </c>
      <c r="K81" s="16">
        <v>4.22</v>
      </c>
      <c r="L81" s="16">
        <v>76.72</v>
      </c>
      <c r="N81" s="16">
        <v>14</v>
      </c>
      <c r="O81" s="16">
        <v>11.51</v>
      </c>
      <c r="P81" s="16">
        <v>18.170000000000002</v>
      </c>
      <c r="R81" s="26">
        <f t="shared" si="14"/>
        <v>124.62</v>
      </c>
      <c r="S81" s="27">
        <f>INDEX('2023年合同单价'!$8:$8,MATCH(H81,'2023年合同单价'!$4:$4,0))</f>
        <v>66.599999999999994</v>
      </c>
      <c r="T81" s="27">
        <f>INDEX('2023年合同单价'!$7:$7,MATCH(H81,'2023年合同单价'!$4:$4,0))</f>
        <v>0.2</v>
      </c>
      <c r="U81" s="28">
        <f t="shared" si="23"/>
        <v>76.723199999999991</v>
      </c>
      <c r="V81" s="28">
        <f t="shared" si="24"/>
        <v>20.8</v>
      </c>
      <c r="W81" s="28">
        <f>INDEX('2023年合同单价'!$9:$9,MATCH(H81,'2023年合同单价'!$4:$4,0))</f>
        <v>25</v>
      </c>
      <c r="X81" s="28">
        <f t="shared" si="28"/>
        <v>18.166450000000001</v>
      </c>
      <c r="Y81" s="28">
        <f t="shared" si="29"/>
        <v>11.508599999999999</v>
      </c>
      <c r="Z81" s="28">
        <f t="shared" si="30"/>
        <v>4.2198199999999995</v>
      </c>
      <c r="AA81" s="28" t="str">
        <f t="shared" si="27"/>
        <v/>
      </c>
    </row>
    <row r="82" spans="1:27" x14ac:dyDescent="0.35">
      <c r="A82" s="16" t="s">
        <v>122</v>
      </c>
      <c r="B82" s="64" t="s">
        <v>125</v>
      </c>
      <c r="C82" s="18">
        <v>1</v>
      </c>
      <c r="D82" s="16">
        <v>142.5</v>
      </c>
      <c r="E82" s="16">
        <v>1.536</v>
      </c>
      <c r="F82" s="16">
        <v>511.49</v>
      </c>
      <c r="G82" s="16">
        <v>4377.2</v>
      </c>
      <c r="H82" s="16" t="s">
        <v>107</v>
      </c>
      <c r="K82" s="16">
        <v>5.63</v>
      </c>
      <c r="L82" s="16">
        <v>102.3</v>
      </c>
      <c r="N82" s="16">
        <v>14</v>
      </c>
      <c r="O82" s="16">
        <v>15.34</v>
      </c>
      <c r="P82" s="16">
        <v>21.89</v>
      </c>
      <c r="R82" s="26">
        <f t="shared" si="14"/>
        <v>159.15999999999997</v>
      </c>
      <c r="S82" s="27">
        <f>INDEX('2023年合同单价'!$8:$8,MATCH(H82,'2023年合同单价'!$4:$4,0))</f>
        <v>66.599999999999994</v>
      </c>
      <c r="T82" s="27">
        <f>INDEX('2023年合同单价'!$7:$7,MATCH(H82,'2023年合同单价'!$4:$4,0))</f>
        <v>0.2</v>
      </c>
      <c r="U82" s="28">
        <f t="shared" si="23"/>
        <v>102.29759999999999</v>
      </c>
      <c r="V82" s="28">
        <f t="shared" si="24"/>
        <v>28.5</v>
      </c>
      <c r="W82" s="28">
        <f>INDEX('2023年合同单价'!$9:$9,MATCH(H82,'2023年合同单价'!$4:$4,0))</f>
        <v>25</v>
      </c>
      <c r="X82" s="28">
        <f t="shared" si="28"/>
        <v>21.885999999999999</v>
      </c>
      <c r="Y82" s="28">
        <f t="shared" si="29"/>
        <v>15.3447</v>
      </c>
      <c r="Z82" s="28">
        <f t="shared" si="30"/>
        <v>5.6263899999999998</v>
      </c>
      <c r="AA82" s="28" t="str">
        <f t="shared" si="27"/>
        <v/>
      </c>
    </row>
    <row r="83" spans="1:27" x14ac:dyDescent="0.35">
      <c r="A83" s="16" t="s">
        <v>122</v>
      </c>
      <c r="B83" s="64" t="s">
        <v>125</v>
      </c>
      <c r="C83" s="18">
        <v>1</v>
      </c>
      <c r="D83" s="16">
        <v>141</v>
      </c>
      <c r="E83" s="16">
        <v>1.536</v>
      </c>
      <c r="F83" s="16">
        <v>511.49</v>
      </c>
      <c r="G83" s="16">
        <v>4443.2</v>
      </c>
      <c r="H83" s="16" t="s">
        <v>107</v>
      </c>
      <c r="K83" s="16">
        <v>5.63</v>
      </c>
      <c r="L83" s="16">
        <v>102.3</v>
      </c>
      <c r="N83" s="16">
        <v>14</v>
      </c>
      <c r="O83" s="16">
        <v>15.34</v>
      </c>
      <c r="P83" s="16">
        <v>22.22</v>
      </c>
      <c r="R83" s="26">
        <f t="shared" si="14"/>
        <v>159.48999999999998</v>
      </c>
      <c r="S83" s="27">
        <f>INDEX('2023年合同单价'!$8:$8,MATCH(H83,'2023年合同单价'!$4:$4,0))</f>
        <v>66.599999999999994</v>
      </c>
      <c r="T83" s="27">
        <f>INDEX('2023年合同单价'!$7:$7,MATCH(H83,'2023年合同单价'!$4:$4,0))</f>
        <v>0.2</v>
      </c>
      <c r="U83" s="28">
        <f t="shared" si="23"/>
        <v>102.29759999999999</v>
      </c>
      <c r="V83" s="28">
        <f t="shared" si="24"/>
        <v>28.200000000000003</v>
      </c>
      <c r="W83" s="28">
        <f>INDEX('2023年合同单价'!$9:$9,MATCH(H83,'2023年合同单价'!$4:$4,0))</f>
        <v>25</v>
      </c>
      <c r="X83" s="28">
        <f t="shared" si="28"/>
        <v>22.216000000000001</v>
      </c>
      <c r="Y83" s="28">
        <f t="shared" si="29"/>
        <v>15.3447</v>
      </c>
      <c r="Z83" s="28">
        <f t="shared" si="30"/>
        <v>5.6263899999999998</v>
      </c>
      <c r="AA83" s="28" t="str">
        <f t="shared" si="27"/>
        <v/>
      </c>
    </row>
    <row r="84" spans="1:27" x14ac:dyDescent="0.35">
      <c r="A84" s="16" t="s">
        <v>122</v>
      </c>
      <c r="B84" s="64" t="s">
        <v>125</v>
      </c>
      <c r="C84" s="18">
        <v>1</v>
      </c>
      <c r="D84" s="16">
        <v>138</v>
      </c>
      <c r="E84" s="16">
        <v>1.171</v>
      </c>
      <c r="F84" s="16">
        <v>389.94</v>
      </c>
      <c r="G84" s="16">
        <v>3828.9</v>
      </c>
      <c r="H84" s="16" t="s">
        <v>107</v>
      </c>
      <c r="K84" s="16">
        <v>4.29</v>
      </c>
      <c r="L84" s="16">
        <v>77.989999999999995</v>
      </c>
      <c r="N84" s="16">
        <v>14</v>
      </c>
      <c r="O84" s="16">
        <v>11.7</v>
      </c>
      <c r="P84" s="16">
        <v>19.14</v>
      </c>
      <c r="R84" s="26">
        <f t="shared" si="14"/>
        <v>127.12</v>
      </c>
      <c r="S84" s="27">
        <f>INDEX('2023年合同单价'!$8:$8,MATCH(H84,'2023年合同单价'!$4:$4,0))</f>
        <v>66.599999999999994</v>
      </c>
      <c r="T84" s="27">
        <f>INDEX('2023年合同单价'!$7:$7,MATCH(H84,'2023年合同单价'!$4:$4,0))</f>
        <v>0.2</v>
      </c>
      <c r="U84" s="28">
        <f t="shared" si="23"/>
        <v>77.988599999999991</v>
      </c>
      <c r="V84" s="28">
        <f t="shared" si="24"/>
        <v>27.6</v>
      </c>
      <c r="W84" s="28">
        <f>INDEX('2023年合同单价'!$9:$9,MATCH(H84,'2023年合同单价'!$4:$4,0))</f>
        <v>25</v>
      </c>
      <c r="X84" s="28">
        <f t="shared" si="28"/>
        <v>19.144500000000001</v>
      </c>
      <c r="Y84" s="28">
        <f t="shared" si="29"/>
        <v>11.6982</v>
      </c>
      <c r="Z84" s="28">
        <f t="shared" si="30"/>
        <v>4.2893400000000002</v>
      </c>
      <c r="AA84" s="28" t="str">
        <f t="shared" si="27"/>
        <v/>
      </c>
    </row>
    <row r="85" spans="1:27" x14ac:dyDescent="0.35">
      <c r="A85" s="16" t="s">
        <v>122</v>
      </c>
      <c r="B85" s="64" t="s">
        <v>125</v>
      </c>
      <c r="C85" s="18">
        <v>1</v>
      </c>
      <c r="D85" s="16">
        <v>148</v>
      </c>
      <c r="E85" s="16">
        <v>1.2669999999999999</v>
      </c>
      <c r="F85" s="16">
        <v>421.91</v>
      </c>
      <c r="G85" s="16">
        <v>3537.67</v>
      </c>
      <c r="H85" s="16" t="s">
        <v>89</v>
      </c>
      <c r="I85" s="16">
        <v>0.8</v>
      </c>
      <c r="K85" s="16">
        <v>4.6399999999999997</v>
      </c>
      <c r="L85" s="16">
        <v>71.72</v>
      </c>
      <c r="N85" s="16">
        <v>14</v>
      </c>
      <c r="O85" s="16">
        <v>12.66</v>
      </c>
      <c r="P85" s="16">
        <v>17.690000000000001</v>
      </c>
      <c r="R85" s="26">
        <f t="shared" si="14"/>
        <v>121.50999999999999</v>
      </c>
      <c r="S85" s="27">
        <f>INDEX('2023年合同单价'!$8:$8,MATCH(H85,'2023年合同单价'!$4:$4,0))</f>
        <v>56.61</v>
      </c>
      <c r="T85" s="27">
        <f>INDEX('2023年合同单价'!$7:$7,MATCH(H85,'2023年合同单价'!$4:$4,0))</f>
        <v>0.17</v>
      </c>
      <c r="U85" s="28">
        <f t="shared" si="23"/>
        <v>71.724869999999996</v>
      </c>
      <c r="V85" s="28">
        <f t="shared" si="24"/>
        <v>25.16</v>
      </c>
      <c r="W85" s="28">
        <f>INDEX('2023年合同单价'!$9:$9,MATCH(H85,'2023年合同单价'!$4:$4,0))</f>
        <v>20</v>
      </c>
      <c r="X85" s="28">
        <f t="shared" si="28"/>
        <v>17.68835</v>
      </c>
      <c r="Y85" s="28">
        <f t="shared" si="29"/>
        <v>12.657300000000001</v>
      </c>
      <c r="Z85" s="28">
        <f t="shared" si="30"/>
        <v>4.6410099999999996</v>
      </c>
      <c r="AA85" s="28" t="str">
        <f t="shared" si="27"/>
        <v/>
      </c>
    </row>
    <row r="86" spans="1:27" x14ac:dyDescent="0.35">
      <c r="A86" s="16" t="s">
        <v>122</v>
      </c>
      <c r="B86" s="64" t="s">
        <v>126</v>
      </c>
      <c r="C86" s="18">
        <v>3</v>
      </c>
      <c r="D86" s="16">
        <v>667</v>
      </c>
      <c r="E86" s="16">
        <v>4.952</v>
      </c>
      <c r="F86" s="16">
        <v>1649.02</v>
      </c>
      <c r="G86" s="16">
        <v>12895.32</v>
      </c>
      <c r="H86" s="16" t="s">
        <v>127</v>
      </c>
      <c r="K86" s="16">
        <v>18.14</v>
      </c>
      <c r="L86" s="16">
        <v>494.7</v>
      </c>
      <c r="N86" s="16">
        <v>14</v>
      </c>
      <c r="O86" s="16">
        <v>49.47</v>
      </c>
      <c r="P86" s="16">
        <v>64.48</v>
      </c>
      <c r="R86" s="26">
        <f t="shared" si="14"/>
        <v>640.79000000000008</v>
      </c>
      <c r="S86" s="27">
        <f>INDEX('2023年合同单价'!$8:$8,MATCH(H86,'2023年合同单价'!$4:$4,0))</f>
        <v>99.9</v>
      </c>
      <c r="T86" s="27">
        <f>INDEX('2023年合同单价'!$7:$7,MATCH(H86,'2023年合同单价'!$4:$4,0))</f>
        <v>0.3</v>
      </c>
      <c r="U86" s="28">
        <f t="shared" si="23"/>
        <v>494.70480000000003</v>
      </c>
      <c r="V86" s="28">
        <f t="shared" si="24"/>
        <v>200.1</v>
      </c>
      <c r="W86" s="28">
        <f>INDEX('2023年合同单价'!$9:$9,MATCH(H86,'2023年合同单价'!$4:$4,0))</f>
        <v>25</v>
      </c>
      <c r="X86" s="28">
        <f t="shared" si="28"/>
        <v>64.476600000000005</v>
      </c>
      <c r="Y86" s="28">
        <f t="shared" si="29"/>
        <v>49.470599999999997</v>
      </c>
      <c r="Z86" s="28">
        <f>IF(OR(H86="LPA",H86="ACE",H86="TFE",H86="FUE",H86="SPC"),F86*0.011,0)</f>
        <v>18.139219999999998</v>
      </c>
      <c r="AA86" s="28" t="str">
        <f t="shared" si="27"/>
        <v/>
      </c>
    </row>
    <row r="87" spans="1:27" x14ac:dyDescent="0.35">
      <c r="A87" s="16" t="s">
        <v>122</v>
      </c>
      <c r="B87" s="64" t="s">
        <v>126</v>
      </c>
      <c r="C87" s="18">
        <v>1</v>
      </c>
      <c r="D87" s="16">
        <v>176</v>
      </c>
      <c r="E87" s="16">
        <v>1.651</v>
      </c>
      <c r="F87" s="16">
        <v>549.78</v>
      </c>
      <c r="G87" s="16">
        <v>6097.8</v>
      </c>
      <c r="H87" s="16" t="s">
        <v>108</v>
      </c>
      <c r="K87" s="16">
        <v>6.05</v>
      </c>
      <c r="L87" s="16">
        <v>109.96</v>
      </c>
      <c r="N87" s="16">
        <v>14</v>
      </c>
      <c r="O87" s="16">
        <v>16.489999999999998</v>
      </c>
      <c r="P87" s="16">
        <v>30.49</v>
      </c>
      <c r="R87" s="26">
        <f t="shared" si="14"/>
        <v>176.99</v>
      </c>
      <c r="S87" s="27">
        <f>INDEX('2023年合同单价'!$8:$8,MATCH(H87,'2023年合同单价'!$4:$4,0))</f>
        <v>66.599999999999994</v>
      </c>
      <c r="T87" s="27">
        <f>INDEX('2023年合同单价'!$7:$7,MATCH(H87,'2023年合同单价'!$4:$4,0))</f>
        <v>0.2</v>
      </c>
      <c r="U87" s="28">
        <f t="shared" si="23"/>
        <v>109.95659999999999</v>
      </c>
      <c r="V87" s="28">
        <f t="shared" si="24"/>
        <v>35.200000000000003</v>
      </c>
      <c r="W87" s="28">
        <f>INDEX('2023年合同单价'!$9:$9,MATCH(H87,'2023年合同单价'!$4:$4,0))</f>
        <v>25</v>
      </c>
      <c r="X87" s="28">
        <f t="shared" si="28"/>
        <v>30.489000000000001</v>
      </c>
      <c r="Y87" s="28">
        <f t="shared" si="29"/>
        <v>16.493399999999998</v>
      </c>
      <c r="Z87" s="28">
        <f t="shared" si="30"/>
        <v>6.0475799999999991</v>
      </c>
      <c r="AA87" s="28" t="str">
        <f t="shared" si="27"/>
        <v/>
      </c>
    </row>
    <row r="88" spans="1:27" x14ac:dyDescent="0.35">
      <c r="A88" s="16" t="s">
        <v>122</v>
      </c>
      <c r="B88" s="64" t="s">
        <v>126</v>
      </c>
      <c r="C88" s="18">
        <v>2</v>
      </c>
      <c r="D88" s="16">
        <v>352</v>
      </c>
      <c r="E88" s="16">
        <v>2.8119999999999998</v>
      </c>
      <c r="F88" s="16">
        <v>936.4</v>
      </c>
      <c r="G88" s="16">
        <v>3930.22</v>
      </c>
      <c r="H88" s="16" t="s">
        <v>89</v>
      </c>
      <c r="I88" s="16">
        <v>0.8</v>
      </c>
      <c r="K88" s="16">
        <v>10.3</v>
      </c>
      <c r="L88" s="16">
        <v>159.19</v>
      </c>
      <c r="N88" s="16">
        <v>14</v>
      </c>
      <c r="O88" s="16">
        <v>28.09</v>
      </c>
      <c r="P88" s="16">
        <v>19.649999999999999</v>
      </c>
      <c r="R88" s="26">
        <f t="shared" si="14"/>
        <v>232.03</v>
      </c>
      <c r="S88" s="27">
        <f>INDEX('2023年合同单价'!$8:$8,MATCH(H88,'2023年合同单价'!$4:$4,0))</f>
        <v>56.61</v>
      </c>
      <c r="T88" s="27">
        <f>INDEX('2023年合同单价'!$7:$7,MATCH(H88,'2023年合同单价'!$4:$4,0))</f>
        <v>0.17</v>
      </c>
      <c r="U88" s="28">
        <f t="shared" si="23"/>
        <v>159.18732</v>
      </c>
      <c r="V88" s="28">
        <f t="shared" si="24"/>
        <v>59.84</v>
      </c>
      <c r="W88" s="28">
        <f>INDEX('2023年合同单价'!$9:$9,MATCH(H88,'2023年合同单价'!$4:$4,0))</f>
        <v>20</v>
      </c>
      <c r="X88" s="28">
        <f t="shared" si="28"/>
        <v>19.6511</v>
      </c>
      <c r="Y88" s="28">
        <f t="shared" si="29"/>
        <v>28.091999999999999</v>
      </c>
      <c r="Z88" s="28">
        <f t="shared" si="30"/>
        <v>10.3004</v>
      </c>
      <c r="AA88" s="28" t="str">
        <f t="shared" si="27"/>
        <v/>
      </c>
    </row>
    <row r="89" spans="1:27" x14ac:dyDescent="0.35">
      <c r="A89" s="16" t="s">
        <v>130</v>
      </c>
      <c r="B89" s="65" t="s">
        <v>124</v>
      </c>
      <c r="C89" s="18">
        <v>2</v>
      </c>
      <c r="D89" s="16">
        <v>50</v>
      </c>
      <c r="E89" s="16">
        <v>0.27800000000000002</v>
      </c>
      <c r="F89" s="16">
        <v>75.06</v>
      </c>
      <c r="H89" s="16" t="s">
        <v>88</v>
      </c>
      <c r="K89" s="16">
        <v>0.45</v>
      </c>
      <c r="L89" s="16">
        <v>20</v>
      </c>
      <c r="M89" s="16">
        <v>1.6</v>
      </c>
      <c r="Q89" s="26">
        <f>IF(OR(H89="PMI",H89="MNC",H89="IBI"),(K89+L89+M89)*0.21,"")</f>
        <v>4.6304999999999996</v>
      </c>
      <c r="R89" s="26">
        <f t="shared" si="14"/>
        <v>26.680500000000002</v>
      </c>
      <c r="S89" s="27">
        <f>INDEX('2023年合同单价'!$8:$8,MATCH(H89,'2023年合同单价'!$4:$4,0))</f>
        <v>0</v>
      </c>
      <c r="T89" s="27">
        <f>INDEX('2023年合同单价'!$7:$7,MATCH(H89,'2023年合同单价'!$4:$4,0))</f>
        <v>0.18</v>
      </c>
      <c r="U89" s="28">
        <f t="shared" ref="U89:U103" si="31">E89*S89</f>
        <v>0</v>
      </c>
      <c r="V89" s="28">
        <f>IF(OR(H89="IBI",H89="PMI",H89="MNC"),F89*T89,D89*T89)</f>
        <v>13.5108</v>
      </c>
      <c r="W89" s="28">
        <f>INDEX('2023年合同单价'!$9:$9,MATCH(H89,'2023年合同单价'!$4:$4,0))</f>
        <v>20</v>
      </c>
      <c r="X89" s="28">
        <f t="shared" ref="X89:X103" si="32">IF(OR(H89="LPA",H89="ACE",H89="TFE",H89="FUE",H89="SPC"),IF(G89*0.5%&lt;5,5,G89*0.5%),0)</f>
        <v>0</v>
      </c>
      <c r="Y89" s="28">
        <f>IF(OR(H89="LPA",H89="ACE",H89="TFE",H89="FUE",H89="SPC"),F89*0.03,0)</f>
        <v>0</v>
      </c>
      <c r="Z89" s="28">
        <f>IF(OR(H89="LPA",H89="ACE",H89="TFE",H89="FUE",H89="SPC"),F89*0.011,F89*0.006)</f>
        <v>0.45036000000000004</v>
      </c>
      <c r="AA89" s="28">
        <f t="shared" si="27"/>
        <v>1.6</v>
      </c>
    </row>
    <row r="90" spans="1:27" x14ac:dyDescent="0.35">
      <c r="A90" s="16" t="s">
        <v>130</v>
      </c>
      <c r="B90" s="65" t="s">
        <v>124</v>
      </c>
      <c r="C90" s="18">
        <v>1</v>
      </c>
      <c r="D90" s="16">
        <v>29</v>
      </c>
      <c r="E90" s="16">
        <v>0.223</v>
      </c>
      <c r="F90" s="16">
        <v>60.21</v>
      </c>
      <c r="H90" s="16" t="s">
        <v>87</v>
      </c>
      <c r="K90" s="16">
        <v>0.36</v>
      </c>
      <c r="L90" s="16">
        <v>20</v>
      </c>
      <c r="M90" s="16">
        <v>1.6</v>
      </c>
      <c r="Q90" s="26">
        <f t="shared" ref="Q90:Q103" si="33">IF(OR(H90="PMI",H90="MNC",H90="IBI"),(K90+L90+M90)*0.21,"")</f>
        <v>4.6116000000000001</v>
      </c>
      <c r="R90" s="26">
        <f t="shared" si="14"/>
        <v>26.5716</v>
      </c>
      <c r="S90" s="27">
        <f>INDEX('2023年合同单价'!$8:$8,MATCH(H90,'2023年合同单价'!$4:$4,0))</f>
        <v>0</v>
      </c>
      <c r="T90" s="27">
        <f>INDEX('2023年合同单价'!$7:$7,MATCH(H90,'2023年合同单价'!$4:$4,0))</f>
        <v>0.17</v>
      </c>
      <c r="U90" s="28">
        <f t="shared" si="31"/>
        <v>0</v>
      </c>
      <c r="V90" s="28">
        <f t="shared" ref="V90:V103" si="34">IF(OR(H90="IBI",H90="PMI",H90="MNC"),F90*T90,D90*T90)</f>
        <v>10.235700000000001</v>
      </c>
      <c r="W90" s="28">
        <f>INDEX('2023年合同单价'!$9:$9,MATCH(H90,'2023年合同单价'!$4:$4,0))</f>
        <v>20</v>
      </c>
      <c r="X90" s="28">
        <f t="shared" si="32"/>
        <v>0</v>
      </c>
      <c r="Y90" s="28">
        <f t="shared" ref="Y90:Y103" si="35">IF(OR(H90="LPA",H90="ACE",H90="TFE",H90="FUE",H90="SPC"),F90*0.03,0)</f>
        <v>0</v>
      </c>
      <c r="Z90" s="28">
        <f t="shared" ref="Z90:Z103" si="36">IF(OR(H90="LPA",H90="ACE",H90="TFE",H90="FUE",H90="SPC"),F90*0.011,F90*0.006)</f>
        <v>0.36126000000000003</v>
      </c>
      <c r="AA90" s="28">
        <f t="shared" si="27"/>
        <v>1.6</v>
      </c>
    </row>
    <row r="91" spans="1:27" x14ac:dyDescent="0.35">
      <c r="A91" s="16" t="s">
        <v>130</v>
      </c>
      <c r="B91" s="65" t="s">
        <v>124</v>
      </c>
      <c r="C91" s="18">
        <v>2</v>
      </c>
      <c r="D91" s="16">
        <v>38.5</v>
      </c>
      <c r="E91" s="16">
        <v>0.36599999999999999</v>
      </c>
      <c r="F91" s="16">
        <v>98.82</v>
      </c>
      <c r="H91" s="16" t="s">
        <v>87</v>
      </c>
      <c r="K91" s="16">
        <v>0.59</v>
      </c>
      <c r="L91" s="16">
        <v>20</v>
      </c>
      <c r="M91" s="16">
        <v>1.6</v>
      </c>
      <c r="Q91" s="26">
        <f t="shared" si="33"/>
        <v>4.6599000000000004</v>
      </c>
      <c r="R91" s="26">
        <f t="shared" ref="R91:R103" si="37">SUM(I91:Q91)</f>
        <v>26.849900000000002</v>
      </c>
      <c r="S91" s="27">
        <f>INDEX('2023年合同单价'!$8:$8,MATCH(H91,'2023年合同单价'!$4:$4,0))</f>
        <v>0</v>
      </c>
      <c r="T91" s="27">
        <f>INDEX('2023年合同单价'!$7:$7,MATCH(H91,'2023年合同单价'!$4:$4,0))</f>
        <v>0.17</v>
      </c>
      <c r="U91" s="28">
        <f t="shared" si="31"/>
        <v>0</v>
      </c>
      <c r="V91" s="28">
        <f t="shared" si="34"/>
        <v>16.799399999999999</v>
      </c>
      <c r="W91" s="28">
        <f>INDEX('2023年合同单价'!$9:$9,MATCH(H91,'2023年合同单价'!$4:$4,0))</f>
        <v>20</v>
      </c>
      <c r="X91" s="28">
        <f t="shared" si="32"/>
        <v>0</v>
      </c>
      <c r="Y91" s="28">
        <f t="shared" si="35"/>
        <v>0</v>
      </c>
      <c r="Z91" s="28">
        <f t="shared" si="36"/>
        <v>0.59292</v>
      </c>
      <c r="AA91" s="28">
        <f t="shared" si="27"/>
        <v>1.6</v>
      </c>
    </row>
    <row r="92" spans="1:27" x14ac:dyDescent="0.35">
      <c r="A92" s="16" t="s">
        <v>130</v>
      </c>
      <c r="B92" s="65" t="s">
        <v>124</v>
      </c>
      <c r="C92" s="18">
        <v>2</v>
      </c>
      <c r="D92" s="16">
        <v>34</v>
      </c>
      <c r="E92" s="16">
        <v>0.20699999999999999</v>
      </c>
      <c r="F92" s="16">
        <v>55.89</v>
      </c>
      <c r="H92" s="16" t="s">
        <v>87</v>
      </c>
      <c r="K92" s="16">
        <v>0.34</v>
      </c>
      <c r="L92" s="16">
        <v>20</v>
      </c>
      <c r="M92" s="16">
        <v>1.6</v>
      </c>
      <c r="Q92" s="26">
        <f t="shared" si="33"/>
        <v>4.6074000000000002</v>
      </c>
      <c r="R92" s="26">
        <f t="shared" si="37"/>
        <v>26.547400000000003</v>
      </c>
      <c r="S92" s="27">
        <f>INDEX('2023年合同单价'!$8:$8,MATCH(H92,'2023年合同单价'!$4:$4,0))</f>
        <v>0</v>
      </c>
      <c r="T92" s="27">
        <f>INDEX('2023年合同单价'!$7:$7,MATCH(H92,'2023年合同单价'!$4:$4,0))</f>
        <v>0.17</v>
      </c>
      <c r="U92" s="28">
        <f t="shared" si="31"/>
        <v>0</v>
      </c>
      <c r="V92" s="28">
        <f t="shared" si="34"/>
        <v>9.5013000000000005</v>
      </c>
      <c r="W92" s="28">
        <f>INDEX('2023年合同单价'!$9:$9,MATCH(H92,'2023年合同单价'!$4:$4,0))</f>
        <v>20</v>
      </c>
      <c r="X92" s="28">
        <f t="shared" si="32"/>
        <v>0</v>
      </c>
      <c r="Y92" s="28">
        <f t="shared" si="35"/>
        <v>0</v>
      </c>
      <c r="Z92" s="28">
        <f t="shared" si="36"/>
        <v>0.33534000000000003</v>
      </c>
      <c r="AA92" s="28">
        <f t="shared" si="27"/>
        <v>1.6</v>
      </c>
    </row>
    <row r="93" spans="1:27" x14ac:dyDescent="0.35">
      <c r="A93" s="16" t="s">
        <v>130</v>
      </c>
      <c r="B93" s="65" t="s">
        <v>131</v>
      </c>
      <c r="C93" s="18">
        <v>2</v>
      </c>
      <c r="D93" s="16">
        <v>48</v>
      </c>
      <c r="E93" s="16">
        <v>0.42</v>
      </c>
      <c r="F93" s="16">
        <v>113.4</v>
      </c>
      <c r="H93" s="16" t="s">
        <v>87</v>
      </c>
      <c r="K93" s="16">
        <v>0.68</v>
      </c>
      <c r="L93" s="16">
        <v>20</v>
      </c>
      <c r="M93" s="16">
        <v>1.6</v>
      </c>
      <c r="Q93" s="26">
        <f t="shared" si="33"/>
        <v>4.6787999999999998</v>
      </c>
      <c r="R93" s="26">
        <f t="shared" si="37"/>
        <v>26.9588</v>
      </c>
      <c r="S93" s="27">
        <f>INDEX('2023年合同单价'!$8:$8,MATCH(H93,'2023年合同单价'!$4:$4,0))</f>
        <v>0</v>
      </c>
      <c r="T93" s="27">
        <f>INDEX('2023年合同单价'!$7:$7,MATCH(H93,'2023年合同单价'!$4:$4,0))</f>
        <v>0.17</v>
      </c>
      <c r="U93" s="28">
        <f t="shared" si="31"/>
        <v>0</v>
      </c>
      <c r="V93" s="28">
        <f t="shared" si="34"/>
        <v>19.278000000000002</v>
      </c>
      <c r="W93" s="28">
        <f>INDEX('2023年合同单价'!$9:$9,MATCH(H93,'2023年合同单价'!$4:$4,0))</f>
        <v>20</v>
      </c>
      <c r="X93" s="28">
        <f t="shared" si="32"/>
        <v>0</v>
      </c>
      <c r="Y93" s="28">
        <f t="shared" si="35"/>
        <v>0</v>
      </c>
      <c r="Z93" s="28">
        <f t="shared" si="36"/>
        <v>0.6804</v>
      </c>
      <c r="AA93" s="28">
        <f t="shared" si="27"/>
        <v>1.6</v>
      </c>
    </row>
    <row r="94" spans="1:27" x14ac:dyDescent="0.35">
      <c r="A94" s="16" t="s">
        <v>130</v>
      </c>
      <c r="B94" s="65" t="s">
        <v>132</v>
      </c>
      <c r="C94" s="18">
        <v>2</v>
      </c>
      <c r="D94" s="16">
        <v>41</v>
      </c>
      <c r="E94" s="16">
        <v>0.316</v>
      </c>
      <c r="F94" s="16">
        <v>85.32</v>
      </c>
      <c r="H94" s="16" t="s">
        <v>87</v>
      </c>
      <c r="K94" s="16">
        <v>0.51</v>
      </c>
      <c r="L94" s="16">
        <v>20</v>
      </c>
      <c r="M94" s="16">
        <v>1.6</v>
      </c>
      <c r="Q94" s="26">
        <f t="shared" si="33"/>
        <v>4.6431000000000004</v>
      </c>
      <c r="R94" s="26">
        <f t="shared" si="37"/>
        <v>26.753100000000003</v>
      </c>
      <c r="S94" s="27">
        <f>INDEX('2023年合同单价'!$8:$8,MATCH(H94,'2023年合同单价'!$4:$4,0))</f>
        <v>0</v>
      </c>
      <c r="T94" s="27">
        <f>INDEX('2023年合同单价'!$7:$7,MATCH(H94,'2023年合同单价'!$4:$4,0))</f>
        <v>0.17</v>
      </c>
      <c r="U94" s="28">
        <f t="shared" si="31"/>
        <v>0</v>
      </c>
      <c r="V94" s="28">
        <f t="shared" si="34"/>
        <v>14.5044</v>
      </c>
      <c r="W94" s="28">
        <f>INDEX('2023年合同单价'!$9:$9,MATCH(H94,'2023年合同单价'!$4:$4,0))</f>
        <v>20</v>
      </c>
      <c r="X94" s="28">
        <f t="shared" si="32"/>
        <v>0</v>
      </c>
      <c r="Y94" s="28">
        <f t="shared" si="35"/>
        <v>0</v>
      </c>
      <c r="Z94" s="28">
        <f t="shared" si="36"/>
        <v>0.51191999999999993</v>
      </c>
      <c r="AA94" s="28">
        <f t="shared" si="27"/>
        <v>1.6</v>
      </c>
    </row>
    <row r="95" spans="1:27" x14ac:dyDescent="0.35">
      <c r="A95" s="16" t="s">
        <v>130</v>
      </c>
      <c r="B95" s="65" t="s">
        <v>133</v>
      </c>
      <c r="C95" s="18">
        <v>1</v>
      </c>
      <c r="D95" s="16">
        <v>20</v>
      </c>
      <c r="E95" s="16">
        <v>0.11700000000000001</v>
      </c>
      <c r="F95" s="16">
        <v>31.59</v>
      </c>
      <c r="H95" s="16" t="s">
        <v>88</v>
      </c>
      <c r="K95" s="16">
        <v>0.19</v>
      </c>
      <c r="L95" s="16">
        <v>20</v>
      </c>
      <c r="M95" s="16">
        <v>1.6</v>
      </c>
      <c r="Q95" s="26">
        <f t="shared" si="33"/>
        <v>4.5759000000000007</v>
      </c>
      <c r="R95" s="26">
        <f t="shared" si="37"/>
        <v>26.365900000000003</v>
      </c>
      <c r="S95" s="27">
        <f>INDEX('2023年合同单价'!$8:$8,MATCH(H95,'2023年合同单价'!$4:$4,0))</f>
        <v>0</v>
      </c>
      <c r="T95" s="27">
        <f>INDEX('2023年合同单价'!$7:$7,MATCH(H95,'2023年合同单价'!$4:$4,0))</f>
        <v>0.18</v>
      </c>
      <c r="U95" s="28">
        <f t="shared" si="31"/>
        <v>0</v>
      </c>
      <c r="V95" s="28">
        <f t="shared" si="34"/>
        <v>5.6861999999999995</v>
      </c>
      <c r="W95" s="28">
        <f>INDEX('2023年合同单价'!$9:$9,MATCH(H95,'2023年合同单价'!$4:$4,0))</f>
        <v>20</v>
      </c>
      <c r="X95" s="28">
        <f t="shared" si="32"/>
        <v>0</v>
      </c>
      <c r="Y95" s="28">
        <f t="shared" si="35"/>
        <v>0</v>
      </c>
      <c r="Z95" s="28">
        <f t="shared" si="36"/>
        <v>0.18954000000000001</v>
      </c>
      <c r="AA95" s="28">
        <f t="shared" si="27"/>
        <v>1.6</v>
      </c>
    </row>
    <row r="96" spans="1:27" x14ac:dyDescent="0.35">
      <c r="A96" s="16" t="s">
        <v>130</v>
      </c>
      <c r="B96" s="65" t="s">
        <v>133</v>
      </c>
      <c r="C96" s="18">
        <v>1</v>
      </c>
      <c r="D96" s="16">
        <v>22</v>
      </c>
      <c r="E96" s="16">
        <v>0.23400000000000001</v>
      </c>
      <c r="F96" s="16">
        <v>63.18</v>
      </c>
      <c r="H96" s="16" t="s">
        <v>87</v>
      </c>
      <c r="K96" s="16">
        <v>0.38</v>
      </c>
      <c r="L96" s="16">
        <v>20</v>
      </c>
      <c r="M96" s="16">
        <v>1.6</v>
      </c>
      <c r="Q96" s="26">
        <f t="shared" si="33"/>
        <v>4.6158000000000001</v>
      </c>
      <c r="R96" s="26">
        <f t="shared" si="37"/>
        <v>26.595800000000001</v>
      </c>
      <c r="S96" s="27">
        <f>INDEX('2023年合同单价'!$8:$8,MATCH(H96,'2023年合同单价'!$4:$4,0))</f>
        <v>0</v>
      </c>
      <c r="T96" s="27">
        <f>INDEX('2023年合同单价'!$7:$7,MATCH(H96,'2023年合同单价'!$4:$4,0))</f>
        <v>0.17</v>
      </c>
      <c r="U96" s="28">
        <f t="shared" si="31"/>
        <v>0</v>
      </c>
      <c r="V96" s="28">
        <f t="shared" si="34"/>
        <v>10.740600000000001</v>
      </c>
      <c r="W96" s="28">
        <f>INDEX('2023年合同单价'!$9:$9,MATCH(H96,'2023年合同单价'!$4:$4,0))</f>
        <v>20</v>
      </c>
      <c r="X96" s="28">
        <f t="shared" si="32"/>
        <v>0</v>
      </c>
      <c r="Y96" s="28">
        <f t="shared" si="35"/>
        <v>0</v>
      </c>
      <c r="Z96" s="28">
        <f t="shared" si="36"/>
        <v>0.37908000000000003</v>
      </c>
      <c r="AA96" s="28">
        <f t="shared" si="27"/>
        <v>1.6</v>
      </c>
    </row>
    <row r="97" spans="1:27" x14ac:dyDescent="0.35">
      <c r="A97" s="16" t="s">
        <v>130</v>
      </c>
      <c r="B97" s="65" t="s">
        <v>125</v>
      </c>
      <c r="C97" s="18">
        <v>2</v>
      </c>
      <c r="D97" s="63">
        <v>138.5</v>
      </c>
      <c r="E97" s="63">
        <v>1.6120000000000001</v>
      </c>
      <c r="F97" s="63">
        <v>435.24</v>
      </c>
      <c r="H97" s="16" t="s">
        <v>87</v>
      </c>
      <c r="K97" s="16">
        <v>2.61</v>
      </c>
      <c r="L97" s="63">
        <v>73.989999999999995</v>
      </c>
      <c r="M97" s="16">
        <v>5.92</v>
      </c>
      <c r="Q97" s="26">
        <f t="shared" si="33"/>
        <v>17.3292</v>
      </c>
      <c r="R97" s="26">
        <f t="shared" si="37"/>
        <v>99.849199999999996</v>
      </c>
      <c r="S97" s="27">
        <f>INDEX('2023年合同单价'!$8:$8,MATCH(H97,'2023年合同单价'!$4:$4,0))</f>
        <v>0</v>
      </c>
      <c r="T97" s="63">
        <f>INDEX('2023年合同单价'!$7:$7,MATCH(H97,'2023年合同单价'!$4:$4,0))</f>
        <v>0.17</v>
      </c>
      <c r="U97" s="28">
        <f t="shared" si="31"/>
        <v>0</v>
      </c>
      <c r="V97" s="28">
        <f t="shared" si="34"/>
        <v>73.990800000000007</v>
      </c>
      <c r="W97" s="28">
        <f>INDEX('2023年合同单价'!$9:$9,MATCH(H97,'2023年合同单价'!$4:$4,0))</f>
        <v>20</v>
      </c>
      <c r="X97" s="28">
        <f t="shared" si="32"/>
        <v>0</v>
      </c>
      <c r="Y97" s="28">
        <f t="shared" si="35"/>
        <v>0</v>
      </c>
      <c r="Z97" s="28">
        <f t="shared" si="36"/>
        <v>2.61144</v>
      </c>
      <c r="AA97" s="28">
        <f t="shared" si="27"/>
        <v>5.9192640000000001</v>
      </c>
    </row>
    <row r="98" spans="1:27" x14ac:dyDescent="0.35">
      <c r="A98" s="16" t="s">
        <v>130</v>
      </c>
      <c r="B98" s="65" t="s">
        <v>134</v>
      </c>
      <c r="C98" s="18">
        <v>4</v>
      </c>
      <c r="D98" s="63">
        <v>606.5</v>
      </c>
      <c r="E98" s="63">
        <v>5.8650000000000002</v>
      </c>
      <c r="F98" s="63">
        <v>1583.55</v>
      </c>
      <c r="H98" s="16" t="s">
        <v>87</v>
      </c>
      <c r="K98" s="16">
        <v>9.5</v>
      </c>
      <c r="L98" s="63">
        <v>269.2</v>
      </c>
      <c r="M98" s="16">
        <v>21.54</v>
      </c>
      <c r="Q98" s="26">
        <f t="shared" si="33"/>
        <v>63.050399999999996</v>
      </c>
      <c r="R98" s="26">
        <f t="shared" si="37"/>
        <v>363.29039999999998</v>
      </c>
      <c r="S98" s="27">
        <f>INDEX('2023年合同单价'!$8:$8,MATCH(H98,'2023年合同单价'!$4:$4,0))</f>
        <v>0</v>
      </c>
      <c r="T98" s="63">
        <f>INDEX('2023年合同单价'!$7:$7,MATCH(H98,'2023年合同单价'!$4:$4,0))</f>
        <v>0.17</v>
      </c>
      <c r="U98" s="28">
        <f t="shared" si="31"/>
        <v>0</v>
      </c>
      <c r="V98" s="28">
        <f t="shared" si="34"/>
        <v>269.20350000000002</v>
      </c>
      <c r="W98" s="28">
        <f>INDEX('2023年合同单价'!$9:$9,MATCH(H98,'2023年合同单价'!$4:$4,0))</f>
        <v>20</v>
      </c>
      <c r="X98" s="28">
        <f t="shared" si="32"/>
        <v>0</v>
      </c>
      <c r="Y98" s="28">
        <f t="shared" si="35"/>
        <v>0</v>
      </c>
      <c r="Z98" s="28">
        <f t="shared" si="36"/>
        <v>9.5013000000000005</v>
      </c>
      <c r="AA98" s="28">
        <f t="shared" si="27"/>
        <v>21.536279999999998</v>
      </c>
    </row>
    <row r="99" spans="1:27" x14ac:dyDescent="0.35">
      <c r="A99" s="16" t="s">
        <v>130</v>
      </c>
      <c r="B99" s="65" t="s">
        <v>134</v>
      </c>
      <c r="C99" s="18">
        <v>1</v>
      </c>
      <c r="D99" s="16">
        <v>3.3</v>
      </c>
      <c r="E99" s="16">
        <v>5.6000000000000001E-2</v>
      </c>
      <c r="F99" s="16">
        <v>15.12</v>
      </c>
      <c r="H99" s="16" t="s">
        <v>88</v>
      </c>
      <c r="K99" s="16">
        <v>0.09</v>
      </c>
      <c r="L99" s="16">
        <v>20</v>
      </c>
      <c r="M99" s="16">
        <v>1.6</v>
      </c>
      <c r="Q99" s="26">
        <f t="shared" si="33"/>
        <v>4.5548999999999999</v>
      </c>
      <c r="R99" s="26">
        <f t="shared" si="37"/>
        <v>26.244900000000001</v>
      </c>
      <c r="S99" s="27">
        <f>INDEX('2023年合同单价'!$8:$8,MATCH(H99,'2023年合同单价'!$4:$4,0))</f>
        <v>0</v>
      </c>
      <c r="T99" s="27">
        <f>INDEX('2023年合同单价'!$7:$7,MATCH(H99,'2023年合同单价'!$4:$4,0))</f>
        <v>0.18</v>
      </c>
      <c r="U99" s="28">
        <f t="shared" si="31"/>
        <v>0</v>
      </c>
      <c r="V99" s="28">
        <f t="shared" si="34"/>
        <v>2.7215999999999996</v>
      </c>
      <c r="W99" s="28">
        <f>INDEX('2023年合同单价'!$9:$9,MATCH(H99,'2023年合同单价'!$4:$4,0))</f>
        <v>20</v>
      </c>
      <c r="X99" s="28">
        <f t="shared" si="32"/>
        <v>0</v>
      </c>
      <c r="Y99" s="28">
        <f t="shared" si="35"/>
        <v>0</v>
      </c>
      <c r="Z99" s="28">
        <f t="shared" si="36"/>
        <v>9.0719999999999995E-2</v>
      </c>
      <c r="AA99" s="28">
        <f t="shared" si="27"/>
        <v>1.6</v>
      </c>
    </row>
    <row r="100" spans="1:27" x14ac:dyDescent="0.35">
      <c r="A100" s="16" t="s">
        <v>130</v>
      </c>
      <c r="B100" s="65" t="s">
        <v>134</v>
      </c>
      <c r="C100" s="18">
        <v>1</v>
      </c>
      <c r="D100" s="63">
        <v>99.5</v>
      </c>
      <c r="E100" s="63">
        <v>0.90200000000000002</v>
      </c>
      <c r="F100" s="63">
        <v>243.54</v>
      </c>
      <c r="H100" s="16" t="s">
        <v>87</v>
      </c>
      <c r="K100" s="16">
        <v>1.46</v>
      </c>
      <c r="L100" s="63">
        <v>41.4</v>
      </c>
      <c r="M100" s="16">
        <v>3.31</v>
      </c>
      <c r="Q100" s="26">
        <f t="shared" si="33"/>
        <v>9.6957000000000004</v>
      </c>
      <c r="R100" s="26">
        <f t="shared" si="37"/>
        <v>55.865700000000004</v>
      </c>
      <c r="S100" s="27">
        <f>INDEX('2023年合同单价'!$8:$8,MATCH(H100,'2023年合同单价'!$4:$4,0))</f>
        <v>0</v>
      </c>
      <c r="T100" s="63">
        <f>INDEX('2023年合同单价'!$7:$7,MATCH(H100,'2023年合同单价'!$4:$4,0))</f>
        <v>0.17</v>
      </c>
      <c r="U100" s="28">
        <f t="shared" si="31"/>
        <v>0</v>
      </c>
      <c r="V100" s="28">
        <f t="shared" si="34"/>
        <v>41.401800000000001</v>
      </c>
      <c r="W100" s="28">
        <f>INDEX('2023年合同单价'!$9:$9,MATCH(H100,'2023年合同单价'!$4:$4,0))</f>
        <v>20</v>
      </c>
      <c r="X100" s="28">
        <f t="shared" si="32"/>
        <v>0</v>
      </c>
      <c r="Y100" s="28">
        <f t="shared" si="35"/>
        <v>0</v>
      </c>
      <c r="Z100" s="28">
        <f t="shared" si="36"/>
        <v>1.4612399999999999</v>
      </c>
      <c r="AA100" s="28">
        <f t="shared" si="27"/>
        <v>3.3121439999999995</v>
      </c>
    </row>
    <row r="101" spans="1:27" x14ac:dyDescent="0.35">
      <c r="A101" s="16" t="s">
        <v>130</v>
      </c>
      <c r="B101" s="65" t="s">
        <v>126</v>
      </c>
      <c r="C101" s="18">
        <v>1</v>
      </c>
      <c r="D101" s="63">
        <v>200</v>
      </c>
      <c r="E101" s="63">
        <v>1.7849999999999999</v>
      </c>
      <c r="F101" s="63">
        <v>481.95</v>
      </c>
      <c r="H101" s="16" t="s">
        <v>87</v>
      </c>
      <c r="K101" s="16">
        <v>2.89</v>
      </c>
      <c r="L101" s="63">
        <v>81.93</v>
      </c>
      <c r="M101" s="16">
        <v>6.55</v>
      </c>
      <c r="Q101" s="26">
        <f t="shared" si="33"/>
        <v>19.1877</v>
      </c>
      <c r="R101" s="26">
        <f t="shared" si="37"/>
        <v>110.55770000000001</v>
      </c>
      <c r="S101" s="27">
        <f>INDEX('2023年合同单价'!$8:$8,MATCH(H101,'2023年合同单价'!$4:$4,0))</f>
        <v>0</v>
      </c>
      <c r="T101" s="63">
        <f>INDEX('2023年合同单价'!$7:$7,MATCH(H101,'2023年合同单价'!$4:$4,0))</f>
        <v>0.17</v>
      </c>
      <c r="U101" s="28">
        <f t="shared" si="31"/>
        <v>0</v>
      </c>
      <c r="V101" s="28">
        <f t="shared" si="34"/>
        <v>81.9315</v>
      </c>
      <c r="W101" s="28">
        <f>INDEX('2023年合同单价'!$9:$9,MATCH(H101,'2023年合同单价'!$4:$4,0))</f>
        <v>20</v>
      </c>
      <c r="X101" s="28">
        <f t="shared" si="32"/>
        <v>0</v>
      </c>
      <c r="Y101" s="28">
        <f t="shared" si="35"/>
        <v>0</v>
      </c>
      <c r="Z101" s="28">
        <f t="shared" si="36"/>
        <v>2.8917000000000002</v>
      </c>
      <c r="AA101" s="28">
        <f t="shared" si="27"/>
        <v>6.5545199999999992</v>
      </c>
    </row>
    <row r="102" spans="1:27" x14ac:dyDescent="0.35">
      <c r="A102" s="16" t="s">
        <v>130</v>
      </c>
      <c r="B102" s="65" t="s">
        <v>135</v>
      </c>
      <c r="C102" s="18">
        <v>1</v>
      </c>
      <c r="D102" s="16">
        <v>20</v>
      </c>
      <c r="E102" s="16">
        <v>0.152</v>
      </c>
      <c r="F102" s="16">
        <v>41.04</v>
      </c>
      <c r="H102" s="16" t="s">
        <v>87</v>
      </c>
      <c r="K102" s="16">
        <v>0.25</v>
      </c>
      <c r="L102" s="16">
        <v>20</v>
      </c>
      <c r="M102" s="16">
        <v>1.6</v>
      </c>
      <c r="Q102" s="26">
        <f t="shared" si="33"/>
        <v>4.5884999999999998</v>
      </c>
      <c r="R102" s="26">
        <f t="shared" si="37"/>
        <v>26.438500000000001</v>
      </c>
      <c r="S102" s="27">
        <f>INDEX('2023年合同单价'!$8:$8,MATCH(H102,'2023年合同单价'!$4:$4,0))</f>
        <v>0</v>
      </c>
      <c r="T102" s="27">
        <f>INDEX('2023年合同单价'!$7:$7,MATCH(H102,'2023年合同单价'!$4:$4,0))</f>
        <v>0.17</v>
      </c>
      <c r="U102" s="28">
        <f t="shared" si="31"/>
        <v>0</v>
      </c>
      <c r="V102" s="28">
        <f t="shared" si="34"/>
        <v>6.9768000000000008</v>
      </c>
      <c r="W102" s="28">
        <f>INDEX('2023年合同单价'!$9:$9,MATCH(H102,'2023年合同单价'!$4:$4,0))</f>
        <v>20</v>
      </c>
      <c r="X102" s="28">
        <f t="shared" si="32"/>
        <v>0</v>
      </c>
      <c r="Y102" s="28">
        <f t="shared" si="35"/>
        <v>0</v>
      </c>
      <c r="Z102" s="28">
        <f t="shared" si="36"/>
        <v>0.24623999999999999</v>
      </c>
      <c r="AA102" s="28">
        <f t="shared" si="27"/>
        <v>1.6</v>
      </c>
    </row>
    <row r="103" spans="1:27" x14ac:dyDescent="0.35">
      <c r="A103" s="16" t="s">
        <v>130</v>
      </c>
      <c r="B103" s="65" t="s">
        <v>135</v>
      </c>
      <c r="C103" s="18">
        <v>2</v>
      </c>
      <c r="D103" s="16">
        <v>40</v>
      </c>
      <c r="E103" s="16">
        <v>0.318</v>
      </c>
      <c r="F103" s="16">
        <v>85.86</v>
      </c>
      <c r="H103" s="16" t="s">
        <v>88</v>
      </c>
      <c r="K103" s="16">
        <v>0.52</v>
      </c>
      <c r="L103" s="16">
        <v>20</v>
      </c>
      <c r="M103" s="16">
        <v>1.6</v>
      </c>
      <c r="Q103" s="26">
        <f t="shared" si="33"/>
        <v>4.6452</v>
      </c>
      <c r="R103" s="26">
        <f t="shared" si="37"/>
        <v>26.7652</v>
      </c>
      <c r="S103" s="27">
        <f>INDEX('2023年合同单价'!$8:$8,MATCH(H103,'2023年合同单价'!$4:$4,0))</f>
        <v>0</v>
      </c>
      <c r="T103" s="27">
        <f>INDEX('2023年合同单价'!$7:$7,MATCH(H103,'2023年合同单价'!$4:$4,0))</f>
        <v>0.18</v>
      </c>
      <c r="U103" s="28">
        <f t="shared" si="31"/>
        <v>0</v>
      </c>
      <c r="V103" s="28">
        <f t="shared" si="34"/>
        <v>15.454799999999999</v>
      </c>
      <c r="W103" s="28">
        <f>INDEX('2023年合同单价'!$9:$9,MATCH(H103,'2023年合同单价'!$4:$4,0))</f>
        <v>20</v>
      </c>
      <c r="X103" s="28">
        <f t="shared" si="32"/>
        <v>0</v>
      </c>
      <c r="Y103" s="28">
        <f t="shared" si="35"/>
        <v>0</v>
      </c>
      <c r="Z103" s="28">
        <f t="shared" si="36"/>
        <v>0.51516000000000006</v>
      </c>
      <c r="AA103" s="28">
        <f t="shared" si="27"/>
        <v>1.6</v>
      </c>
    </row>
  </sheetData>
  <mergeCells count="8">
    <mergeCell ref="A2:B2"/>
    <mergeCell ref="A1:H1"/>
    <mergeCell ref="I1:K1"/>
    <mergeCell ref="L1:P1"/>
    <mergeCell ref="U3:W3"/>
    <mergeCell ref="S2:T2"/>
    <mergeCell ref="Q1:R1"/>
    <mergeCell ref="S1:AA1"/>
  </mergeCells>
  <phoneticPr fontId="1" type="noConversion"/>
  <conditionalFormatting sqref="H2:H1048576">
    <cfRule type="cellIs" dxfId="2" priority="1" operator="equal">
      <formula>"MNC"</formula>
    </cfRule>
    <cfRule type="cellIs" dxfId="1" priority="2" operator="equal">
      <formula>"IBI"</formula>
    </cfRule>
    <cfRule type="cellIs" dxfId="0" priority="3" operator="equal">
      <formula>"PMI"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C09-686B-4C23-BD1F-AB9093A3C1E5}">
  <dimension ref="A1:A9"/>
  <sheetViews>
    <sheetView workbookViewId="0">
      <selection activeCell="D7" sqref="D7"/>
    </sheetView>
  </sheetViews>
  <sheetFormatPr defaultRowHeight="13.8" x14ac:dyDescent="0.25"/>
  <cols>
    <col min="1" max="1" width="12.88671875" customWidth="1"/>
  </cols>
  <sheetData>
    <row r="1" spans="1:1" x14ac:dyDescent="0.25">
      <c r="A1" s="49" t="s">
        <v>115</v>
      </c>
    </row>
    <row r="2" spans="1:1" x14ac:dyDescent="0.25">
      <c r="A2" s="4" t="s">
        <v>71</v>
      </c>
    </row>
    <row r="3" spans="1:1" x14ac:dyDescent="0.25">
      <c r="A3" s="4" t="s">
        <v>77</v>
      </c>
    </row>
    <row r="4" spans="1:1" x14ac:dyDescent="0.25">
      <c r="A4" s="4" t="s">
        <v>70</v>
      </c>
    </row>
    <row r="5" spans="1:1" x14ac:dyDescent="0.25">
      <c r="A5" s="4" t="s">
        <v>72</v>
      </c>
    </row>
    <row r="6" spans="1:1" x14ac:dyDescent="0.25">
      <c r="A6" s="7" t="s">
        <v>69</v>
      </c>
    </row>
    <row r="7" spans="1:1" x14ac:dyDescent="0.25">
      <c r="A7" s="4" t="s">
        <v>68</v>
      </c>
    </row>
    <row r="8" spans="1:1" x14ac:dyDescent="0.25">
      <c r="A8" s="4" t="s">
        <v>78</v>
      </c>
    </row>
    <row r="9" spans="1:1" x14ac:dyDescent="0.25">
      <c r="A9" s="7" t="s">
        <v>76</v>
      </c>
    </row>
  </sheetData>
  <autoFilter ref="A1:A9" xr:uid="{71016C09-686B-4C23-BD1F-AB9093A3C1E5}">
    <sortState xmlns:xlrd2="http://schemas.microsoft.com/office/spreadsheetml/2017/richdata2" ref="A2:A9">
      <sortCondition ref="A1:A9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4247-1CF9-49A6-9A42-0EDB58171C58}">
  <sheetPr>
    <tabColor rgb="FF00B050"/>
  </sheetPr>
  <dimension ref="B3:H18"/>
  <sheetViews>
    <sheetView workbookViewId="0">
      <selection activeCell="J17" sqref="J17"/>
    </sheetView>
  </sheetViews>
  <sheetFormatPr defaultRowHeight="13.8" x14ac:dyDescent="0.25"/>
  <cols>
    <col min="2" max="2" width="21.77734375" customWidth="1"/>
    <col min="3" max="3" width="19" style="4" customWidth="1"/>
  </cols>
  <sheetData>
    <row r="3" spans="2:8" ht="16.2" x14ac:dyDescent="0.25">
      <c r="B3" s="52" t="s">
        <v>115</v>
      </c>
      <c r="C3" s="59" t="s">
        <v>107</v>
      </c>
    </row>
    <row r="4" spans="2:8" ht="16.2" x14ac:dyDescent="0.25">
      <c r="B4" s="52" t="s">
        <v>116</v>
      </c>
      <c r="C4" s="60"/>
    </row>
    <row r="5" spans="2:8" ht="16.2" x14ac:dyDescent="0.25">
      <c r="B5" s="52" t="s">
        <v>8</v>
      </c>
      <c r="C5" s="61">
        <f>0.8*1.2*2.2</f>
        <v>2.1120000000000001</v>
      </c>
    </row>
    <row r="6" spans="2:8" ht="16.2" x14ac:dyDescent="0.25">
      <c r="B6" s="51" t="s">
        <v>118</v>
      </c>
      <c r="C6" s="54">
        <f>INDEX('2023年合同单价'!7:7,MATCH(C3,'2023年合同单价'!4:4,0))</f>
        <v>0.2</v>
      </c>
      <c r="F6" s="4"/>
      <c r="H6" s="4"/>
    </row>
    <row r="7" spans="2:8" ht="16.2" x14ac:dyDescent="0.25">
      <c r="B7" s="51" t="s">
        <v>119</v>
      </c>
      <c r="C7" s="54">
        <f>INDEX('2023年合同单价'!8:8,MATCH(C3,'2023年合同单价'!4:4,0))</f>
        <v>66.599999999999994</v>
      </c>
      <c r="F7" s="4"/>
      <c r="H7" s="4"/>
    </row>
    <row r="8" spans="2:8" ht="16.2" x14ac:dyDescent="0.25">
      <c r="B8" s="51" t="s">
        <v>120</v>
      </c>
      <c r="C8" s="50">
        <f>INDEX('2023年合同单价'!9:9,MATCH(C3,'2023年合同单价'!4:4,0))</f>
        <v>25</v>
      </c>
      <c r="F8" s="4"/>
      <c r="H8" s="4"/>
    </row>
    <row r="9" spans="2:8" ht="16.2" hidden="1" x14ac:dyDescent="0.25">
      <c r="B9" s="52" t="s">
        <v>116</v>
      </c>
      <c r="C9" s="56">
        <f>C4</f>
        <v>0</v>
      </c>
      <c r="F9" t="s">
        <v>121</v>
      </c>
      <c r="H9" s="4"/>
    </row>
    <row r="10" spans="2:8" ht="16.2" hidden="1" x14ac:dyDescent="0.25">
      <c r="B10" s="52" t="s">
        <v>8</v>
      </c>
      <c r="C10" s="57">
        <f>C5</f>
        <v>2.1120000000000001</v>
      </c>
      <c r="H10" s="4"/>
    </row>
    <row r="11" spans="2:8" ht="16.2" x14ac:dyDescent="0.25">
      <c r="B11" s="51" t="s">
        <v>117</v>
      </c>
      <c r="C11" s="50">
        <f>IF(OR(C3="PMI",C3="IBI",C3="MNC"),C10*270,运输价格查询!C10*333)</f>
        <v>703.29600000000005</v>
      </c>
      <c r="H11" s="4"/>
    </row>
    <row r="12" spans="2:8" ht="16.2" x14ac:dyDescent="0.25">
      <c r="B12" s="53" t="s">
        <v>26</v>
      </c>
      <c r="C12" s="55">
        <f>IF(OR(C3="PMI",C3="IBI",C3="MNC"),C11*0.006,C11*0.011)</f>
        <v>7.736256</v>
      </c>
      <c r="H12" s="4"/>
    </row>
    <row r="13" spans="2:8" ht="16.2" x14ac:dyDescent="0.25">
      <c r="B13" s="53" t="s">
        <v>27</v>
      </c>
      <c r="C13" s="55">
        <f>C6*C11</f>
        <v>140.65920000000003</v>
      </c>
    </row>
    <row r="14" spans="2:8" ht="16.2" x14ac:dyDescent="0.25">
      <c r="B14" s="53" t="s">
        <v>29</v>
      </c>
      <c r="C14" s="55">
        <f>IF(OR(C3="PMI",C3="IBI",C3="MNC"),0,C11*0.03)</f>
        <v>21.098880000000001</v>
      </c>
    </row>
    <row r="15" spans="2:8" ht="16.2" x14ac:dyDescent="0.25">
      <c r="B15" s="53" t="s">
        <v>30</v>
      </c>
      <c r="C15" s="55">
        <f>IF(OR(C3="LPA",C3="ACE",C3="TFE",C3="FUE",C3="SPC"),IF(C9*0.5%&lt;5,5,C9*0.5%),0)</f>
        <v>5</v>
      </c>
    </row>
    <row r="16" spans="2:8" ht="16.2" x14ac:dyDescent="0.25">
      <c r="B16" s="53" t="s">
        <v>38</v>
      </c>
      <c r="C16" s="55">
        <f>IF(OR(C3="PMI",C3="IBI",C3="MNC"),0,14)</f>
        <v>14</v>
      </c>
    </row>
    <row r="18" spans="2:3" ht="16.2" x14ac:dyDescent="0.25">
      <c r="B18" s="58" t="s">
        <v>40</v>
      </c>
      <c r="C18" s="62">
        <f>SUM(C12:C16)</f>
        <v>188.49433600000003</v>
      </c>
    </row>
  </sheetData>
  <phoneticPr fontId="1" type="noConversion"/>
  <dataValidations count="1">
    <dataValidation type="list" allowBlank="1" showInputMessage="1" showErrorMessage="1" sqref="C3" xr:uid="{7964E1F8-3901-4971-AC3C-0145AA0794BD}">
      <formula1>运输目的地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2023年合同单价</vt:lpstr>
      <vt:lpstr>运输发票</vt:lpstr>
      <vt:lpstr>数据维护</vt:lpstr>
      <vt:lpstr>运输价格查询</vt:lpstr>
      <vt:lpstr>运输目的地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2023-10-18T14:01:19Z</dcterms:modified>
</cp:coreProperties>
</file>