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codeName="ThisWorkbook"/>
  <bookViews>
    <workbookView xWindow="0" yWindow="0" windowWidth="20730" windowHeight="11760" tabRatio="893" firstSheet="1" activeTab="1"/>
  </bookViews>
  <sheets>
    <sheet name="二批汇总" sheetId="1" state="hidden" r:id="rId1"/>
    <sheet name="汇总" sheetId="30" r:id="rId2"/>
    <sheet name="SUPER PROXI S.L" sheetId="50" r:id="rId3"/>
    <sheet name="SO WANG ELECTRONICA S.L" sheetId="52" r:id="rId4"/>
    <sheet name="CASH HOGAR CANARIAS S.L" sheetId="56" r:id="rId5"/>
    <sheet name="EURO COMPLEMENTOS ASIA S.L" sheetId="95" r:id="rId6"/>
    <sheet name="NEW IMPORT HOUSE S.L" sheetId="57" r:id="rId7"/>
    <sheet name="NIPPON GLOBAL S.L" sheetId="37" r:id="rId8"/>
    <sheet name="GRAN FAMILIA 2016 S.L" sheetId="47" r:id="rId9"/>
    <sheet name="NEW SKYWAY S.L" sheetId="45" r:id="rId10"/>
    <sheet name="WE PHONE 2016 S.L" sheetId="35" r:id="rId11"/>
    <sheet name="ARBOL DE GINKGO S.L" sheetId="59" r:id="rId12"/>
    <sheet name="IBERMAYORISTA 2020 S.L" sheetId="67" r:id="rId13"/>
    <sheet name="ESON IMPORT EXPORT S.L" sheetId="71" r:id="rId14"/>
    <sheet name="FENGHUO COMERCIO S.L" sheetId="84" r:id="rId15"/>
    <sheet name="J&amp;C 超能" sheetId="29" r:id="rId16"/>
    <sheet name="SANSHENG TECNOLOGIA S.L" sheetId="18" r:id="rId17"/>
    <sheet name="IMPORTACION ORIENTAL 东宝贸易" sheetId="66" r:id="rId18"/>
    <sheet name="AUTOWEY168 S.L" sheetId="69" r:id="rId19"/>
    <sheet name="CHANGDA 2018 S.L" sheetId="70" r:id="rId20"/>
    <sheet name="WANGDA 2018 S.L" sheetId="73" r:id="rId21"/>
    <sheet name="TECCOVA 67-A S.L" sheetId="81" r:id="rId22"/>
    <sheet name="NUEVA &amp; EUROPA 2015 S.L" sheetId="82" r:id="rId23"/>
    <sheet name="AVIVO DREAMSKY S.L" sheetId="42" r:id="rId24"/>
    <sheet name="ANISOAR CLOUDS S.L" sheetId="43" r:id="rId25"/>
    <sheet name="FANGZHENG S.L" sheetId="34" r:id="rId26"/>
    <sheet name="AMERICA YUAN S.L.U" sheetId="5" r:id="rId27"/>
    <sheet name="MEC NET ELECTRONICS S.L" sheetId="6" r:id="rId28"/>
    <sheet name="HAO HAO 2015 " sheetId="75" r:id="rId29"/>
    <sheet name="ZHONGZHONG2022 S.L" sheetId="96" r:id="rId30"/>
    <sheet name="SHENGBAO S.L.U" sheetId="41" r:id="rId31"/>
    <sheet name="XINGFEI IMPORT S.L.U" sheetId="65" r:id="rId32"/>
    <sheet name="ASJEYU S.L." sheetId="83" r:id="rId33"/>
    <sheet name="ROSA ROJO 2014 S.L" sheetId="36" r:id="rId34"/>
    <sheet name="LINDU TECNOLOGY SL" sheetId="53" r:id="rId35"/>
    <sheet name="COMERCIO IDEAL 2015 SL" sheetId="44" r:id="rId36"/>
    <sheet name="sevilla步步高 stock in sapin" sheetId="15" r:id="rId37"/>
    <sheet name="XINHE EUROPE" sheetId="31" r:id="rId38"/>
    <sheet name="TENG FEI 腾飞贸易" sheetId="72" r:id="rId39"/>
    <sheet name="UNIBLE FAMILIA S.L" sheetId="76" r:id="rId40"/>
    <sheet name="malaga联通" sheetId="12" r:id="rId41"/>
    <sheet name="EH HOME ANDALUCIA" sheetId="32" r:id="rId42"/>
    <sheet name="HONG DA CHINA S.L" sheetId="68" r:id="rId43"/>
    <sheet name="齐力" sheetId="24" r:id="rId44"/>
    <sheet name="ORIENTAL QIU S.L" sheetId="14" r:id="rId45"/>
    <sheet name="IUNTECH GALICIA S.L" sheetId="46" r:id="rId46"/>
    <sheet name="COMERCIO GRAM TIERRA" sheetId="79" r:id="rId47"/>
    <sheet name="MIDBOX MARKET S.L" sheetId="97" r:id="rId48"/>
    <sheet name="BAO LI DE S.L " sheetId="61" r:id="rId49"/>
    <sheet name="ALMA SIMON S.L" sheetId="77" r:id="rId50"/>
    <sheet name="XHC BRICO 2019 S.L" sheetId="60" r:id="rId51"/>
    <sheet name="GANGS1999 S.L" sheetId="48" r:id="rId52"/>
    <sheet name="CASA DEL SURESTE S.L" sheetId="49" r:id="rId53"/>
    <sheet name="YIMING WANG" sheetId="28" r:id="rId54"/>
    <sheet name="bilbao新世纪XIN SHI JI" sheetId="7" r:id="rId55"/>
    <sheet name="陈光福 SHU LING YANG" sheetId="23" r:id="rId56"/>
    <sheet name="YONHOO ASTUR C.B" sheetId="39" r:id="rId57"/>
    <sheet name="REY MARKET 2021 SL" sheetId="58" r:id="rId58"/>
    <sheet name="XIN OU IMPORT S.L " sheetId="78" r:id="rId59"/>
    <sheet name="FOLIA ERUDITA UNIPESSOAL LDA" sheetId="38" r:id="rId60"/>
    <sheet name="lisboa天和sky" sheetId="10" r:id="rId61"/>
    <sheet name="PEDIDOCOMUM （天和新）张弛" sheetId="54" r:id="rId62"/>
    <sheet name="小北京 DISTINTESTREIA LDA" sheetId="26" r:id="rId63"/>
    <sheet name="ORIGINAL&amp;EFEMERO LDA（葡萄牙）" sheetId="51" r:id="rId64"/>
    <sheet name="DEEP SMILE UNIPESSOAL LDA" sheetId="64" r:id="rId65"/>
    <sheet name="DOS HERMANAS STYLE SOL S.L" sheetId="85" r:id="rId66"/>
    <sheet name="MANAELECTRONICO S.L" sheetId="86" r:id="rId67"/>
    <sheet name="QIAN FENG 2011 S.L" sheetId="87" r:id="rId68"/>
    <sheet name="EVE MON CROIS S.L." sheetId="88" r:id="rId69"/>
    <sheet name="HIPER MARKET IMPORT, S.L" sheetId="89" r:id="rId70"/>
    <sheet name="XIAODIE YE" sheetId="90" r:id="rId71"/>
    <sheet name="SU NING IMPORT Y EXPORT S.L" sheetId="93" r:id="rId72"/>
    <sheet name="SHIXIN" sheetId="94" r:id="rId73"/>
    <sheet name="DOKI 168 S.L" sheetId="98" r:id="rId74"/>
    <sheet name="HUANG JIA 88 S.L.U" sheetId="99" r:id="rId75"/>
    <sheet name="XINHONG 2019 S.L" sheetId="100" r:id="rId76"/>
    <sheet name="JR IMPORT CANARIAS 2022 S.L" sheetId="102" r:id="rId77"/>
    <sheet name="PHONEFANS S.L" sheetId="103" r:id="rId78"/>
    <sheet name="NUVEM FELIZ IMPORTACAO " sheetId="104" r:id="rId79"/>
    <sheet name="CHOLLOS EL BARATO S.L" sheetId="106" r:id="rId80"/>
    <sheet name="CASH KOLOSS S.L" sheetId="107" r:id="rId81"/>
    <sheet name="HISPANO TECNO GLOBAL S.L" sheetId="109" r:id="rId82"/>
    <sheet name="NUSINTE,SOCIEDAD LIMITADA" sheetId="110" r:id="rId83"/>
    <sheet name="MARKETING PRIORITY YAN S.L" sheetId="111" r:id="rId84"/>
    <sheet name="YCADRI 2010 S.L.U" sheetId="112" r:id="rId85"/>
    <sheet name="XIAOJUN WANG" sheetId="113" r:id="rId86"/>
    <sheet name="NEW BEST S.L" sheetId="114" r:id="rId87"/>
    <sheet name="10 TELECOM 3.0 S.L.U" sheetId="115" r:id="rId88"/>
    <sheet name="BEST LICENCIAS S.L" sheetId="116" r:id="rId89"/>
    <sheet name="长城" sheetId="117" r:id="rId90"/>
    <sheet name="RALFY IMPOEX S.L" sheetId="118" r:id="rId91"/>
    <sheet name="KASANA" sheetId="119" r:id="rId92"/>
    <sheet name="HIPER SON RAPINYA S.L" sheetId="120" r:id="rId93"/>
    <sheet name="CHENGXIN ZHANG" sheetId="121" r:id="rId94"/>
    <sheet name="LIHUA ZHANG" sheetId="123" r:id="rId95"/>
    <sheet name="CENTRO HOGAR SANTA PONSA" sheetId="124" r:id="rId96"/>
    <sheet name="KKVI" sheetId="125" r:id="rId97"/>
    <sheet name="NUEVO ALMACEN WAN" sheetId="126" r:id="rId98"/>
    <sheet name="HIPER AHORRO" sheetId="127" r:id="rId99"/>
    <sheet name="MERCAGRAN" sheetId="128" r:id="rId100"/>
    <sheet name="NUEVO JIUYUAN" sheetId="129" r:id="rId101"/>
    <sheet name="HIPER HOGAR POPULA" sheetId="130" r:id="rId102"/>
    <sheet name="HIPER ES XINES" sheetId="131" r:id="rId103"/>
    <sheet name="HIPER CAN VALERO" sheetId="132" r:id="rId104"/>
    <sheet name="HONG DA CHINA" sheetId="134" r:id="rId105"/>
    <sheet name="MADE IN CHINA 2022 S.L 米克" sheetId="135" r:id="rId106"/>
    <sheet name="HAO GUO WANG" sheetId="136" r:id="rId107"/>
    <sheet name="DECO FORTUNA MALLORCA S.L" sheetId="138" r:id="rId108"/>
    <sheet name="MERCA CASA BALEAR S.L" sheetId="139" r:id="rId109"/>
    <sheet name="CASH ANTORCHA S.L.U" sheetId="140" r:id="rId110"/>
    <sheet name="ALMACEN LAKESIDE HUI 陈氏" sheetId="141" r:id="rId111"/>
    <sheet name="BALEARIC MAX IMPORTACION S.L" sheetId="142" r:id="rId112"/>
    <sheet name="HODA SINGLE PERSON PC" sheetId="143" r:id="rId113"/>
    <sheet name="XU WAN LI HAIYANG" sheetId="145" r:id="rId114"/>
    <sheet name="WANG DEFENG" sheetId="146" r:id="rId115"/>
    <sheet name="MEGA CAXTON" sheetId="33" state="hidden" r:id="rId116"/>
    <sheet name="AMATEAM COMERCIAL 2016 S.L巴萨王帅" sheetId="27" state="hidden" r:id="rId117"/>
    <sheet name="GUO LONG" sheetId="9" state="hidden" r:id="rId118"/>
    <sheet name="XUNQI 讯奇" sheetId="21" state="hidden" r:id="rId119"/>
  </sheets>
  <definedNames>
    <definedName name="_xlnm._FilterDatabase" localSheetId="24" hidden="1">'ANISOAR CLOUDS S.L'!$A$1:$L$27</definedName>
    <definedName name="_xlnm._FilterDatabase" localSheetId="54" hidden="1">'bilbao新世纪XIN SHI JI'!$A$1:$M$116</definedName>
    <definedName name="_xlnm._FilterDatabase" localSheetId="35" hidden="1">'COMERCIO IDEAL 2015 SL'!$A$1:$M$87</definedName>
    <definedName name="_xlnm._FilterDatabase" localSheetId="25" hidden="1">'FANGZHENG S.L'!$A$1:$L$41</definedName>
    <definedName name="_xlnm._FilterDatabase" localSheetId="59" hidden="1">'FOLIA ERUDITA UNIPESSOAL LDA'!$A$1:$M$166</definedName>
    <definedName name="_xlnm._FilterDatabase" localSheetId="8" hidden="1">'GRAN FAMILIA 2016 S.L'!$A$1:$L$1</definedName>
    <definedName name="_xlnm._FilterDatabase" localSheetId="45" hidden="1">'IUNTECH GALICIA S.L'!#REF!</definedName>
    <definedName name="_xlnm._FilterDatabase" localSheetId="15" hidden="1">'J&amp;C 超能'!$A$1:$M$71</definedName>
    <definedName name="_xlnm._FilterDatabase" localSheetId="40" hidden="1">malaga联通!$A$49:$L$98</definedName>
    <definedName name="_xlnm._FilterDatabase" localSheetId="44" hidden="1">'ORIENTAL QIU S.L'!$A$1:$L$63</definedName>
    <definedName name="_xlnm._FilterDatabase" localSheetId="16" hidden="1">'SANSHENG TECNOLOGIA S.L'!$A$1:$L$79</definedName>
    <definedName name="_xlnm._FilterDatabase" localSheetId="36" hidden="1">'sevilla步步高 stock in sapin'!$A$1:$O$130</definedName>
    <definedName name="_xlnm._FilterDatabase" localSheetId="10" hidden="1">'WE PHONE 2016 S.L'!$A$1:$Z$156</definedName>
    <definedName name="_xlnm._FilterDatabase" localSheetId="55" hidden="1">'陈光福 SHU LING YANG'!$A$1:$L$40</definedName>
    <definedName name="_xlnm._FilterDatabase" localSheetId="1" hidden="1">汇总!$A$1:$I$101</definedName>
    <definedName name="_xlnm._FilterDatabase" localSheetId="43" hidden="1">齐力!$A$1:$P$65</definedName>
    <definedName name="_xlnm._FilterDatabase" localSheetId="62" hidden="1">'小北京 DISTINTESTREIA LDA'!$A$1:$N$86</definedName>
  </definedNames>
  <calcPr calcId="144525"/>
  <fileRecoveryPr autoRecover="0"/>
</workbook>
</file>

<file path=xl/calcChain.xml><?xml version="1.0" encoding="utf-8"?>
<calcChain xmlns="http://schemas.openxmlformats.org/spreadsheetml/2006/main">
  <c r="G197" i="46" l="1"/>
  <c r="G18" i="135"/>
  <c r="G52" i="68"/>
  <c r="G195" i="44"/>
  <c r="G6" i="115"/>
  <c r="G34" i="111"/>
  <c r="G37" i="10"/>
  <c r="G393" i="35"/>
  <c r="G56" i="98" l="1"/>
  <c r="F92" i="30"/>
  <c r="G15" i="146"/>
  <c r="E91" i="30" s="1"/>
  <c r="G15" i="145"/>
  <c r="E90" i="30" s="1"/>
  <c r="G15" i="143"/>
  <c r="E89" i="30" s="1"/>
  <c r="G187" i="44" l="1"/>
  <c r="G163" i="44"/>
  <c r="G102" i="49"/>
  <c r="G67" i="60"/>
  <c r="G73" i="90"/>
  <c r="G69" i="67"/>
  <c r="G56" i="67"/>
  <c r="G54" i="98" l="1"/>
  <c r="G161" i="34"/>
  <c r="G6" i="110"/>
  <c r="G238" i="15" l="1"/>
  <c r="G11" i="119"/>
  <c r="G362" i="35"/>
  <c r="G42" i="81" l="1"/>
  <c r="G279" i="15" l="1"/>
  <c r="J68" i="30"/>
  <c r="G62" i="30" s="1"/>
  <c r="G92" i="30" l="1"/>
  <c r="G168" i="7"/>
  <c r="G15" i="135"/>
  <c r="G236" i="15"/>
  <c r="G49" i="98"/>
  <c r="G52" i="96"/>
  <c r="G33" i="6"/>
  <c r="G156" i="34"/>
  <c r="G94" i="49"/>
  <c r="G64" i="90"/>
  <c r="G342" i="35"/>
  <c r="G91" i="49" l="1"/>
  <c r="G19" i="95"/>
  <c r="G23" i="52"/>
  <c r="G21" i="52"/>
  <c r="E9" i="30"/>
  <c r="G15" i="142"/>
  <c r="G150" i="46" l="1"/>
  <c r="G141" i="44"/>
  <c r="G139" i="44" l="1"/>
  <c r="G109" i="5"/>
  <c r="G324" i="35"/>
  <c r="G10" i="135" l="1"/>
  <c r="G37" i="85"/>
  <c r="G47" i="68"/>
  <c r="G45" i="86"/>
  <c r="G233" i="15"/>
  <c r="G145" i="44"/>
  <c r="G157" i="44"/>
  <c r="G42" i="98" l="1"/>
  <c r="G138" i="34"/>
  <c r="G14" i="95"/>
  <c r="G17" i="102"/>
  <c r="G37" i="71" l="1"/>
  <c r="G63" i="71" s="1"/>
  <c r="G313" i="35"/>
  <c r="G15" i="141" l="1"/>
  <c r="E36" i="30" s="1"/>
  <c r="G228" i="15" l="1"/>
  <c r="G36" i="60" l="1"/>
  <c r="G165" i="7" l="1"/>
  <c r="G160" i="7" l="1"/>
  <c r="G157" i="7"/>
  <c r="G41" i="39"/>
  <c r="G106" i="5"/>
  <c r="G5" i="135" l="1"/>
  <c r="G40" i="98"/>
  <c r="G132" i="34"/>
  <c r="G34" i="60"/>
  <c r="G80" i="24" l="1"/>
  <c r="G36" i="98"/>
  <c r="G305" i="35"/>
  <c r="G303" i="35"/>
  <c r="G3" i="140" l="1"/>
  <c r="G213" i="15"/>
  <c r="G37" i="81"/>
  <c r="G209" i="38" l="1"/>
  <c r="G214" i="15"/>
  <c r="G133" i="44"/>
  <c r="G32" i="98"/>
  <c r="G11" i="95"/>
  <c r="G14" i="52"/>
  <c r="G26" i="140" l="1"/>
  <c r="E67" i="30" s="1"/>
  <c r="G206" i="15" l="1"/>
  <c r="G130" i="34"/>
  <c r="G32" i="60"/>
  <c r="G12" i="102"/>
  <c r="G26" i="102" l="1"/>
  <c r="G201" i="15" l="1"/>
  <c r="G195" i="15"/>
  <c r="G4" i="119"/>
  <c r="G42" i="90"/>
  <c r="G126" i="34" l="1"/>
  <c r="G153" i="7" l="1"/>
  <c r="G31" i="139" l="1"/>
  <c r="G15" i="138"/>
  <c r="G3" i="136"/>
  <c r="G16" i="136"/>
  <c r="G34" i="135" l="1"/>
  <c r="E73" i="30" s="1"/>
  <c r="G15" i="134" l="1"/>
  <c r="G91" i="5" l="1"/>
  <c r="G34" i="90"/>
  <c r="G3" i="128"/>
  <c r="G15" i="132" l="1"/>
  <c r="G15" i="131"/>
  <c r="G15" i="130"/>
  <c r="G15" i="129"/>
  <c r="G17" i="128"/>
  <c r="G23" i="127"/>
  <c r="G15" i="126"/>
  <c r="G15" i="125"/>
  <c r="G15" i="124"/>
  <c r="G15" i="123"/>
  <c r="G19" i="121"/>
  <c r="G15" i="120"/>
  <c r="G239" i="35" l="1"/>
  <c r="G34" i="39" l="1"/>
  <c r="G11" i="112"/>
  <c r="G14" i="79"/>
  <c r="G6" i="95"/>
  <c r="G36" i="86" l="1"/>
  <c r="G124" i="34"/>
  <c r="G53" i="49"/>
  <c r="G37" i="87" l="1"/>
  <c r="G48" i="49"/>
  <c r="G31" i="90"/>
  <c r="G31" i="56"/>
  <c r="G24" i="119" l="1"/>
  <c r="E33" i="30" s="1"/>
  <c r="G15" i="118" l="1"/>
  <c r="E6" i="30" s="1"/>
  <c r="G150" i="7" l="1"/>
  <c r="G27" i="98"/>
  <c r="G15" i="117"/>
  <c r="E76" i="30" s="1"/>
  <c r="G22" i="58" l="1"/>
  <c r="G126" i="44"/>
  <c r="G15" i="116" l="1"/>
  <c r="E21" i="30" s="1"/>
  <c r="G146" i="7" l="1"/>
  <c r="G222" i="35"/>
  <c r="G16" i="115" l="1"/>
  <c r="E58" i="30" s="1"/>
  <c r="G104" i="34" l="1"/>
  <c r="G146" i="97" l="1"/>
  <c r="G22" i="98" l="1"/>
  <c r="G3" i="66"/>
  <c r="G20" i="98" l="1"/>
  <c r="G81" i="34"/>
  <c r="G22" i="81"/>
  <c r="G91" i="18"/>
  <c r="G15" i="114" l="1"/>
  <c r="E8" i="30" s="1"/>
  <c r="G195" i="38" l="1"/>
  <c r="G116" i="44"/>
  <c r="G12" i="52"/>
  <c r="G3" i="111" l="1"/>
  <c r="G48" i="111" s="1"/>
  <c r="G217" i="35"/>
  <c r="G17" i="98" l="1"/>
  <c r="G24" i="60"/>
  <c r="G4" i="70"/>
  <c r="G88" i="18"/>
  <c r="G57" i="86" l="1"/>
  <c r="G100" i="30"/>
  <c r="F100" i="30"/>
  <c r="G11" i="79" l="1"/>
  <c r="G75" i="24"/>
  <c r="G22" i="6" l="1"/>
  <c r="G26" i="42"/>
  <c r="G211" i="35"/>
  <c r="G11" i="28" l="1"/>
  <c r="G7" i="28"/>
  <c r="G24" i="85"/>
  <c r="G121" i="44"/>
  <c r="G11" i="103"/>
  <c r="G20" i="81"/>
  <c r="G84" i="29"/>
  <c r="G15" i="113"/>
  <c r="E41" i="30" s="1"/>
  <c r="I15" i="69" l="1"/>
  <c r="G106" i="97" l="1"/>
  <c r="G99" i="97"/>
  <c r="G176" i="38"/>
  <c r="G8" i="88" l="1"/>
  <c r="G96" i="34" l="1"/>
  <c r="G18" i="81"/>
  <c r="G42" i="112" l="1"/>
  <c r="E84" i="30" s="1"/>
  <c r="G30" i="86" l="1"/>
  <c r="G113" i="44"/>
  <c r="G86" i="44"/>
  <c r="G64" i="103"/>
  <c r="G201" i="35" l="1"/>
  <c r="E20" i="30" l="1"/>
  <c r="G73" i="24" l="1"/>
  <c r="G168" i="15"/>
  <c r="G6" i="109"/>
  <c r="G77" i="34"/>
  <c r="G38" i="49"/>
  <c r="G12" i="90"/>
  <c r="G197" i="35"/>
  <c r="G2" i="84" l="1"/>
  <c r="G17" i="58"/>
  <c r="G4" i="110"/>
  <c r="I169" i="38" l="1"/>
  <c r="G172" i="38"/>
  <c r="G124" i="7"/>
  <c r="G32" i="68"/>
  <c r="G29" i="49" l="1"/>
  <c r="G144" i="38"/>
  <c r="G136" i="38"/>
  <c r="G133" i="38"/>
  <c r="G15" i="110"/>
  <c r="E42" i="30" s="1"/>
  <c r="G15" i="83" l="1"/>
  <c r="G51" i="83" s="1"/>
  <c r="G22" i="49" l="1"/>
  <c r="F101" i="30"/>
  <c r="G87" i="109" l="1"/>
  <c r="G21" i="87"/>
  <c r="G68" i="87" s="1"/>
  <c r="G24" i="86"/>
  <c r="G27" i="70" l="1"/>
  <c r="E26" i="30" s="1"/>
  <c r="E54" i="30" l="1"/>
  <c r="G8" i="98" l="1"/>
  <c r="G73" i="34"/>
  <c r="G34" i="43"/>
  <c r="G5" i="69"/>
  <c r="G45" i="69" s="1"/>
  <c r="G18" i="107" l="1"/>
  <c r="E40" i="30" s="1"/>
  <c r="G122" i="38"/>
  <c r="G44" i="23"/>
  <c r="G35" i="23"/>
  <c r="G165" i="15"/>
  <c r="G11" i="60" l="1"/>
  <c r="G68" i="18" l="1"/>
  <c r="G107" i="7" l="1"/>
  <c r="G23" i="106" l="1"/>
  <c r="E32" i="30" s="1"/>
  <c r="G8" i="58" l="1"/>
  <c r="G18" i="86"/>
  <c r="G6" i="72"/>
  <c r="G14" i="104" l="1"/>
  <c r="E99" i="30" s="1"/>
  <c r="E57" i="30" l="1"/>
  <c r="G8" i="51" l="1"/>
  <c r="I8" i="51" s="1"/>
  <c r="G14" i="86"/>
  <c r="E5" i="30" l="1"/>
  <c r="G118" i="38" l="1"/>
  <c r="G117" i="38" l="1"/>
  <c r="G4" i="76"/>
  <c r="G74" i="44" l="1"/>
  <c r="G9" i="60"/>
  <c r="G10" i="81"/>
  <c r="G161" i="35"/>
  <c r="G10" i="52"/>
  <c r="G103" i="7" l="1"/>
  <c r="G26" i="59"/>
  <c r="G157" i="35"/>
  <c r="G89" i="7" l="1"/>
  <c r="G69" i="44" l="1"/>
  <c r="G64" i="34"/>
  <c r="G49" i="51" l="1"/>
  <c r="G173" i="12" l="1"/>
  <c r="G43" i="31"/>
  <c r="G16" i="36"/>
  <c r="G33" i="41"/>
  <c r="I10" i="41"/>
  <c r="E39" i="30" l="1"/>
  <c r="G14" i="100"/>
  <c r="G35" i="99"/>
  <c r="E38" i="30" s="1"/>
  <c r="G5" i="79" l="1"/>
  <c r="G24" i="44" l="1"/>
  <c r="G11" i="43"/>
  <c r="G24" i="42" l="1"/>
  <c r="G52" i="81" l="1"/>
  <c r="G124" i="5"/>
  <c r="G24" i="84"/>
  <c r="G19" i="49" l="1"/>
  <c r="G26" i="28"/>
  <c r="G59" i="28" s="1"/>
  <c r="G6" i="60"/>
  <c r="G65" i="24"/>
  <c r="G6" i="82"/>
  <c r="G7" i="66"/>
  <c r="G17" i="66" s="1"/>
  <c r="G19" i="42"/>
  <c r="G31" i="43"/>
  <c r="G80" i="44" l="1"/>
  <c r="G60" i="34"/>
  <c r="G9" i="59"/>
  <c r="G21" i="59"/>
  <c r="G11" i="59"/>
  <c r="G72" i="59" l="1"/>
  <c r="G68" i="98"/>
  <c r="E53" i="30" s="1"/>
  <c r="G152" i="15" l="1"/>
  <c r="G149" i="15"/>
  <c r="G147" i="15"/>
  <c r="G16" i="88" l="1"/>
  <c r="G154" i="97" l="1"/>
  <c r="E83" i="30" s="1"/>
  <c r="E49" i="30"/>
  <c r="G111" i="38" l="1"/>
  <c r="G109" i="38"/>
  <c r="G22" i="32" l="1"/>
  <c r="G25" i="95" l="1"/>
  <c r="E7" i="30" s="1"/>
  <c r="G2" i="32" l="1"/>
  <c r="G6" i="53"/>
  <c r="G16" i="53"/>
  <c r="G2" i="53"/>
  <c r="G13" i="65"/>
  <c r="G46" i="34" l="1"/>
  <c r="G30" i="34"/>
  <c r="G28" i="34"/>
  <c r="G22" i="34"/>
  <c r="G137" i="35"/>
  <c r="G30" i="64" l="1"/>
  <c r="G2" i="39"/>
  <c r="G56" i="39" s="1"/>
  <c r="G12" i="48"/>
  <c r="G13" i="72"/>
  <c r="G14" i="75"/>
  <c r="G34" i="42"/>
  <c r="G16" i="42"/>
  <c r="G4" i="42"/>
  <c r="G254" i="46"/>
  <c r="E81" i="30" s="1"/>
  <c r="G125" i="35" l="1"/>
  <c r="G50" i="76" l="1"/>
  <c r="G28" i="43"/>
  <c r="G58" i="14" l="1"/>
  <c r="G28" i="79" l="1"/>
  <c r="E82" i="30" s="1"/>
  <c r="G18" i="61"/>
  <c r="G11" i="45" l="1"/>
  <c r="G10" i="47"/>
  <c r="G79" i="47" s="1"/>
  <c r="G8" i="47"/>
  <c r="G5" i="47"/>
  <c r="G10" i="37"/>
  <c r="G46" i="57"/>
  <c r="E10" i="30" s="1"/>
  <c r="G58" i="56"/>
  <c r="G34" i="52" l="1"/>
  <c r="G17" i="50"/>
  <c r="G22" i="94" l="1"/>
  <c r="E19" i="30" s="1"/>
  <c r="G14" i="93" l="1"/>
  <c r="E72" i="30" s="1"/>
  <c r="I49" i="18" l="1"/>
  <c r="G81" i="78" l="1"/>
  <c r="G2" i="58"/>
  <c r="G48" i="58" s="1"/>
  <c r="G81" i="7"/>
  <c r="G90" i="60" l="1"/>
  <c r="G60" i="85"/>
  <c r="G64" i="68"/>
  <c r="G138" i="15"/>
  <c r="G82" i="90" l="1"/>
  <c r="G24" i="82" l="1"/>
  <c r="G60" i="29" l="1"/>
  <c r="G58" i="29"/>
  <c r="G122" i="35" l="1"/>
  <c r="G7" i="77" l="1"/>
  <c r="G64" i="77" s="1"/>
  <c r="E31" i="30" l="1"/>
  <c r="I31" i="23" l="1"/>
  <c r="E35" i="30" l="1"/>
  <c r="G14" i="89"/>
  <c r="E30" i="30"/>
  <c r="I96" i="38" l="1"/>
  <c r="E75" i="30" l="1"/>
  <c r="E66" i="30" l="1"/>
  <c r="E71" i="30" l="1"/>
  <c r="E18" i="30" l="1"/>
  <c r="I48" i="24" l="1"/>
  <c r="I4" i="31"/>
  <c r="I20" i="34"/>
  <c r="I2" i="34"/>
  <c r="G10" i="34" s="1"/>
  <c r="I14" i="34"/>
  <c r="G5" i="29" l="1"/>
  <c r="I61" i="35"/>
  <c r="G3" i="35"/>
  <c r="G4" i="35" s="1"/>
  <c r="I4" i="35"/>
  <c r="G5" i="35" l="1"/>
  <c r="G7" i="35" s="1"/>
  <c r="G19" i="35" s="1"/>
  <c r="G27" i="35" s="1"/>
  <c r="G36" i="35" s="1"/>
  <c r="G39" i="35" s="1"/>
  <c r="G46" i="35" s="1"/>
  <c r="G48" i="35" s="1"/>
  <c r="G54" i="35" s="1"/>
  <c r="G56" i="35" s="1"/>
  <c r="G58" i="35" s="1"/>
  <c r="G65" i="35" s="1"/>
  <c r="G25" i="29"/>
  <c r="E2" i="30"/>
  <c r="E52" i="30"/>
  <c r="E29" i="30"/>
  <c r="E56" i="30"/>
  <c r="E70" i="30"/>
  <c r="E28" i="30"/>
  <c r="E85" i="30"/>
  <c r="E86" i="30"/>
  <c r="E51" i="30"/>
  <c r="E43" i="30"/>
  <c r="E65" i="30"/>
  <c r="E34" i="30"/>
  <c r="E16" i="30"/>
  <c r="E48" i="30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E13" i="30"/>
  <c r="E17" i="30"/>
  <c r="E63" i="30"/>
  <c r="E64" i="30"/>
  <c r="E98" i="30"/>
  <c r="E55" i="30"/>
  <c r="E3" i="30"/>
  <c r="E4" i="30"/>
  <c r="E74" i="30"/>
  <c r="E11" i="30"/>
  <c r="G5" i="18"/>
  <c r="G7" i="18" s="1"/>
  <c r="G16" i="18" s="1"/>
  <c r="E24" i="30"/>
  <c r="E25" i="30"/>
  <c r="G16" i="73"/>
  <c r="E27" i="30" s="1"/>
  <c r="I14" i="43"/>
  <c r="G11" i="34"/>
  <c r="G14" i="34" s="1"/>
  <c r="G19" i="34" s="1"/>
  <c r="G179" i="34" s="1"/>
  <c r="G33" i="5"/>
  <c r="G5" i="6"/>
  <c r="G6" i="6" s="1"/>
  <c r="G7" i="6" s="1"/>
  <c r="G16" i="6"/>
  <c r="G41" i="6" s="1"/>
  <c r="G5" i="7"/>
  <c r="G48" i="7"/>
  <c r="G54" i="7" s="1"/>
  <c r="G62" i="7" s="1"/>
  <c r="G65" i="7" s="1"/>
  <c r="G66" i="7" s="1"/>
  <c r="G188" i="7" s="1"/>
  <c r="G3" i="23"/>
  <c r="G6" i="23"/>
  <c r="G7" i="23" s="1"/>
  <c r="G8" i="23" s="1"/>
  <c r="G10" i="23" s="1"/>
  <c r="G11" i="23" s="1"/>
  <c r="G14" i="23" s="1"/>
  <c r="G22" i="23" s="1"/>
  <c r="G24" i="23" s="1"/>
  <c r="G25" i="23" s="1"/>
  <c r="G29" i="23" s="1"/>
  <c r="G30" i="23" s="1"/>
  <c r="E59" i="30"/>
  <c r="E60" i="30"/>
  <c r="G26" i="44"/>
  <c r="G44" i="44"/>
  <c r="G45" i="44"/>
  <c r="G47" i="44"/>
  <c r="G3" i="15"/>
  <c r="G5" i="15" s="1"/>
  <c r="G6" i="15" s="1"/>
  <c r="G8" i="15" s="1"/>
  <c r="G10" i="15" s="1"/>
  <c r="G13" i="15" s="1"/>
  <c r="G17" i="15" s="1"/>
  <c r="G24" i="15"/>
  <c r="G36" i="15" s="1"/>
  <c r="G61" i="15"/>
  <c r="G63" i="15" s="1"/>
  <c r="G66" i="15" s="1"/>
  <c r="G71" i="15"/>
  <c r="G74" i="15" s="1"/>
  <c r="G78" i="15" s="1"/>
  <c r="G79" i="15" s="1"/>
  <c r="G88" i="15"/>
  <c r="G95" i="15"/>
  <c r="G100" i="15"/>
  <c r="G104" i="15" s="1"/>
  <c r="G110" i="15" s="1"/>
  <c r="G112" i="15" s="1"/>
  <c r="G114" i="15" s="1"/>
  <c r="G116" i="15" s="1"/>
  <c r="G119" i="15" s="1"/>
  <c r="G121" i="15" s="1"/>
  <c r="G123" i="15" s="1"/>
  <c r="G129" i="15" s="1"/>
  <c r="G131" i="15" s="1"/>
  <c r="G272" i="15" s="1"/>
  <c r="G4" i="12"/>
  <c r="G7" i="12" s="1"/>
  <c r="G26" i="12"/>
  <c r="G45" i="12"/>
  <c r="I50" i="12"/>
  <c r="G91" i="12"/>
  <c r="E68" i="30"/>
  <c r="G13" i="32"/>
  <c r="E69" i="30" s="1"/>
  <c r="G3" i="49"/>
  <c r="G4" i="49" s="1"/>
  <c r="G6" i="49" s="1"/>
  <c r="G7" i="49" s="1"/>
  <c r="G12" i="49" s="1"/>
  <c r="G145" i="49" s="1"/>
  <c r="G3" i="24"/>
  <c r="G4" i="24" s="1"/>
  <c r="I4" i="24"/>
  <c r="G47" i="24"/>
  <c r="G48" i="24" s="1"/>
  <c r="G50" i="24" s="1"/>
  <c r="G51" i="24" s="1"/>
  <c r="G120" i="24" s="1"/>
  <c r="G4" i="14"/>
  <c r="G9" i="14" s="1"/>
  <c r="G18" i="14"/>
  <c r="G26" i="14" s="1"/>
  <c r="G38" i="14" s="1"/>
  <c r="G46" i="14" s="1"/>
  <c r="G49" i="14" s="1"/>
  <c r="G53" i="14" s="1"/>
  <c r="G93" i="14" s="1"/>
  <c r="E87" i="30"/>
  <c r="G4" i="38"/>
  <c r="G30" i="10"/>
  <c r="E94" i="30" s="1"/>
  <c r="G4" i="54"/>
  <c r="G5" i="54" s="1"/>
  <c r="G8" i="54" s="1"/>
  <c r="G10" i="54" s="1"/>
  <c r="G12" i="54" s="1"/>
  <c r="G17" i="26"/>
  <c r="G18" i="26" s="1"/>
  <c r="G19" i="26" s="1"/>
  <c r="G22" i="26" s="1"/>
  <c r="G23" i="26" s="1"/>
  <c r="G26" i="26" s="1"/>
  <c r="G27" i="26" s="1"/>
  <c r="G34" i="26" s="1"/>
  <c r="G37" i="26" s="1"/>
  <c r="G40" i="26" s="1"/>
  <c r="G41" i="26" s="1"/>
  <c r="G50" i="26" s="1"/>
  <c r="G53" i="26" s="1"/>
  <c r="G55" i="26" s="1"/>
  <c r="G57" i="26" s="1"/>
  <c r="G75" i="26"/>
  <c r="D3" i="27"/>
  <c r="D4" i="9"/>
  <c r="D5" i="9"/>
  <c r="D23" i="9"/>
  <c r="D18" i="21"/>
  <c r="G50" i="54" l="1"/>
  <c r="E95" i="30" s="1"/>
  <c r="G20" i="43"/>
  <c r="G78" i="43" s="1"/>
  <c r="G31" i="23"/>
  <c r="G32" i="23" s="1"/>
  <c r="E78" i="30" s="1"/>
  <c r="G27" i="29"/>
  <c r="G69" i="35"/>
  <c r="G5" i="38"/>
  <c r="G33" i="44"/>
  <c r="G34" i="44" s="1"/>
  <c r="E79" i="30"/>
  <c r="E62" i="30"/>
  <c r="G19" i="18"/>
  <c r="G58" i="26"/>
  <c r="E37" i="30"/>
  <c r="E47" i="30"/>
  <c r="E88" i="30"/>
  <c r="G12" i="7"/>
  <c r="G17" i="7" s="1"/>
  <c r="G25" i="7" s="1"/>
  <c r="G31" i="7" s="1"/>
  <c r="G39" i="7" s="1"/>
  <c r="G44" i="7" s="1"/>
  <c r="G5" i="24"/>
  <c r="G8" i="24" s="1"/>
  <c r="G14" i="24" s="1"/>
  <c r="G20" i="24" s="1"/>
  <c r="G25" i="24" s="1"/>
  <c r="E12" i="30"/>
  <c r="E50" i="30" l="1"/>
  <c r="G28" i="29"/>
  <c r="G74" i="35"/>
  <c r="G6" i="38"/>
  <c r="E80" i="30"/>
  <c r="G35" i="44"/>
  <c r="E77" i="30"/>
  <c r="E15" i="30"/>
  <c r="E97" i="30"/>
  <c r="E44" i="30"/>
  <c r="G24" i="18"/>
  <c r="G62" i="26"/>
  <c r="G84" i="26" s="1"/>
  <c r="G99" i="26" s="1"/>
  <c r="G36" i="29" l="1"/>
  <c r="G77" i="35"/>
  <c r="G12" i="38"/>
  <c r="G50" i="44"/>
  <c r="E96" i="30"/>
  <c r="G25" i="18"/>
  <c r="E45" i="30"/>
  <c r="G39" i="29" l="1"/>
  <c r="G82" i="35"/>
  <c r="G15" i="38"/>
  <c r="G53" i="44"/>
  <c r="G42" i="18"/>
  <c r="G42" i="29" l="1"/>
  <c r="G93" i="35"/>
  <c r="G20" i="38"/>
  <c r="G54" i="44"/>
  <c r="G229" i="44" s="1"/>
  <c r="G43" i="18"/>
  <c r="G46" i="29" l="1"/>
  <c r="G104" i="35"/>
  <c r="G30" i="38"/>
  <c r="E61" i="30"/>
  <c r="G45" i="18"/>
  <c r="G51" i="29" l="1"/>
  <c r="G112" i="35"/>
  <c r="G39" i="38"/>
  <c r="G49" i="18"/>
  <c r="G55" i="18" s="1"/>
  <c r="G120" i="18" s="1"/>
  <c r="G55" i="29" l="1"/>
  <c r="E14" i="30"/>
  <c r="G43" i="38"/>
  <c r="E23" i="30"/>
  <c r="G105" i="29" l="1"/>
  <c r="E22" i="30" s="1"/>
  <c r="G45" i="38"/>
  <c r="G55" i="38" l="1"/>
  <c r="E46" i="30"/>
  <c r="E92" i="30" s="1"/>
  <c r="G101" i="30" l="1"/>
  <c r="G60" i="38"/>
  <c r="G65" i="38" l="1"/>
  <c r="G69" i="38" l="1"/>
  <c r="G72" i="38" l="1"/>
  <c r="G83" i="38" l="1"/>
  <c r="G85" i="38" l="1"/>
  <c r="G101" i="38" l="1"/>
  <c r="G102" i="38" l="1"/>
  <c r="G243" i="38" s="1"/>
  <c r="E93" i="30" l="1"/>
  <c r="E100" i="30" l="1"/>
  <c r="E101" i="30" l="1"/>
</calcChain>
</file>

<file path=xl/sharedStrings.xml><?xml version="1.0" encoding="utf-8"?>
<sst xmlns="http://schemas.openxmlformats.org/spreadsheetml/2006/main" count="18063" uniqueCount="6621">
  <si>
    <r>
      <rPr>
        <sz val="12"/>
        <rFont val="宋体"/>
        <family val="3"/>
        <charset val="134"/>
      </rPr>
      <t>二批</t>
    </r>
  </si>
  <si>
    <r>
      <rPr>
        <sz val="12"/>
        <rFont val="宋体"/>
        <family val="3"/>
        <charset val="134"/>
      </rPr>
      <t>日期</t>
    </r>
  </si>
  <si>
    <r>
      <rPr>
        <sz val="12"/>
        <rFont val="宋体"/>
        <family val="3"/>
        <charset val="134"/>
      </rPr>
      <t>摘要</t>
    </r>
  </si>
  <si>
    <r>
      <rPr>
        <sz val="12"/>
        <rFont val="宋体"/>
        <family val="3"/>
        <charset val="134"/>
      </rPr>
      <t>欠款</t>
    </r>
  </si>
  <si>
    <r>
      <rPr>
        <sz val="12"/>
        <rFont val="宋体"/>
        <family val="3"/>
        <charset val="134"/>
      </rPr>
      <t>已收款</t>
    </r>
  </si>
  <si>
    <r>
      <rPr>
        <sz val="12"/>
        <rFont val="宋体"/>
        <family val="3"/>
        <charset val="134"/>
      </rPr>
      <t>金额</t>
    </r>
  </si>
  <si>
    <r>
      <rPr>
        <sz val="12"/>
        <rFont val="宋体"/>
        <family val="3"/>
        <charset val="134"/>
      </rPr>
      <t>备注</t>
    </r>
  </si>
  <si>
    <r>
      <rPr>
        <sz val="12"/>
        <rFont val="宋体"/>
        <family val="3"/>
        <charset val="134"/>
      </rPr>
      <t>期初结余</t>
    </r>
  </si>
  <si>
    <r>
      <t>ADARA NIDIA</t>
    </r>
    <r>
      <rPr>
        <sz val="12"/>
        <rFont val="宋体"/>
        <family val="3"/>
        <charset val="134"/>
      </rPr>
      <t>今东</t>
    </r>
  </si>
  <si>
    <t>GXSD0816</t>
  </si>
  <si>
    <t>19/07/2019</t>
  </si>
  <si>
    <t>GXTH201907190002</t>
  </si>
  <si>
    <r>
      <rPr>
        <sz val="12"/>
        <rFont val="宋体"/>
        <family val="3"/>
        <charset val="134"/>
      </rPr>
      <t>退单</t>
    </r>
  </si>
  <si>
    <t>GXTH201907190001</t>
  </si>
  <si>
    <r>
      <rPr>
        <sz val="12"/>
        <rFont val="宋体"/>
        <family val="3"/>
        <charset val="134"/>
      </rPr>
      <t>支付尾款</t>
    </r>
  </si>
  <si>
    <r>
      <t>BADALONA</t>
    </r>
    <r>
      <rPr>
        <sz val="12"/>
        <rFont val="宋体"/>
        <family val="3"/>
        <charset val="134"/>
      </rPr>
      <t>安信</t>
    </r>
    <r>
      <rPr>
        <sz val="12"/>
        <rFont val="Calibri"/>
        <family val="2"/>
      </rPr>
      <t xml:space="preserve"> ASJEYU S.L</t>
    </r>
  </si>
  <si>
    <t>18/06/2019</t>
  </si>
  <si>
    <t>GXSD00119</t>
  </si>
  <si>
    <r>
      <rPr>
        <sz val="12"/>
        <rFont val="宋体"/>
        <family val="3"/>
        <charset val="134"/>
      </rPr>
      <t>西班牙发货</t>
    </r>
    <r>
      <rPr>
        <sz val="12"/>
        <rFont val="Calibri"/>
        <family val="2"/>
      </rPr>
      <t xml:space="preserve"> </t>
    </r>
    <r>
      <rPr>
        <sz val="12"/>
        <rFont val="宋体"/>
        <family val="3"/>
        <charset val="134"/>
      </rPr>
      <t>佳泰</t>
    </r>
  </si>
  <si>
    <t>30/08/2019</t>
  </si>
  <si>
    <t>GXSD00510</t>
  </si>
  <si>
    <r>
      <t xml:space="preserve">25% </t>
    </r>
    <r>
      <rPr>
        <sz val="12"/>
        <rFont val="宋体"/>
        <family val="3"/>
        <charset val="134"/>
      </rPr>
      <t>发佳泰</t>
    </r>
  </si>
  <si>
    <t>2019.08.31</t>
  </si>
  <si>
    <t>GXSD00513</t>
  </si>
  <si>
    <r>
      <t>25%</t>
    </r>
    <r>
      <rPr>
        <sz val="12"/>
        <rFont val="宋体"/>
        <family val="3"/>
        <charset val="134"/>
      </rPr>
      <t>折扣</t>
    </r>
    <r>
      <rPr>
        <sz val="12"/>
        <rFont val="Calibri"/>
        <family val="2"/>
      </rPr>
      <t xml:space="preserve"> </t>
    </r>
    <r>
      <rPr>
        <sz val="12"/>
        <rFont val="宋体"/>
        <family val="3"/>
        <charset val="134"/>
      </rPr>
      <t>发佳泰</t>
    </r>
  </si>
  <si>
    <t>20/12/2019</t>
  </si>
  <si>
    <t>AUE19/0000478</t>
  </si>
  <si>
    <r>
      <rPr>
        <sz val="12"/>
        <rFont val="宋体"/>
        <family val="3"/>
        <charset val="134"/>
      </rPr>
      <t>退到西班牙公司</t>
    </r>
  </si>
  <si>
    <r>
      <rPr>
        <sz val="12"/>
        <rFont val="宋体"/>
        <family val="3"/>
        <charset val="134"/>
      </rPr>
      <t>银收</t>
    </r>
  </si>
  <si>
    <r>
      <t>badalona</t>
    </r>
    <r>
      <rPr>
        <sz val="12"/>
        <rFont val="宋体"/>
        <family val="3"/>
        <charset val="134"/>
      </rPr>
      <t>好好</t>
    </r>
  </si>
  <si>
    <t>GXYS0526/586</t>
  </si>
  <si>
    <r>
      <t>oneplus</t>
    </r>
    <r>
      <rPr>
        <sz val="12"/>
        <color indexed="8"/>
        <rFont val="宋体"/>
        <family val="3"/>
        <charset val="134"/>
      </rPr>
      <t>货</t>
    </r>
    <r>
      <rPr>
        <sz val="12"/>
        <color indexed="8"/>
        <rFont val="Calibri"/>
        <family val="2"/>
      </rPr>
      <t>50%</t>
    </r>
    <r>
      <rPr>
        <sz val="12"/>
        <color indexed="8"/>
        <rFont val="宋体"/>
        <family val="3"/>
        <charset val="134"/>
      </rPr>
      <t>折扣</t>
    </r>
  </si>
  <si>
    <t>GXYS0538/587</t>
  </si>
  <si>
    <t>GXYS0557/603</t>
  </si>
  <si>
    <t>GXYS0564/615</t>
  </si>
  <si>
    <t>GXYS0613/655</t>
  </si>
  <si>
    <t>AUN19/0000130</t>
  </si>
  <si>
    <r>
      <rPr>
        <sz val="12"/>
        <color indexed="8"/>
        <rFont val="宋体"/>
        <family val="3"/>
        <charset val="134"/>
      </rPr>
      <t>客人反应缺货，跟仓库确认过确实给客人发了这些货</t>
    </r>
  </si>
  <si>
    <t>25/03/2019</t>
  </si>
  <si>
    <r>
      <rPr>
        <sz val="12"/>
        <rFont val="宋体"/>
        <family val="3"/>
        <charset val="134"/>
      </rPr>
      <t>平账</t>
    </r>
  </si>
  <si>
    <t>BADALONA上海人AMERICA YUAN</t>
  </si>
  <si>
    <t>16-06-2019</t>
  </si>
  <si>
    <t>GXSD0000093</t>
  </si>
  <si>
    <r>
      <t>25</t>
    </r>
    <r>
      <rPr>
        <sz val="12"/>
        <rFont val="宋体"/>
        <family val="3"/>
        <charset val="134"/>
      </rPr>
      <t>折扣，</t>
    </r>
    <r>
      <rPr>
        <sz val="12"/>
        <rFont val="Calibri"/>
        <family val="2"/>
      </rPr>
      <t>2</t>
    </r>
    <r>
      <rPr>
        <sz val="12"/>
        <rFont val="宋体"/>
        <family val="3"/>
        <charset val="134"/>
      </rPr>
      <t>个月账期</t>
    </r>
  </si>
  <si>
    <t>30-08-2019</t>
  </si>
  <si>
    <t>GXSD0000478</t>
  </si>
  <si>
    <r>
      <t>25</t>
    </r>
    <r>
      <rPr>
        <sz val="12"/>
        <rFont val="宋体"/>
        <family val="3"/>
        <charset val="134"/>
      </rPr>
      <t>折扣，不开票，发佳泰。</t>
    </r>
  </si>
  <si>
    <t>2019.10.21</t>
  </si>
  <si>
    <t>GXSD000002260</t>
  </si>
  <si>
    <r>
      <rPr>
        <sz val="12"/>
        <rFont val="宋体"/>
        <family val="3"/>
        <charset val="134"/>
      </rPr>
      <t>由意大利发货</t>
    </r>
  </si>
  <si>
    <t>21/10/2019</t>
  </si>
  <si>
    <r>
      <rPr>
        <sz val="12"/>
        <rFont val="宋体"/>
        <family val="3"/>
        <charset val="134"/>
      </rPr>
      <t>支付款项</t>
    </r>
  </si>
  <si>
    <t>04/02/2020</t>
  </si>
  <si>
    <t>收回欠款</t>
  </si>
  <si>
    <t>林晓彬现金收回欠款</t>
  </si>
  <si>
    <t>AUN20/000141</t>
  </si>
  <si>
    <t>barcelona mec net electronics s</t>
  </si>
  <si>
    <t>GXSD000000438</t>
  </si>
  <si>
    <r>
      <rPr>
        <sz val="12"/>
        <rFont val="宋体"/>
        <family val="3"/>
        <charset val="134"/>
      </rPr>
      <t>庄效权</t>
    </r>
    <r>
      <rPr>
        <sz val="12"/>
        <rFont val="Calibri"/>
        <family val="2"/>
      </rPr>
      <t xml:space="preserve"> 20%</t>
    </r>
    <r>
      <rPr>
        <sz val="12"/>
        <rFont val="宋体"/>
        <family val="3"/>
        <charset val="134"/>
      </rPr>
      <t>折扣</t>
    </r>
    <r>
      <rPr>
        <sz val="12"/>
        <rFont val="Calibri"/>
        <family val="2"/>
      </rPr>
      <t xml:space="preserve"> </t>
    </r>
    <r>
      <rPr>
        <sz val="12"/>
        <rFont val="宋体"/>
        <family val="3"/>
        <charset val="134"/>
      </rPr>
      <t>开全</t>
    </r>
    <r>
      <rPr>
        <sz val="12"/>
        <rFont val="Calibri"/>
        <family val="2"/>
      </rPr>
      <t xml:space="preserve">AA </t>
    </r>
    <r>
      <rPr>
        <sz val="12"/>
        <rFont val="宋体"/>
        <family val="3"/>
        <charset val="134"/>
      </rPr>
      <t>预付款</t>
    </r>
    <r>
      <rPr>
        <sz val="12"/>
        <rFont val="Calibri"/>
        <family val="2"/>
      </rPr>
      <t xml:space="preserve"> </t>
    </r>
    <r>
      <rPr>
        <sz val="12"/>
        <rFont val="宋体"/>
        <family val="3"/>
        <charset val="134"/>
      </rPr>
      <t>到账发货</t>
    </r>
  </si>
  <si>
    <t>26-08-2019</t>
  </si>
  <si>
    <t>GXSD000000443</t>
  </si>
  <si>
    <r>
      <rPr>
        <sz val="12"/>
        <rFont val="宋体"/>
        <family val="3"/>
        <charset val="134"/>
      </rPr>
      <t>差价</t>
    </r>
  </si>
  <si>
    <t>2019.12.10</t>
  </si>
  <si>
    <t>AUN19/0000830</t>
  </si>
  <si>
    <r>
      <rPr>
        <sz val="12"/>
        <rFont val="宋体"/>
        <family val="3"/>
        <charset val="134"/>
      </rPr>
      <t>西班牙开发票</t>
    </r>
  </si>
  <si>
    <t>27-08-2019</t>
  </si>
  <si>
    <t>bilbao新世纪</t>
  </si>
  <si>
    <t>GXYS0487/</t>
  </si>
  <si>
    <r>
      <t>2</t>
    </r>
    <r>
      <rPr>
        <sz val="12"/>
        <rFont val="宋体"/>
        <family val="3"/>
        <charset val="134"/>
      </rPr>
      <t>个月账期，开票</t>
    </r>
  </si>
  <si>
    <t>GXYS0502</t>
  </si>
  <si>
    <r>
      <t>2</t>
    </r>
    <r>
      <rPr>
        <sz val="12"/>
        <rFont val="宋体"/>
        <family val="3"/>
        <charset val="134"/>
      </rPr>
      <t>个月账期</t>
    </r>
    <r>
      <rPr>
        <sz val="12"/>
        <rFont val="Calibri"/>
        <family val="2"/>
      </rPr>
      <t>,ONEPLUS</t>
    </r>
    <r>
      <rPr>
        <sz val="12"/>
        <rFont val="宋体"/>
        <family val="3"/>
        <charset val="134"/>
      </rPr>
      <t>货，不开票</t>
    </r>
  </si>
  <si>
    <t>GXYS0494</t>
  </si>
  <si>
    <r>
      <t>2</t>
    </r>
    <r>
      <rPr>
        <sz val="12"/>
        <rFont val="宋体"/>
        <family val="3"/>
        <charset val="134"/>
      </rPr>
      <t>个月账期，</t>
    </r>
  </si>
  <si>
    <t>GXYS0575/630</t>
  </si>
  <si>
    <r>
      <t>2</t>
    </r>
    <r>
      <rPr>
        <sz val="12"/>
        <rFont val="宋体"/>
        <family val="3"/>
        <charset val="134"/>
      </rPr>
      <t>个月账期</t>
    </r>
  </si>
  <si>
    <t>GXSD0629 / GXYS0576</t>
  </si>
  <si>
    <t>GXSD0747</t>
  </si>
  <si>
    <t>GXSD0746</t>
  </si>
  <si>
    <t>GXSD1162</t>
  </si>
  <si>
    <t>GXSD1190</t>
  </si>
  <si>
    <t>GXSD1253</t>
  </si>
  <si>
    <t>04-07-2019</t>
  </si>
  <si>
    <t>GXSD00196</t>
  </si>
  <si>
    <t>08-08-2019</t>
  </si>
  <si>
    <t>GXSD00362</t>
  </si>
  <si>
    <r>
      <rPr>
        <sz val="12"/>
        <rFont val="宋体"/>
        <family val="3"/>
        <charset val="134"/>
      </rPr>
      <t>发佳泰</t>
    </r>
  </si>
  <si>
    <t>GXSD00365</t>
  </si>
  <si>
    <t>19-09-2019</t>
  </si>
  <si>
    <t>GXSD000609</t>
  </si>
  <si>
    <t>GXSD000610</t>
  </si>
  <si>
    <t>30-09-2019</t>
  </si>
  <si>
    <t>GXSD0002131</t>
  </si>
  <si>
    <r>
      <rPr>
        <sz val="12"/>
        <rFont val="宋体"/>
        <family val="3"/>
        <charset val="134"/>
      </rPr>
      <t>退货</t>
    </r>
  </si>
  <si>
    <t>09/10/2019</t>
  </si>
  <si>
    <t>GXSD000000713</t>
  </si>
  <si>
    <t>30/12/2019</t>
  </si>
  <si>
    <t>AUN19/0000991</t>
  </si>
  <si>
    <r>
      <rPr>
        <sz val="12"/>
        <rFont val="宋体"/>
        <family val="3"/>
        <charset val="134"/>
      </rPr>
      <t>退货单，到意大利系统</t>
    </r>
  </si>
  <si>
    <t>UN19/0002196</t>
  </si>
  <si>
    <t>UN19/0002199</t>
  </si>
  <si>
    <t>UN19/0002201</t>
  </si>
  <si>
    <t>AUE19/0000479</t>
  </si>
  <si>
    <r>
      <rPr>
        <sz val="12"/>
        <rFont val="宋体"/>
        <family val="3"/>
        <charset val="134"/>
      </rPr>
      <t>退货单，到西班牙系统</t>
    </r>
  </si>
  <si>
    <t>10/01/2020</t>
  </si>
  <si>
    <t>UE20/000005</t>
  </si>
  <si>
    <r>
      <t>GSM SOFIA SLU</t>
    </r>
    <r>
      <rPr>
        <sz val="12"/>
        <rFont val="宋体"/>
        <family val="3"/>
        <charset val="134"/>
      </rPr>
      <t>蓝特</t>
    </r>
  </si>
  <si>
    <t>GXSD000000827</t>
  </si>
  <si>
    <t>GXSD000000828</t>
  </si>
  <si>
    <t>GXSD000000829</t>
  </si>
  <si>
    <t>GXSD000000830</t>
  </si>
  <si>
    <t>GXSD0978</t>
  </si>
  <si>
    <t>14/04/2109</t>
  </si>
  <si>
    <r>
      <rPr>
        <sz val="12"/>
        <rFont val="宋体"/>
        <family val="3"/>
        <charset val="134"/>
      </rPr>
      <t>收回款项</t>
    </r>
  </si>
  <si>
    <r>
      <rPr>
        <sz val="12"/>
        <rFont val="宋体"/>
        <family val="3"/>
        <charset val="134"/>
      </rPr>
      <t>陈俊海</t>
    </r>
    <r>
      <rPr>
        <sz val="12"/>
        <rFont val="Calibri"/>
        <family val="2"/>
      </rPr>
      <t>2019</t>
    </r>
    <r>
      <rPr>
        <sz val="12"/>
        <rFont val="宋体"/>
        <family val="3"/>
        <charset val="134"/>
      </rPr>
      <t>年</t>
    </r>
    <r>
      <rPr>
        <sz val="12"/>
        <rFont val="Calibri"/>
        <family val="2"/>
      </rPr>
      <t>4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14</t>
    </r>
    <r>
      <rPr>
        <sz val="12"/>
        <rFont val="宋体"/>
        <family val="3"/>
        <charset val="134"/>
      </rPr>
      <t>号现金收回</t>
    </r>
  </si>
  <si>
    <t>GXSD1092</t>
  </si>
  <si>
    <t>30/05/2019</t>
  </si>
  <si>
    <r>
      <rPr>
        <sz val="12"/>
        <rFont val="宋体"/>
        <family val="3"/>
        <charset val="134"/>
      </rPr>
      <t>陈俊海</t>
    </r>
    <r>
      <rPr>
        <sz val="12"/>
        <rFont val="Calibri"/>
        <family val="2"/>
      </rPr>
      <t>2019</t>
    </r>
    <r>
      <rPr>
        <sz val="12"/>
        <rFont val="宋体"/>
        <family val="3"/>
        <charset val="134"/>
      </rPr>
      <t>年</t>
    </r>
    <r>
      <rPr>
        <sz val="12"/>
        <rFont val="Calibri"/>
        <family val="2"/>
      </rPr>
      <t>5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30</t>
    </r>
    <r>
      <rPr>
        <sz val="12"/>
        <rFont val="宋体"/>
        <family val="3"/>
        <charset val="134"/>
      </rPr>
      <t>号现金收回</t>
    </r>
  </si>
  <si>
    <t>18/08/2019</t>
  </si>
  <si>
    <r>
      <rPr>
        <sz val="12"/>
        <rFont val="宋体"/>
        <family val="3"/>
        <charset val="134"/>
      </rPr>
      <t>陈俊海</t>
    </r>
    <r>
      <rPr>
        <sz val="12"/>
        <rFont val="Calibri"/>
        <family val="2"/>
      </rPr>
      <t>2019</t>
    </r>
    <r>
      <rPr>
        <sz val="12"/>
        <rFont val="宋体"/>
        <family val="3"/>
        <charset val="134"/>
      </rPr>
      <t>年</t>
    </r>
    <r>
      <rPr>
        <sz val="12"/>
        <rFont val="Calibri"/>
        <family val="2"/>
      </rPr>
      <t>8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18</t>
    </r>
    <r>
      <rPr>
        <sz val="12"/>
        <rFont val="宋体"/>
        <family val="3"/>
        <charset val="134"/>
      </rPr>
      <t>号现金收回</t>
    </r>
  </si>
  <si>
    <t>GXTH201906040001</t>
  </si>
  <si>
    <t>14/06/2019</t>
  </si>
  <si>
    <t>GXTH201906130016</t>
  </si>
  <si>
    <t>GXTH201906120001</t>
  </si>
  <si>
    <t>UN19/0848</t>
  </si>
  <si>
    <t>AUN19/0000867</t>
  </si>
  <si>
    <t>UN19/0002166</t>
  </si>
  <si>
    <t>UN19/0002167</t>
  </si>
  <si>
    <t>31/12/2019</t>
  </si>
  <si>
    <r>
      <rPr>
        <sz val="12"/>
        <rFont val="宋体"/>
        <family val="3"/>
        <charset val="134"/>
      </rPr>
      <t>收回尾款</t>
    </r>
  </si>
  <si>
    <t>GUO LONG</t>
  </si>
  <si>
    <t>GXSD000000887</t>
  </si>
  <si>
    <r>
      <rPr>
        <sz val="12"/>
        <color indexed="8"/>
        <rFont val="宋体"/>
        <family val="3"/>
        <charset val="134"/>
      </rPr>
      <t>付意大利单据</t>
    </r>
  </si>
  <si>
    <t>19/06/2019</t>
  </si>
  <si>
    <t>GXSD000001416</t>
  </si>
  <si>
    <r>
      <rPr>
        <sz val="12"/>
        <rFont val="宋体"/>
        <family val="3"/>
        <charset val="134"/>
      </rPr>
      <t>充电器差价</t>
    </r>
    <r>
      <rPr>
        <sz val="12"/>
        <rFont val="Calibri"/>
        <family val="2"/>
      </rPr>
      <t xml:space="preserve"> </t>
    </r>
    <r>
      <rPr>
        <sz val="12"/>
        <rFont val="宋体"/>
        <family val="3"/>
        <charset val="134"/>
      </rPr>
      <t>意大利单</t>
    </r>
  </si>
  <si>
    <t>16/06/2019</t>
  </si>
  <si>
    <t>GXSD000000103</t>
  </si>
  <si>
    <t>30/07/2019</t>
  </si>
  <si>
    <t>GXSD000325</t>
  </si>
  <si>
    <t>06/09/2019</t>
  </si>
  <si>
    <t>GXSD000534</t>
  </si>
  <si>
    <t>GXSD000537</t>
  </si>
  <si>
    <t>18/09/2019</t>
  </si>
  <si>
    <t>GXSD000598</t>
  </si>
  <si>
    <r>
      <rPr>
        <sz val="12"/>
        <rFont val="宋体"/>
        <family val="3"/>
        <charset val="134"/>
      </rPr>
      <t>发</t>
    </r>
    <r>
      <rPr>
        <sz val="12"/>
        <rFont val="Calibri"/>
        <family val="2"/>
      </rPr>
      <t>seur</t>
    </r>
  </si>
  <si>
    <t>GXTH201909180001</t>
  </si>
  <si>
    <r>
      <rPr>
        <sz val="12"/>
        <rFont val="宋体"/>
        <family val="3"/>
        <charset val="134"/>
      </rPr>
      <t>少货</t>
    </r>
  </si>
  <si>
    <t>10/10/2019</t>
  </si>
  <si>
    <t>AUE19/0000448</t>
  </si>
  <si>
    <t>GXSD002212</t>
  </si>
  <si>
    <t>16/10/2019</t>
  </si>
  <si>
    <t>GXSD000000731</t>
  </si>
  <si>
    <t>13/11/2019</t>
  </si>
  <si>
    <t>AUE19/0000462</t>
  </si>
  <si>
    <t>AUN19/0000724</t>
  </si>
  <si>
    <r>
      <rPr>
        <sz val="12"/>
        <rFont val="宋体"/>
        <family val="3"/>
        <charset val="134"/>
      </rPr>
      <t>退货，意大利</t>
    </r>
  </si>
  <si>
    <t>AUE19/0000463</t>
  </si>
  <si>
    <r>
      <rPr>
        <sz val="12"/>
        <rFont val="宋体"/>
        <family val="3"/>
        <charset val="134"/>
      </rPr>
      <t>陈俊海现金收回</t>
    </r>
  </si>
  <si>
    <r>
      <t>lisboa</t>
    </r>
    <r>
      <rPr>
        <sz val="12"/>
        <rFont val="宋体"/>
        <family val="3"/>
        <charset val="134"/>
      </rPr>
      <t>天和</t>
    </r>
  </si>
  <si>
    <t>GXYS0520/588</t>
  </si>
  <si>
    <r>
      <rPr>
        <sz val="12"/>
        <rFont val="宋体"/>
        <family val="3"/>
        <charset val="134"/>
      </rPr>
      <t>结清</t>
    </r>
  </si>
  <si>
    <t xml:space="preserve">欠GUOLONG </t>
  </si>
  <si>
    <t>GXYS000000625/678</t>
  </si>
  <si>
    <r>
      <rPr>
        <sz val="12"/>
        <color indexed="8"/>
        <rFont val="宋体"/>
        <family val="3"/>
        <charset val="134"/>
      </rPr>
      <t>结清</t>
    </r>
  </si>
  <si>
    <t>GXSD0735</t>
  </si>
  <si>
    <t>27-03/2019</t>
  </si>
  <si>
    <t>GXSD0894</t>
  </si>
  <si>
    <t>GXSD000000927</t>
  </si>
  <si>
    <t>GXSD000001104</t>
  </si>
  <si>
    <t>GXSD000001173</t>
  </si>
  <si>
    <t>09/05/2019</t>
  </si>
  <si>
    <r>
      <rPr>
        <sz val="12"/>
        <rFont val="宋体"/>
        <family val="3"/>
        <charset val="134"/>
      </rPr>
      <t>收回欠款</t>
    </r>
  </si>
  <si>
    <t>GXSD000001225</t>
  </si>
  <si>
    <t>GXSD000000006</t>
  </si>
  <si>
    <r>
      <rPr>
        <sz val="12"/>
        <rFont val="宋体"/>
        <family val="3"/>
        <charset val="134"/>
      </rPr>
      <t>西班牙发货（清</t>
    </r>
    <r>
      <rPr>
        <sz val="12"/>
        <rFont val="Calibri"/>
        <family val="2"/>
      </rPr>
      <t>661</t>
    </r>
    <r>
      <rPr>
        <sz val="12"/>
        <rFont val="宋体"/>
        <family val="3"/>
        <charset val="134"/>
      </rPr>
      <t>）</t>
    </r>
  </si>
  <si>
    <t>17/06/2019</t>
  </si>
  <si>
    <t>GXSD000000104</t>
  </si>
  <si>
    <r>
      <rPr>
        <sz val="12"/>
        <rFont val="宋体"/>
        <family val="3"/>
        <charset val="134"/>
      </rPr>
      <t>西班牙发货（清</t>
    </r>
    <r>
      <rPr>
        <sz val="12"/>
        <rFont val="Calibri"/>
        <family val="2"/>
      </rPr>
      <t>923.3</t>
    </r>
    <r>
      <rPr>
        <sz val="12"/>
        <rFont val="宋体"/>
        <family val="3"/>
        <charset val="134"/>
      </rPr>
      <t>）</t>
    </r>
  </si>
  <si>
    <t>24/06/2019</t>
  </si>
  <si>
    <t>GXTH201906240006</t>
  </si>
  <si>
    <r>
      <rPr>
        <sz val="12"/>
        <rFont val="宋体"/>
        <family val="3"/>
        <charset val="134"/>
      </rPr>
      <t>退货，结清</t>
    </r>
  </si>
  <si>
    <t>GXTH201906240005</t>
  </si>
  <si>
    <t>GXTH201906240007</t>
  </si>
  <si>
    <t>GXTH201906240008</t>
  </si>
  <si>
    <t>26/06/2019</t>
  </si>
  <si>
    <t>08/07/2019</t>
  </si>
  <si>
    <t>GXSD000000203</t>
  </si>
  <si>
    <r>
      <rPr>
        <sz val="12"/>
        <rFont val="宋体"/>
        <family val="3"/>
        <charset val="134"/>
      </rPr>
      <t>发佳泰</t>
    </r>
    <r>
      <rPr>
        <sz val="12"/>
        <rFont val="Calibri"/>
        <family val="2"/>
      </rPr>
      <t>(</t>
    </r>
    <r>
      <rPr>
        <sz val="12"/>
        <rFont val="宋体"/>
        <family val="3"/>
        <charset val="134"/>
      </rPr>
      <t>清</t>
    </r>
    <r>
      <rPr>
        <sz val="12"/>
        <rFont val="Calibri"/>
        <family val="2"/>
      </rPr>
      <t>1233.3</t>
    </r>
    <r>
      <rPr>
        <sz val="12"/>
        <rFont val="宋体"/>
        <family val="3"/>
        <charset val="134"/>
      </rPr>
      <t>）</t>
    </r>
  </si>
  <si>
    <t>10/07/2019</t>
  </si>
  <si>
    <t>GXSD00000218</t>
  </si>
  <si>
    <r>
      <rPr>
        <sz val="12"/>
        <rFont val="宋体"/>
        <family val="3"/>
        <charset val="134"/>
      </rPr>
      <t>发佳泰（结</t>
    </r>
    <r>
      <rPr>
        <sz val="12"/>
        <rFont val="Calibri"/>
        <family val="2"/>
      </rPr>
      <t>2558.48</t>
    </r>
    <r>
      <rPr>
        <sz val="12"/>
        <rFont val="宋体"/>
        <family val="3"/>
        <charset val="134"/>
      </rPr>
      <t>）</t>
    </r>
  </si>
  <si>
    <t>23/07/2019</t>
  </si>
  <si>
    <t>GXSD00000304</t>
  </si>
  <si>
    <t>08/08/2019</t>
  </si>
  <si>
    <t>09/08/2019</t>
  </si>
  <si>
    <t>GXSD0000376</t>
  </si>
  <si>
    <t>19/08/2019</t>
  </si>
  <si>
    <t>GXSD000000409</t>
  </si>
  <si>
    <t>17/09/2019</t>
  </si>
  <si>
    <t>GXSD000000583</t>
  </si>
  <si>
    <t>GXSD000000734</t>
  </si>
  <si>
    <t>2019.10.25</t>
  </si>
  <si>
    <t>GXSD000002281</t>
  </si>
  <si>
    <t>2019.11.12</t>
  </si>
  <si>
    <t>AUN19/0000701</t>
  </si>
  <si>
    <t>25/11/2019</t>
  </si>
  <si>
    <r>
      <rPr>
        <sz val="12"/>
        <rFont val="宋体"/>
        <family val="3"/>
        <charset val="134"/>
      </rPr>
      <t>绪龙现金收回</t>
    </r>
  </si>
  <si>
    <t>2019.12.09</t>
  </si>
  <si>
    <t>AUN19/0000826</t>
  </si>
  <si>
    <r>
      <t>malaga</t>
    </r>
    <r>
      <rPr>
        <sz val="12"/>
        <rFont val="宋体"/>
        <family val="3"/>
        <charset val="134"/>
      </rPr>
      <t>海威特</t>
    </r>
    <r>
      <rPr>
        <sz val="12"/>
        <rFont val="Calibri"/>
        <family val="2"/>
      </rPr>
      <t>havit</t>
    </r>
  </si>
  <si>
    <t>GXYS0509</t>
  </si>
  <si>
    <r>
      <rPr>
        <sz val="12"/>
        <rFont val="宋体"/>
        <family val="3"/>
        <charset val="134"/>
      </rPr>
      <t>发票</t>
    </r>
    <r>
      <rPr>
        <sz val="12"/>
        <rFont val="Calibri"/>
        <family val="2"/>
      </rPr>
      <t xml:space="preserve"> </t>
    </r>
    <r>
      <rPr>
        <sz val="12"/>
        <rFont val="宋体"/>
        <family val="3"/>
        <charset val="134"/>
      </rPr>
      <t>存意大利银行账号</t>
    </r>
  </si>
  <si>
    <t>GXYS0546</t>
  </si>
  <si>
    <t>GXSD000000736</t>
  </si>
  <si>
    <r>
      <rPr>
        <sz val="12"/>
        <rFont val="宋体"/>
        <family val="3"/>
        <charset val="134"/>
      </rPr>
      <t>发票</t>
    </r>
  </si>
  <si>
    <t>GXSD0855</t>
  </si>
  <si>
    <r>
      <rPr>
        <sz val="12"/>
        <rFont val="宋体"/>
        <family val="3"/>
        <charset val="134"/>
      </rPr>
      <t>弄错折扣和音响价格</t>
    </r>
  </si>
  <si>
    <t>GXSD000000846</t>
  </si>
  <si>
    <t>UN19/0000402</t>
  </si>
  <si>
    <r>
      <rPr>
        <sz val="12"/>
        <rFont val="宋体"/>
        <family val="3"/>
        <charset val="134"/>
      </rPr>
      <t>客户折扣给错</t>
    </r>
  </si>
  <si>
    <t>UN19/0000410</t>
  </si>
  <si>
    <t>UN19/0000641</t>
  </si>
  <si>
    <t>10/04/2019</t>
  </si>
  <si>
    <t>07/05/2019</t>
  </si>
  <si>
    <t>28/06/2109</t>
  </si>
  <si>
    <t>31/07/2019</t>
  </si>
  <si>
    <t>GXSD000336</t>
  </si>
  <si>
    <t>28/08/2019</t>
  </si>
  <si>
    <t>12/09/2019</t>
  </si>
  <si>
    <t>UE19/0290</t>
  </si>
  <si>
    <r>
      <rPr>
        <sz val="12"/>
        <rFont val="宋体"/>
        <family val="3"/>
        <charset val="134"/>
      </rPr>
      <t>发欧联</t>
    </r>
  </si>
  <si>
    <t>17/10/2019</t>
  </si>
  <si>
    <t>13/01/2020</t>
  </si>
  <si>
    <r>
      <t>malaga</t>
    </r>
    <r>
      <rPr>
        <sz val="12"/>
        <rFont val="宋体"/>
        <family val="3"/>
        <charset val="134"/>
      </rPr>
      <t>联通</t>
    </r>
  </si>
  <si>
    <r>
      <rPr>
        <sz val="12"/>
        <color indexed="8"/>
        <rFont val="SimSun"/>
        <charset val="134"/>
      </rPr>
      <t>上次漏掉的欠款</t>
    </r>
  </si>
  <si>
    <r>
      <rPr>
        <sz val="12"/>
        <color indexed="8"/>
        <rFont val="SimSun"/>
        <charset val="134"/>
      </rPr>
      <t>提醒客人上次有张欠单</t>
    </r>
    <r>
      <rPr>
        <sz val="12"/>
        <color indexed="8"/>
        <rFont val="Calibri"/>
        <family val="2"/>
      </rPr>
      <t>33.14</t>
    </r>
  </si>
  <si>
    <t>GXYS0508/584</t>
  </si>
  <si>
    <t>GXYS0532/664</t>
  </si>
  <si>
    <t>GXSD0737</t>
  </si>
  <si>
    <r>
      <rPr>
        <sz val="12"/>
        <color indexed="8"/>
        <rFont val="SimSun"/>
        <charset val="134"/>
      </rPr>
      <t>收回欠款</t>
    </r>
  </si>
  <si>
    <t>GCSD1024</t>
  </si>
  <si>
    <t>GXSD000001238</t>
  </si>
  <si>
    <t>AUN19/0000269</t>
  </si>
  <si>
    <r>
      <rPr>
        <sz val="12"/>
        <color indexed="8"/>
        <rFont val="SimSun"/>
        <charset val="134"/>
      </rPr>
      <t>退单</t>
    </r>
  </si>
  <si>
    <t>GXSD000000007</t>
  </si>
  <si>
    <r>
      <rPr>
        <sz val="12"/>
        <color indexed="8"/>
        <rFont val="SimSun"/>
        <charset val="134"/>
      </rPr>
      <t>西班牙发货</t>
    </r>
  </si>
  <si>
    <t>10-06-2019</t>
  </si>
  <si>
    <t>GXSD0000068</t>
  </si>
  <si>
    <r>
      <rPr>
        <sz val="12"/>
        <color indexed="8"/>
        <rFont val="SimSun"/>
        <charset val="134"/>
      </rPr>
      <t>缺货单</t>
    </r>
    <r>
      <rPr>
        <sz val="12"/>
        <color indexed="8"/>
        <rFont val="Calibri"/>
        <family val="2"/>
      </rPr>
      <t xml:space="preserve"> </t>
    </r>
    <r>
      <rPr>
        <sz val="12"/>
        <color indexed="8"/>
        <rFont val="SimSun"/>
        <charset val="134"/>
      </rPr>
      <t>西班牙发货</t>
    </r>
  </si>
  <si>
    <t>GXSD0000098</t>
  </si>
  <si>
    <t>26/07/2019</t>
  </si>
  <si>
    <t>GXSD000326</t>
  </si>
  <si>
    <r>
      <rPr>
        <sz val="12"/>
        <color indexed="8"/>
        <rFont val="SimSun"/>
        <charset val="134"/>
      </rPr>
      <t>发佳泰</t>
    </r>
    <r>
      <rPr>
        <sz val="12"/>
        <color indexed="8"/>
        <rFont val="Calibri"/>
        <family val="2"/>
      </rPr>
      <t xml:space="preserve"> </t>
    </r>
    <r>
      <rPr>
        <sz val="12"/>
        <color indexed="8"/>
        <rFont val="SimSun"/>
        <charset val="134"/>
      </rPr>
      <t>程思琪补货</t>
    </r>
  </si>
  <si>
    <t>GXSD000509</t>
  </si>
  <si>
    <t>GXSD000602</t>
  </si>
  <si>
    <t>03/10/2019</t>
  </si>
  <si>
    <t>GXSD000685</t>
  </si>
  <si>
    <t>04/10/2019</t>
  </si>
  <si>
    <t>GXTH201910040015</t>
  </si>
  <si>
    <r>
      <t xml:space="preserve">MURCIA </t>
    </r>
    <r>
      <rPr>
        <sz val="12"/>
        <rFont val="宋体"/>
        <family val="3"/>
        <charset val="134"/>
      </rPr>
      <t>乐宝</t>
    </r>
  </si>
  <si>
    <t>13/06/2019</t>
  </si>
  <si>
    <t>UE19/0000028</t>
  </si>
  <si>
    <r>
      <t>14/12/2019</t>
    </r>
    <r>
      <rPr>
        <sz val="12"/>
        <color indexed="8"/>
        <rFont val="宋体"/>
        <family val="3"/>
        <charset val="134"/>
      </rPr>
      <t>付款</t>
    </r>
  </si>
  <si>
    <t>UE19/0000059</t>
  </si>
  <si>
    <r>
      <t>8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10</t>
    </r>
    <r>
      <rPr>
        <sz val="12"/>
        <rFont val="宋体"/>
        <family val="3"/>
        <charset val="134"/>
      </rPr>
      <t>号付款</t>
    </r>
  </si>
  <si>
    <t>03/07/2019</t>
  </si>
  <si>
    <t>UE19/0000076</t>
  </si>
  <si>
    <r>
      <t>8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18</t>
    </r>
    <r>
      <rPr>
        <sz val="12"/>
        <rFont val="宋体"/>
        <family val="3"/>
        <charset val="134"/>
      </rPr>
      <t>号付款</t>
    </r>
  </si>
  <si>
    <t>03/09/2019</t>
  </si>
  <si>
    <t>UE19/0000297</t>
  </si>
  <si>
    <r>
      <rPr>
        <sz val="12"/>
        <rFont val="宋体"/>
        <family val="3"/>
        <charset val="134"/>
      </rPr>
      <t>退货单</t>
    </r>
  </si>
  <si>
    <t>14/12/2019</t>
  </si>
  <si>
    <r>
      <rPr>
        <sz val="12"/>
        <rFont val="宋体"/>
        <family val="3"/>
        <charset val="134"/>
      </rPr>
      <t>银收回欠款</t>
    </r>
  </si>
  <si>
    <t>ORIENTAL QIU S.L</t>
  </si>
  <si>
    <t>GXSD0965</t>
  </si>
  <si>
    <t>GXSD0972</t>
  </si>
  <si>
    <t>AUN19/0000197</t>
  </si>
  <si>
    <r>
      <rPr>
        <sz val="12"/>
        <rFont val="宋体"/>
        <family val="3"/>
        <charset val="134"/>
      </rPr>
      <t>数据线折扣错误，先退货，再出单</t>
    </r>
  </si>
  <si>
    <t>GXSD1036</t>
  </si>
  <si>
    <t>20-06-2019</t>
  </si>
  <si>
    <r>
      <rPr>
        <sz val="12"/>
        <color indexed="8"/>
        <rFont val="宋体"/>
        <family val="3"/>
        <charset val="134"/>
      </rPr>
      <t>银行转账</t>
    </r>
    <r>
      <rPr>
        <sz val="12"/>
        <color indexed="8"/>
        <rFont val="Calibri"/>
        <family val="2"/>
      </rPr>
      <t>UE19/0019 UE19/0020</t>
    </r>
  </si>
  <si>
    <t>29/07/2019</t>
  </si>
  <si>
    <r>
      <rPr>
        <sz val="12"/>
        <color indexed="8"/>
        <rFont val="宋体"/>
        <family val="3"/>
        <charset val="134"/>
      </rPr>
      <t>晓彬收</t>
    </r>
  </si>
  <si>
    <t>07/08/2019</t>
  </si>
  <si>
    <t>GXSD000360</t>
  </si>
  <si>
    <r>
      <rPr>
        <sz val="12"/>
        <rFont val="宋体"/>
        <family val="3"/>
        <charset val="134"/>
      </rPr>
      <t>小杨点货</t>
    </r>
    <r>
      <rPr>
        <sz val="12"/>
        <rFont val="Calibri"/>
        <family val="2"/>
      </rPr>
      <t xml:space="preserve">  </t>
    </r>
    <r>
      <rPr>
        <sz val="12"/>
        <rFont val="宋体"/>
        <family val="3"/>
        <charset val="134"/>
      </rPr>
      <t>发新佳泰</t>
    </r>
  </si>
  <si>
    <t>10/09/2019</t>
  </si>
  <si>
    <t>GXSD000543</t>
  </si>
  <si>
    <r>
      <rPr>
        <sz val="12"/>
        <color indexed="10"/>
        <rFont val="宋体"/>
        <family val="3"/>
        <charset val="134"/>
      </rPr>
      <t>小杨点货</t>
    </r>
    <r>
      <rPr>
        <sz val="12"/>
        <color indexed="10"/>
        <rFont val="Calibri"/>
        <family val="2"/>
      </rPr>
      <t xml:space="preserve">  </t>
    </r>
    <r>
      <rPr>
        <sz val="12"/>
        <color indexed="10"/>
        <rFont val="宋体"/>
        <family val="3"/>
        <charset val="134"/>
      </rPr>
      <t>发新佳泰</t>
    </r>
  </si>
  <si>
    <t>GXSD000681</t>
  </si>
  <si>
    <t>06/10/2019</t>
  </si>
  <si>
    <r>
      <rPr>
        <sz val="12"/>
        <color indexed="10"/>
        <rFont val="宋体"/>
        <family val="3"/>
        <charset val="134"/>
      </rPr>
      <t>俊海收</t>
    </r>
  </si>
  <si>
    <r>
      <t>sevilla</t>
    </r>
    <r>
      <rPr>
        <sz val="12"/>
        <rFont val="宋体"/>
        <family val="3"/>
        <charset val="134"/>
      </rPr>
      <t>步步高</t>
    </r>
  </si>
  <si>
    <t>GXYS0510</t>
  </si>
  <si>
    <t>GXYS0518</t>
  </si>
  <si>
    <t>GXYS0517</t>
  </si>
  <si>
    <t>GXYS0579</t>
  </si>
  <si>
    <r>
      <rPr>
        <sz val="12"/>
        <rFont val="SimSun"/>
        <charset val="134"/>
      </rPr>
      <t>等</t>
    </r>
    <r>
      <rPr>
        <sz val="12"/>
        <rFont val="Calibri"/>
        <family val="2"/>
      </rPr>
      <t>3</t>
    </r>
    <r>
      <rPr>
        <sz val="12"/>
        <rFont val="SimSun"/>
        <charset val="134"/>
      </rPr>
      <t>月</t>
    </r>
    <r>
      <rPr>
        <sz val="12"/>
        <rFont val="Calibri"/>
        <family val="2"/>
      </rPr>
      <t>3</t>
    </r>
    <r>
      <rPr>
        <sz val="12"/>
        <rFont val="SimSun"/>
        <charset val="134"/>
      </rPr>
      <t>号到货</t>
    </r>
  </si>
  <si>
    <t>GXYS0580</t>
  </si>
  <si>
    <t>GXSD0741</t>
  </si>
  <si>
    <t>GXSD0740</t>
  </si>
  <si>
    <t>GXSD000001039</t>
  </si>
  <si>
    <t>GXSD1051</t>
  </si>
  <si>
    <t>GXSD000001110</t>
  </si>
  <si>
    <r>
      <rPr>
        <sz val="12"/>
        <rFont val="SimSun"/>
        <charset val="134"/>
      </rPr>
      <t>俊海收现金</t>
    </r>
  </si>
  <si>
    <t>GXSD000001226</t>
  </si>
  <si>
    <t>GXSD000000009</t>
  </si>
  <si>
    <t>05/06/2019</t>
  </si>
  <si>
    <r>
      <rPr>
        <sz val="12"/>
        <rFont val="SimSun"/>
        <charset val="134"/>
      </rPr>
      <t>银行转意大利</t>
    </r>
  </si>
  <si>
    <t>GXSD000000074</t>
  </si>
  <si>
    <t>GXSD00000101</t>
  </si>
  <si>
    <t>27/06/2019</t>
  </si>
  <si>
    <t>27-06-2019</t>
  </si>
  <si>
    <t>UN19/0927</t>
  </si>
  <si>
    <t>UN19/0928</t>
  </si>
  <si>
    <t>UN19/0929</t>
  </si>
  <si>
    <t>GXTH201906260010</t>
  </si>
  <si>
    <t>GXTH201906260011</t>
  </si>
  <si>
    <t>GXTH201906260012</t>
  </si>
  <si>
    <t>01-07-2019</t>
  </si>
  <si>
    <t>GXSD000177</t>
  </si>
  <si>
    <t>05-07-2019</t>
  </si>
  <si>
    <t>GXSD000191</t>
  </si>
  <si>
    <t>18/07/2019</t>
  </si>
  <si>
    <t>GXSD000276</t>
  </si>
  <si>
    <t>GXSD00305</t>
  </si>
  <si>
    <t>05/08/2019</t>
  </si>
  <si>
    <t>GXSD00347</t>
  </si>
  <si>
    <t>GXSD00493</t>
  </si>
  <si>
    <t>04/09/2019</t>
  </si>
  <si>
    <t>26/09/2019</t>
  </si>
  <si>
    <r>
      <rPr>
        <sz val="12"/>
        <rFont val="SimSun"/>
        <charset val="134"/>
      </rPr>
      <t>存支票</t>
    </r>
  </si>
  <si>
    <t>30/09/2019</t>
  </si>
  <si>
    <t>GXSD000000660</t>
  </si>
  <si>
    <t>01/10/2019</t>
  </si>
  <si>
    <t>2019.10.22</t>
  </si>
  <si>
    <t>GXSD000002274</t>
  </si>
  <si>
    <t>GXSD000002275</t>
  </si>
  <si>
    <t>2019.11.19</t>
  </si>
  <si>
    <t>AUN19/0000730</t>
  </si>
  <si>
    <t>2019.12.03</t>
  </si>
  <si>
    <t>AUN19/0000811</t>
  </si>
  <si>
    <t>19/12/2019</t>
  </si>
  <si>
    <r>
      <t>xulong</t>
    </r>
    <r>
      <rPr>
        <sz val="12"/>
        <color indexed="8"/>
        <rFont val="SimSun"/>
        <charset val="134"/>
      </rPr>
      <t>收现金</t>
    </r>
  </si>
  <si>
    <r>
      <t xml:space="preserve">valencia </t>
    </r>
    <r>
      <rPr>
        <sz val="12"/>
        <rFont val="宋体"/>
        <family val="3"/>
        <charset val="134"/>
      </rPr>
      <t>荣丰</t>
    </r>
  </si>
  <si>
    <t>GXSD000102</t>
  </si>
  <si>
    <t>20/07/2019</t>
  </si>
  <si>
    <r>
      <rPr>
        <sz val="12"/>
        <rFont val="SimSun"/>
        <charset val="134"/>
      </rPr>
      <t>陈俊海现金收回</t>
    </r>
  </si>
  <si>
    <r>
      <t>valencia</t>
    </r>
    <r>
      <rPr>
        <sz val="12"/>
        <rFont val="宋体"/>
        <family val="3"/>
        <charset val="134"/>
      </rPr>
      <t>超能</t>
    </r>
    <r>
      <rPr>
        <sz val="12"/>
        <rFont val="Calibri"/>
        <family val="2"/>
      </rPr>
      <t>J&amp;C REPARACIONES Y AC</t>
    </r>
  </si>
  <si>
    <t>GXSD000000204</t>
  </si>
  <si>
    <t>24/07/2019</t>
  </si>
  <si>
    <t>GXSD0000306</t>
  </si>
  <si>
    <t>25/07/2019</t>
  </si>
  <si>
    <t>GXSD000315</t>
  </si>
  <si>
    <t>20/08/2020</t>
  </si>
  <si>
    <t>GXSD000420</t>
  </si>
  <si>
    <t>23/08/2019</t>
  </si>
  <si>
    <r>
      <rPr>
        <sz val="12"/>
        <rFont val="宋体"/>
        <family val="3"/>
        <charset val="134"/>
      </rPr>
      <t>银行转账</t>
    </r>
    <r>
      <rPr>
        <sz val="12"/>
        <rFont val="Calibri"/>
        <family val="2"/>
      </rPr>
      <t xml:space="preserve"> UE19/0182 UE19/0183 UE19/0184</t>
    </r>
  </si>
  <si>
    <t>02/09/2019</t>
  </si>
  <si>
    <t>GXSD000000512</t>
  </si>
  <si>
    <r>
      <t>25</t>
    </r>
    <r>
      <rPr>
        <sz val="12"/>
        <rFont val="宋体"/>
        <family val="3"/>
        <charset val="134"/>
      </rPr>
      <t>折扣（到</t>
    </r>
    <r>
      <rPr>
        <sz val="12"/>
        <rFont val="Calibri"/>
        <family val="2"/>
      </rPr>
      <t>9</t>
    </r>
    <r>
      <rPr>
        <sz val="12"/>
        <rFont val="宋体"/>
        <family val="3"/>
        <charset val="134"/>
      </rPr>
      <t>月底过），全开</t>
    </r>
    <r>
      <rPr>
        <sz val="12"/>
        <rFont val="Calibri"/>
        <family val="2"/>
      </rPr>
      <t xml:space="preserve"> </t>
    </r>
    <r>
      <rPr>
        <sz val="12"/>
        <rFont val="宋体"/>
        <family val="3"/>
        <charset val="134"/>
      </rPr>
      <t>发佳泰。</t>
    </r>
  </si>
  <si>
    <t>GXSD000000513</t>
  </si>
  <si>
    <r>
      <rPr>
        <sz val="12"/>
        <rFont val="宋体"/>
        <family val="3"/>
        <charset val="134"/>
      </rPr>
      <t>银行转账</t>
    </r>
    <r>
      <rPr>
        <sz val="12"/>
        <rFont val="Calibri"/>
        <family val="2"/>
      </rPr>
      <t xml:space="preserve"> UE19/0249</t>
    </r>
  </si>
  <si>
    <r>
      <rPr>
        <sz val="12"/>
        <rFont val="宋体"/>
        <family val="3"/>
        <charset val="134"/>
      </rPr>
      <t>银行转账</t>
    </r>
    <r>
      <rPr>
        <sz val="12"/>
        <rFont val="Calibri"/>
        <family val="2"/>
      </rPr>
      <t xml:space="preserve"> UE19/0284</t>
    </r>
  </si>
  <si>
    <r>
      <rPr>
        <sz val="12"/>
        <rFont val="宋体"/>
        <family val="3"/>
        <charset val="134"/>
      </rPr>
      <t>银行转账</t>
    </r>
    <r>
      <rPr>
        <sz val="12"/>
        <rFont val="Calibri"/>
        <family val="2"/>
      </rPr>
      <t>UE19/0000281</t>
    </r>
  </si>
  <si>
    <t>AUE19/0000461</t>
  </si>
  <si>
    <t>AUN19/0000720</t>
  </si>
  <si>
    <t xml:space="preserve">valencia三盛 SANSHENG TECNOLOGIA </t>
  </si>
  <si>
    <t>GXSD665</t>
  </si>
  <si>
    <t>GXSD667</t>
  </si>
  <si>
    <t>开票</t>
  </si>
  <si>
    <t>GXSD0572</t>
  </si>
  <si>
    <t>20/02/2019</t>
  </si>
  <si>
    <t>GXSD0646</t>
  </si>
  <si>
    <t>25/02/2019</t>
  </si>
  <si>
    <t>GXSD000000574</t>
  </si>
  <si>
    <t>打错单据，无产生任何费用</t>
  </si>
  <si>
    <t>AUN19/0000086</t>
  </si>
  <si>
    <t>15/03/2019</t>
  </si>
  <si>
    <t>GXSD743</t>
  </si>
  <si>
    <t>GXSD744</t>
  </si>
  <si>
    <t>10/06/2019</t>
  </si>
  <si>
    <t>GXSD072</t>
  </si>
  <si>
    <r>
      <t>2</t>
    </r>
    <r>
      <rPr>
        <sz val="12"/>
        <color indexed="8"/>
        <rFont val="宋体"/>
        <family val="3"/>
        <charset val="134"/>
      </rPr>
      <t>个大货架，西班牙出</t>
    </r>
  </si>
  <si>
    <t>陈俊海现金收回</t>
  </si>
  <si>
    <t>GXSD0100</t>
  </si>
  <si>
    <t>西班牙发货</t>
  </si>
  <si>
    <t>09/09/2019</t>
  </si>
  <si>
    <t>GXTH201909090001</t>
  </si>
  <si>
    <t>退货</t>
  </si>
  <si>
    <t>UN19/1384</t>
  </si>
  <si>
    <t>UN19/1385</t>
  </si>
  <si>
    <t>UN19/1386</t>
  </si>
  <si>
    <t>GXSD0565</t>
  </si>
  <si>
    <t>发佳泰</t>
  </si>
  <si>
    <t>27/09/2019</t>
  </si>
  <si>
    <t>GXSD0656</t>
  </si>
  <si>
    <t>09/11/2019</t>
  </si>
  <si>
    <t>绪龙海现金收回</t>
  </si>
  <si>
    <t>UN19/0002026</t>
  </si>
  <si>
    <t>意大利发货</t>
  </si>
  <si>
    <t>UN19/0002027</t>
  </si>
  <si>
    <t>WEIMEI</t>
  </si>
  <si>
    <t>GXSD000001045</t>
  </si>
  <si>
    <t>GXSD000001158</t>
  </si>
  <si>
    <t>28/06/2019</t>
  </si>
  <si>
    <t>银行转账到意大利账户</t>
  </si>
  <si>
    <t>UN19/1175</t>
  </si>
  <si>
    <t>退货单</t>
  </si>
  <si>
    <t>UN19/1174</t>
  </si>
  <si>
    <t>2019.09.30</t>
  </si>
  <si>
    <t>UE19/0000361</t>
  </si>
  <si>
    <r>
      <t>10%</t>
    </r>
    <r>
      <rPr>
        <sz val="12"/>
        <color indexed="8"/>
        <rFont val="宋体"/>
        <family val="3"/>
        <charset val="134"/>
      </rPr>
      <t>折扣，托收</t>
    </r>
    <r>
      <rPr>
        <sz val="12"/>
        <color indexed="8"/>
        <rFont val="Calibri"/>
        <family val="2"/>
      </rPr>
      <t>2</t>
    </r>
    <r>
      <rPr>
        <sz val="12"/>
        <color indexed="8"/>
        <rFont val="宋体"/>
        <family val="3"/>
        <charset val="134"/>
      </rPr>
      <t>个月支票。</t>
    </r>
  </si>
  <si>
    <t>30/11/2019</t>
  </si>
  <si>
    <t>支票存银行</t>
  </si>
  <si>
    <r>
      <t>XIWENKEJI S.L</t>
    </r>
    <r>
      <rPr>
        <sz val="12"/>
        <color indexed="8"/>
        <rFont val="宋体"/>
        <family val="3"/>
        <charset val="134"/>
      </rPr>
      <t>你好</t>
    </r>
  </si>
  <si>
    <t>GXSD0802</t>
  </si>
  <si>
    <r>
      <t>5</t>
    </r>
    <r>
      <rPr>
        <sz val="12"/>
        <color indexed="8"/>
        <rFont val="宋体"/>
        <family val="3"/>
        <charset val="134"/>
      </rPr>
      <t>月</t>
    </r>
    <r>
      <rPr>
        <sz val="12"/>
        <color indexed="8"/>
        <rFont val="Calibri"/>
        <family val="2"/>
      </rPr>
      <t>9</t>
    </r>
    <r>
      <rPr>
        <sz val="12"/>
        <color indexed="8"/>
        <rFont val="宋体"/>
        <family val="3"/>
        <charset val="134"/>
      </rPr>
      <t>号</t>
    </r>
  </si>
  <si>
    <r>
      <t>6</t>
    </r>
    <r>
      <rPr>
        <sz val="12"/>
        <color indexed="8"/>
        <rFont val="宋体"/>
        <family val="3"/>
        <charset val="134"/>
      </rPr>
      <t>月</t>
    </r>
    <r>
      <rPr>
        <sz val="12"/>
        <color indexed="8"/>
        <rFont val="Calibri"/>
        <family val="2"/>
      </rPr>
      <t>27</t>
    </r>
    <r>
      <rPr>
        <sz val="12"/>
        <color indexed="8"/>
        <rFont val="宋体"/>
        <family val="3"/>
        <charset val="134"/>
      </rPr>
      <t>号</t>
    </r>
  </si>
  <si>
    <t>29/06/2019</t>
  </si>
  <si>
    <t>等盘库结束</t>
  </si>
  <si>
    <r>
      <t>56</t>
    </r>
    <r>
      <rPr>
        <sz val="12"/>
        <color indexed="8"/>
        <rFont val="宋体"/>
        <family val="3"/>
        <charset val="134"/>
      </rPr>
      <t>个充电宝退货</t>
    </r>
  </si>
  <si>
    <t>GXSD0000312</t>
  </si>
  <si>
    <r>
      <t>9</t>
    </r>
    <r>
      <rPr>
        <sz val="12"/>
        <color indexed="8"/>
        <rFont val="宋体"/>
        <family val="3"/>
        <charset val="134"/>
      </rPr>
      <t>月</t>
    </r>
    <r>
      <rPr>
        <sz val="12"/>
        <color indexed="8"/>
        <rFont val="Calibri"/>
        <family val="2"/>
      </rPr>
      <t>4</t>
    </r>
    <r>
      <rPr>
        <sz val="12"/>
        <color indexed="8"/>
        <rFont val="宋体"/>
        <family val="3"/>
        <charset val="134"/>
      </rPr>
      <t>号</t>
    </r>
  </si>
  <si>
    <t>XUNQI 讯奇</t>
  </si>
  <si>
    <t>04/07/2019</t>
  </si>
  <si>
    <t>UE19/0075</t>
  </si>
  <si>
    <r>
      <t>送</t>
    </r>
    <r>
      <rPr>
        <sz val="12"/>
        <color indexed="8"/>
        <rFont val="Calibri"/>
        <family val="2"/>
      </rPr>
      <t>3</t>
    </r>
    <r>
      <rPr>
        <sz val="12"/>
        <color indexed="8"/>
        <rFont val="宋体"/>
        <family val="3"/>
        <charset val="134"/>
      </rPr>
      <t>个大架子</t>
    </r>
  </si>
  <si>
    <t>UE19/0074</t>
  </si>
  <si>
    <r>
      <t>银行转账</t>
    </r>
    <r>
      <rPr>
        <sz val="12"/>
        <color indexed="8"/>
        <rFont val="Calibri"/>
        <family val="2"/>
      </rPr>
      <t xml:space="preserve"> </t>
    </r>
  </si>
  <si>
    <t>12/07/2019</t>
  </si>
  <si>
    <t>15/07/2019</t>
  </si>
  <si>
    <t>UE19/0103</t>
  </si>
  <si>
    <t>自提</t>
  </si>
  <si>
    <t>21/07/2019</t>
  </si>
  <si>
    <t>UE19/0154</t>
  </si>
  <si>
    <t>UE19/0149</t>
  </si>
  <si>
    <t>06/08/2019</t>
  </si>
  <si>
    <t>21/08/2019</t>
  </si>
  <si>
    <t>UE19/0198</t>
  </si>
  <si>
    <t>25/08/2019</t>
  </si>
  <si>
    <t>UE19/0222</t>
  </si>
  <si>
    <t>01/09/2019</t>
  </si>
  <si>
    <t>UE19/0253</t>
  </si>
  <si>
    <t>16/09/2019</t>
  </si>
  <si>
    <t>UE19/0300</t>
  </si>
  <si>
    <t>UE19/0366</t>
  </si>
  <si>
    <t>11/11/2019</t>
  </si>
  <si>
    <t>UE19/0000411</t>
  </si>
  <si>
    <t>11/11/2020</t>
  </si>
  <si>
    <t>UE19/0000412</t>
  </si>
  <si>
    <t>20/01/2020</t>
  </si>
  <si>
    <t>退货款</t>
  </si>
  <si>
    <t>百盛贸易</t>
  </si>
  <si>
    <t>GXSD00190</t>
  </si>
  <si>
    <t>12-08-2019</t>
  </si>
  <si>
    <t>GXSD000380</t>
  </si>
  <si>
    <t>04-09-2019</t>
  </si>
  <si>
    <t>俊海收现金</t>
  </si>
  <si>
    <r>
      <t>陈光福</t>
    </r>
    <r>
      <rPr>
        <sz val="12"/>
        <color indexed="8"/>
        <rFont val="Calibri"/>
        <family val="2"/>
      </rPr>
      <t xml:space="preserve"> SHU LING YANG</t>
    </r>
  </si>
  <si>
    <t>GXSD000000160</t>
  </si>
  <si>
    <r>
      <t>MANOLO</t>
    </r>
    <r>
      <rPr>
        <sz val="12"/>
        <color indexed="8"/>
        <rFont val="宋体"/>
        <family val="3"/>
        <charset val="134"/>
      </rPr>
      <t>拉走</t>
    </r>
    <r>
      <rPr>
        <sz val="12"/>
        <color indexed="8"/>
        <rFont val="Calibri"/>
        <family val="2"/>
      </rPr>
      <t xml:space="preserve"> 15%AA</t>
    </r>
  </si>
  <si>
    <t>GXSD0000332</t>
  </si>
  <si>
    <r>
      <t>8</t>
    </r>
    <r>
      <rPr>
        <sz val="12"/>
        <color indexed="8"/>
        <rFont val="宋体"/>
        <family val="3"/>
        <charset val="134"/>
      </rPr>
      <t>月</t>
    </r>
    <r>
      <rPr>
        <sz val="12"/>
        <color indexed="8"/>
        <rFont val="Calibri"/>
        <family val="2"/>
      </rPr>
      <t>5</t>
    </r>
    <r>
      <rPr>
        <sz val="12"/>
        <color indexed="8"/>
        <rFont val="宋体"/>
        <family val="3"/>
        <charset val="134"/>
      </rPr>
      <t>号</t>
    </r>
    <r>
      <rPr>
        <sz val="12"/>
        <color indexed="8"/>
        <rFont val="Calibri"/>
        <family val="2"/>
      </rPr>
      <t>MANOLO</t>
    </r>
    <r>
      <rPr>
        <sz val="12"/>
        <color indexed="8"/>
        <rFont val="宋体"/>
        <family val="3"/>
        <charset val="134"/>
      </rPr>
      <t>来拉货</t>
    </r>
  </si>
  <si>
    <t>GXSD000000665</t>
  </si>
  <si>
    <r>
      <t>9</t>
    </r>
    <r>
      <rPr>
        <sz val="12"/>
        <color indexed="8"/>
        <rFont val="宋体"/>
        <family val="3"/>
        <charset val="134"/>
      </rPr>
      <t>月</t>
    </r>
    <r>
      <rPr>
        <sz val="12"/>
        <color indexed="8"/>
        <rFont val="Calibri"/>
        <family val="2"/>
      </rPr>
      <t>30</t>
    </r>
    <r>
      <rPr>
        <sz val="12"/>
        <color indexed="8"/>
        <rFont val="宋体"/>
        <family val="3"/>
        <charset val="134"/>
      </rPr>
      <t>号</t>
    </r>
    <r>
      <rPr>
        <sz val="12"/>
        <color indexed="8"/>
        <rFont val="Calibri"/>
        <family val="2"/>
      </rPr>
      <t>MANOLO</t>
    </r>
    <r>
      <rPr>
        <sz val="12"/>
        <color indexed="8"/>
        <rFont val="宋体"/>
        <family val="3"/>
        <charset val="134"/>
      </rPr>
      <t>来拉货</t>
    </r>
  </si>
  <si>
    <r>
      <t>晓彬私货（</t>
    </r>
    <r>
      <rPr>
        <sz val="12"/>
        <color indexed="8"/>
        <rFont val="Calibri"/>
        <family val="2"/>
      </rPr>
      <t>one plus</t>
    </r>
    <r>
      <rPr>
        <sz val="12"/>
        <color indexed="8"/>
        <rFont val="宋体"/>
        <family val="3"/>
        <charset val="134"/>
      </rPr>
      <t>）</t>
    </r>
  </si>
  <si>
    <r>
      <t>10</t>
    </r>
    <r>
      <rPr>
        <sz val="12"/>
        <color indexed="8"/>
        <rFont val="宋体"/>
        <family val="3"/>
        <charset val="134"/>
      </rPr>
      <t>月</t>
    </r>
    <r>
      <rPr>
        <sz val="12"/>
        <color indexed="8"/>
        <rFont val="Calibri"/>
        <family val="2"/>
      </rPr>
      <t>16</t>
    </r>
    <r>
      <rPr>
        <sz val="12"/>
        <color indexed="8"/>
        <rFont val="宋体"/>
        <family val="3"/>
        <charset val="134"/>
      </rPr>
      <t>号</t>
    </r>
    <r>
      <rPr>
        <sz val="12"/>
        <color indexed="8"/>
        <rFont val="Calibri"/>
        <family val="2"/>
      </rPr>
      <t>MANOLO</t>
    </r>
    <r>
      <rPr>
        <sz val="12"/>
        <color indexed="8"/>
        <rFont val="宋体"/>
        <family val="3"/>
        <charset val="134"/>
      </rPr>
      <t>来拉货</t>
    </r>
  </si>
  <si>
    <t>GXSD000002242</t>
  </si>
  <si>
    <t>由意大利发货</t>
  </si>
  <si>
    <t>GXSD000002243</t>
  </si>
  <si>
    <t>齐力</t>
  </si>
  <si>
    <t>GXSD00016</t>
  </si>
  <si>
    <t>GXTH201906190001</t>
  </si>
  <si>
    <r>
      <t>退单</t>
    </r>
    <r>
      <rPr>
        <sz val="12"/>
        <color indexed="8"/>
        <rFont val="Calibri"/>
        <family val="2"/>
      </rPr>
      <t xml:space="preserve"> 9</t>
    </r>
    <r>
      <rPr>
        <sz val="12"/>
        <color indexed="8"/>
        <rFont val="宋体"/>
        <family val="3"/>
        <charset val="134"/>
      </rPr>
      <t>个坏的耳机</t>
    </r>
  </si>
  <si>
    <t>09/07/2019</t>
  </si>
  <si>
    <t>GXSD000000211</t>
  </si>
  <si>
    <t>发新佳泰</t>
  </si>
  <si>
    <t>17/07/2019</t>
  </si>
  <si>
    <t>GXSD000000262</t>
  </si>
  <si>
    <r>
      <t>SEUR</t>
    </r>
    <r>
      <rPr>
        <sz val="12"/>
        <color indexed="8"/>
        <rFont val="宋体"/>
        <family val="3"/>
        <charset val="134"/>
      </rPr>
      <t>直接发给他的客人</t>
    </r>
  </si>
  <si>
    <t>GXSD000000300</t>
  </si>
  <si>
    <r>
      <t>ONEPLUS</t>
    </r>
    <r>
      <rPr>
        <sz val="12"/>
        <color indexed="8"/>
        <rFont val="宋体"/>
        <family val="3"/>
        <charset val="134"/>
      </rPr>
      <t>的货</t>
    </r>
    <r>
      <rPr>
        <sz val="12"/>
        <color indexed="8"/>
        <rFont val="Calibri"/>
        <family val="2"/>
      </rPr>
      <t xml:space="preserve"> </t>
    </r>
    <r>
      <rPr>
        <sz val="12"/>
        <color indexed="8"/>
        <rFont val="宋体"/>
        <family val="3"/>
        <charset val="134"/>
      </rPr>
      <t>送给他的</t>
    </r>
  </si>
  <si>
    <t>GXSD000000309</t>
  </si>
  <si>
    <t>28/07/2019</t>
  </si>
  <si>
    <t>晓彬收</t>
  </si>
  <si>
    <t>GXSD000328</t>
  </si>
  <si>
    <t>GXSD000518</t>
  </si>
  <si>
    <t>23/09/2019</t>
  </si>
  <si>
    <t>GXSD000000617</t>
  </si>
  <si>
    <t>07/10/2019</t>
  </si>
  <si>
    <t>GXTH201910070005</t>
  </si>
  <si>
    <t>GXTH201910070006</t>
  </si>
  <si>
    <t>23/10/2019</t>
  </si>
  <si>
    <t>GXTH201910230001</t>
  </si>
  <si>
    <r>
      <t>小包</t>
    </r>
    <r>
      <rPr>
        <sz val="12"/>
        <color indexed="8"/>
        <rFont val="Calibri"/>
        <family val="2"/>
      </rPr>
      <t>1688ibao</t>
    </r>
  </si>
  <si>
    <t>GXSD000001007</t>
  </si>
  <si>
    <t>GXSD000001009</t>
  </si>
  <si>
    <t>05/05/2019</t>
  </si>
  <si>
    <t>GXSD000001164</t>
  </si>
  <si>
    <t>UN19/0685</t>
  </si>
  <si>
    <t>GXSD1192</t>
  </si>
  <si>
    <t>GXSD000001254</t>
  </si>
  <si>
    <t>GXSD000001255</t>
  </si>
  <si>
    <t>11/06/2019</t>
  </si>
  <si>
    <t>11/09/2019</t>
  </si>
  <si>
    <t>GXTH201909100002</t>
  </si>
  <si>
    <t>UN19/1399</t>
  </si>
  <si>
    <t>UN19/1400</t>
  </si>
  <si>
    <t>UN19/1401</t>
  </si>
  <si>
    <t>GXTH201909100006</t>
  </si>
  <si>
    <t>UN19/1402</t>
  </si>
  <si>
    <t>欠小包1688ibao 21.16</t>
  </si>
  <si>
    <t>合计</t>
  </si>
  <si>
    <r>
      <rPr>
        <sz val="12"/>
        <color indexed="8"/>
        <rFont val="宋体"/>
        <family val="3"/>
        <charset val="134"/>
      </rPr>
      <t>应收总账款</t>
    </r>
  </si>
  <si>
    <t>客户名称</t>
  </si>
  <si>
    <t>业务员</t>
  </si>
  <si>
    <t>外岛</t>
  </si>
  <si>
    <t>陈苏勇</t>
  </si>
  <si>
    <t>林显斌</t>
  </si>
  <si>
    <t>MADRID</t>
  </si>
  <si>
    <t>黄子航</t>
  </si>
  <si>
    <t>林晓彬</t>
  </si>
  <si>
    <t>SEVILLA</t>
  </si>
  <si>
    <t>MALAGA</t>
  </si>
  <si>
    <t>PONTEVEDRA</t>
  </si>
  <si>
    <t>ALICANTE</t>
  </si>
  <si>
    <t>VALLADOLID</t>
  </si>
  <si>
    <t>MURCIA</t>
  </si>
  <si>
    <t>CORDOBA</t>
  </si>
  <si>
    <t>VIZCAYA</t>
  </si>
  <si>
    <t>BADAJOZ</t>
  </si>
  <si>
    <t>ASTURIAS</t>
  </si>
  <si>
    <t>GRANADA</t>
  </si>
  <si>
    <t>葡萄牙</t>
  </si>
  <si>
    <t>总计</t>
  </si>
  <si>
    <t>发货日期</t>
  </si>
  <si>
    <t>单号YS/SD</t>
  </si>
  <si>
    <t>金额</t>
  </si>
  <si>
    <t>已付款金额</t>
  </si>
  <si>
    <t>付款方式付款时间</t>
  </si>
  <si>
    <t>收款方式</t>
  </si>
  <si>
    <t>备注</t>
  </si>
  <si>
    <t>2021.8.6</t>
  </si>
  <si>
    <t>银行</t>
  </si>
  <si>
    <t>剩余欠款</t>
  </si>
  <si>
    <t>UE21/0001702</t>
  </si>
  <si>
    <t>AVU22/0000004</t>
  </si>
  <si>
    <t>箱数</t>
  </si>
  <si>
    <t>AUE21/0002496</t>
  </si>
  <si>
    <t>现金</t>
  </si>
  <si>
    <t>AUE22/0000656</t>
  </si>
  <si>
    <t>AUE21/0002556</t>
  </si>
  <si>
    <t>AUE21/0002631</t>
  </si>
  <si>
    <t>AUE21/0002806</t>
  </si>
  <si>
    <t>AUE22/0000051</t>
  </si>
  <si>
    <t>AUE22/0000352</t>
  </si>
  <si>
    <t>AUE22/0000160</t>
  </si>
  <si>
    <t>AUE22/0000439</t>
  </si>
  <si>
    <t>AUE22/0000537</t>
  </si>
  <si>
    <t>AUE22/0000639</t>
  </si>
  <si>
    <t>AUE21/0002515</t>
  </si>
  <si>
    <t>AUE22/0000750</t>
  </si>
  <si>
    <t>AUE21/0001635</t>
  </si>
  <si>
    <t>开了一半的发票</t>
  </si>
  <si>
    <t>AUE21/0001816</t>
  </si>
  <si>
    <t>AUE21/0001635整单再给3%折扣 整单金额10885.5*.03</t>
  </si>
  <si>
    <t>AUE21/0001815</t>
  </si>
  <si>
    <t>AUE21/0001635 ,其中FP1402和9223两个货号的单价调低</t>
  </si>
  <si>
    <t>UE21/0001005</t>
  </si>
  <si>
    <t>UE22/0000114</t>
  </si>
  <si>
    <t>AUE21/0001284</t>
  </si>
  <si>
    <t>AUE21/0002088</t>
  </si>
  <si>
    <t>30折扣 记得提醒有三箱货要放进去</t>
  </si>
  <si>
    <t>AUE21/0002497</t>
  </si>
  <si>
    <t>AUE21/0002903</t>
  </si>
  <si>
    <t>AUE22/0000726</t>
  </si>
  <si>
    <t>AUE21/0001861</t>
  </si>
  <si>
    <t>AUE22/0000141</t>
  </si>
  <si>
    <t>AUE22/0000742</t>
  </si>
  <si>
    <t>AUE21/0002001</t>
  </si>
  <si>
    <t>AUE21/0002054</t>
  </si>
  <si>
    <t>AUE22/0000423</t>
  </si>
  <si>
    <t>AUE22/0000430</t>
  </si>
  <si>
    <t>付款方式</t>
  </si>
  <si>
    <t>付款时间</t>
  </si>
  <si>
    <t>AUE21/0000713</t>
  </si>
  <si>
    <t>2021.7.6</t>
  </si>
  <si>
    <t>UE21/0000719</t>
  </si>
  <si>
    <t>支票</t>
  </si>
  <si>
    <t>UE21/0000836</t>
  </si>
  <si>
    <t>UE21/0001027</t>
  </si>
  <si>
    <t>UE21/0001278</t>
  </si>
  <si>
    <t>UE21/0001475</t>
  </si>
  <si>
    <t>2022.01.14</t>
  </si>
  <si>
    <t>2021.12.09</t>
  </si>
  <si>
    <t>UE21/0001674</t>
  </si>
  <si>
    <t>UE21/0001487</t>
  </si>
  <si>
    <t>UE21/0001739</t>
  </si>
  <si>
    <t>UE22/0000039</t>
  </si>
  <si>
    <t>UE22/0000166</t>
  </si>
  <si>
    <t>2022.02.28</t>
  </si>
  <si>
    <t>UE22/0000315</t>
  </si>
  <si>
    <t>AUE21/0001042</t>
  </si>
  <si>
    <t>AUE21/0001153</t>
  </si>
  <si>
    <t>AUE21/0000403</t>
  </si>
  <si>
    <t>2021.5.26</t>
  </si>
  <si>
    <t>30折扣 部分50 账期2.3.4个月 货改8片网 方案2.0</t>
  </si>
  <si>
    <t>AUE21/0000635</t>
  </si>
  <si>
    <t>AUE21/0000742</t>
  </si>
  <si>
    <t>AUE21/0000897</t>
  </si>
  <si>
    <t>AUE21/0000932</t>
  </si>
  <si>
    <t>AUE21/0001171</t>
  </si>
  <si>
    <t>AUE21/0001194</t>
  </si>
  <si>
    <t>AUE21/0001199</t>
  </si>
  <si>
    <t>UE21/0000645</t>
  </si>
  <si>
    <t>AUE21/0001233</t>
  </si>
  <si>
    <t>AUE21/0001278</t>
  </si>
  <si>
    <t>AUE21/0001294</t>
  </si>
  <si>
    <t>AUE21/0001303</t>
  </si>
  <si>
    <t>2021.10.14</t>
  </si>
  <si>
    <t>AUE21/0001354</t>
  </si>
  <si>
    <t>AUE21/0001372</t>
  </si>
  <si>
    <t>AUE21/0001389</t>
  </si>
  <si>
    <t>AUE21/0001410</t>
  </si>
  <si>
    <t>AUE21/0001419</t>
  </si>
  <si>
    <t>AUE21/0001545</t>
  </si>
  <si>
    <t>AUE21/0001612</t>
  </si>
  <si>
    <t>AUE21/0001656</t>
  </si>
  <si>
    <t>AUE21/0001794</t>
  </si>
  <si>
    <t>2021.9.29</t>
  </si>
  <si>
    <t>AUE21/0001957</t>
  </si>
  <si>
    <t>AUE21/0002002</t>
  </si>
  <si>
    <t>AUE21/0002073</t>
  </si>
  <si>
    <t>威锋调货</t>
  </si>
  <si>
    <t>AUE21/0002148</t>
  </si>
  <si>
    <t>AUE21/0002225</t>
  </si>
  <si>
    <t>AUE21/0002235</t>
  </si>
  <si>
    <t>AUE21/0002303</t>
  </si>
  <si>
    <t>AUE21/0002323</t>
  </si>
  <si>
    <t>2021.11.3</t>
  </si>
  <si>
    <t>AUE21/0002346</t>
  </si>
  <si>
    <t>AUE21/0002361</t>
  </si>
  <si>
    <t>AUE21/0002419</t>
  </si>
  <si>
    <t>AUE21/0002516</t>
  </si>
  <si>
    <t>AUE21/0002559</t>
  </si>
  <si>
    <t>AUE21/0002607</t>
  </si>
  <si>
    <t>2022.1.5</t>
  </si>
  <si>
    <t>AUE21/0002674</t>
  </si>
  <si>
    <t>AUE21/0002680</t>
  </si>
  <si>
    <t>AUE21/0002766</t>
  </si>
  <si>
    <t>AUE21/0002782</t>
  </si>
  <si>
    <t>AUE21/0002908</t>
  </si>
  <si>
    <t>手机壳抵扣</t>
  </si>
  <si>
    <t>AUE21/0002909</t>
  </si>
  <si>
    <t>AUE22/0000019</t>
  </si>
  <si>
    <t>AUE22/0000070</t>
  </si>
  <si>
    <t>AUE22/0000238</t>
  </si>
  <si>
    <t>AUE22/0000309</t>
  </si>
  <si>
    <t>AUE22/0000322</t>
  </si>
  <si>
    <t>AUE22/0000466</t>
  </si>
  <si>
    <t>AUE22/0000540</t>
  </si>
  <si>
    <t>AUE22/0000565</t>
  </si>
  <si>
    <t>AUE22/0000614</t>
  </si>
  <si>
    <t>AUE22/0000615</t>
  </si>
  <si>
    <t>AUE22/0000635</t>
  </si>
  <si>
    <t>AUE22/0000643</t>
  </si>
  <si>
    <t>AUE22/0000699</t>
  </si>
  <si>
    <t>AUE22/0000752</t>
  </si>
  <si>
    <t>AUE20/0001298</t>
  </si>
  <si>
    <t>彬总带回现金</t>
  </si>
  <si>
    <t>2021.3.16</t>
  </si>
  <si>
    <t>30折扣</t>
  </si>
  <si>
    <t>AUE20/0001371</t>
  </si>
  <si>
    <t>30折扣 运费一个点</t>
  </si>
  <si>
    <t>AUE20/0001372</t>
  </si>
  <si>
    <t>少货单 AUE20/0001298</t>
  </si>
  <si>
    <t>UE20/0000553</t>
  </si>
  <si>
    <t>折扣40，加iva,还有货架改造的物料</t>
  </si>
  <si>
    <t>UE20/0000663</t>
  </si>
  <si>
    <t>40折扣 全额aa 银行汇款</t>
  </si>
  <si>
    <t>UE21/0000012</t>
  </si>
  <si>
    <t>40折扣 全额aa</t>
  </si>
  <si>
    <t>UE21/0000200</t>
  </si>
  <si>
    <t>2021.03.15</t>
  </si>
  <si>
    <t>UE21/0000206</t>
  </si>
  <si>
    <t>客人多货，补单 不用拣货 直接复核</t>
  </si>
  <si>
    <t>UE21/0000205</t>
  </si>
  <si>
    <t>UE21/0000293</t>
  </si>
  <si>
    <t>40折扣 开aa</t>
  </si>
  <si>
    <t>UE21/0000349</t>
  </si>
  <si>
    <t>AUE21/0000391</t>
  </si>
  <si>
    <t>30折扣 不开票 超能的老外客人</t>
  </si>
  <si>
    <t>AUE21/0000405</t>
  </si>
  <si>
    <t>AUE21/0000391 超能老外客人 送体验 出退单</t>
  </si>
  <si>
    <t>AUE21/0000414</t>
  </si>
  <si>
    <t>物料漏发 补发 木质音箱体验算超能老外客人的钱 超能自己的不算钱</t>
  </si>
  <si>
    <t>AUE21/0000450</t>
  </si>
  <si>
    <t>补上两个耳机试听配件的小箱，只要小箱</t>
  </si>
  <si>
    <t>AUE21/0000457</t>
  </si>
  <si>
    <t>30折扣 打BULTO /中国人托运公司托</t>
  </si>
  <si>
    <t>2021.3.30</t>
  </si>
  <si>
    <t>UE21/0000330</t>
  </si>
  <si>
    <t>40折扣 超能退货</t>
  </si>
  <si>
    <t>AUE21/0000501</t>
  </si>
  <si>
    <t>30折扣 超能退货</t>
  </si>
  <si>
    <t>AUE21/0000509</t>
  </si>
  <si>
    <t>AUE21/0000510</t>
  </si>
  <si>
    <t>UE21/0000333</t>
  </si>
  <si>
    <t>UE21/0000469</t>
  </si>
  <si>
    <t>UE21/0000521</t>
  </si>
  <si>
    <t>AUE21/0001306</t>
  </si>
  <si>
    <t>AUE21/0001465</t>
  </si>
  <si>
    <t>AUE21/0001467</t>
  </si>
  <si>
    <t>AUE21/0001542</t>
  </si>
  <si>
    <t>AUE21/0001546</t>
  </si>
  <si>
    <t>和另一张的单子一起发</t>
  </si>
  <si>
    <t>AUE21/0001562</t>
  </si>
  <si>
    <t>折扣30，货已抓，此为补单</t>
  </si>
  <si>
    <t>AUE21/0001617</t>
  </si>
  <si>
    <t>补货单，和货单4668放在一起</t>
  </si>
  <si>
    <t>AUE21/0001614</t>
  </si>
  <si>
    <t>折扣30，业务员收现金</t>
  </si>
  <si>
    <t>AUE21/0001814</t>
  </si>
  <si>
    <t>折扣30/表带全部一块二不打折扣 ch9267 价格改九毛 再加折扣</t>
  </si>
  <si>
    <t>AUE21/0001813</t>
  </si>
  <si>
    <t>加单</t>
  </si>
  <si>
    <t>AUE21/0002320</t>
  </si>
  <si>
    <t>AUE21/0002538</t>
  </si>
  <si>
    <t>AUE21/0002746</t>
  </si>
  <si>
    <t>AUE21/0002893</t>
  </si>
  <si>
    <t>AUE22/0000124</t>
  </si>
  <si>
    <t>AUE22/0000357</t>
  </si>
  <si>
    <t>AUE22/0000428</t>
  </si>
  <si>
    <t>AUE22/0000459</t>
  </si>
  <si>
    <t>AUE22/0000562</t>
  </si>
  <si>
    <t>AUE22/0000746</t>
  </si>
  <si>
    <t>3箱</t>
  </si>
  <si>
    <t>林晓斌现金收回</t>
  </si>
  <si>
    <t>出货加退货，平账目</t>
  </si>
  <si>
    <t>1个板</t>
  </si>
  <si>
    <t>2个大货架，西班牙出</t>
  </si>
  <si>
    <t>1箱</t>
  </si>
  <si>
    <t>余文雅现金收回</t>
  </si>
  <si>
    <t>UNI20/0000157</t>
  </si>
  <si>
    <t>AUN20/0000228</t>
  </si>
  <si>
    <t>晓彬现金收回</t>
  </si>
  <si>
    <t>AUE20/0000041</t>
  </si>
  <si>
    <t>补差价单，客户退货的差价5200.31-4608.36=591.95，我们在9月9号，共退了4608.36，其中4379.98其中音响单据加了折扣，所以要去掉折扣，计算出来是4589.89，差价是209.91，</t>
  </si>
  <si>
    <t>AUE20/0000933</t>
  </si>
  <si>
    <t>25折扣 运费一个点/意大利系统导入</t>
  </si>
  <si>
    <t>2020.11.10</t>
  </si>
  <si>
    <t>AUE20/0001306</t>
  </si>
  <si>
    <t>25折扣 运费一个点</t>
  </si>
  <si>
    <t>缺货，音响差价，BS1242war drum II, big Bluetooth speaker,black，两个</t>
  </si>
  <si>
    <t>AUE21/0000099</t>
  </si>
  <si>
    <t>意大利销售，西班牙代收货款AUN20/0000228</t>
  </si>
  <si>
    <t>2021.01.25</t>
  </si>
  <si>
    <t>AUE21/0000137</t>
  </si>
  <si>
    <t>25折扣 运费一个点/友购上传</t>
  </si>
  <si>
    <t>AUE21/0000448</t>
  </si>
  <si>
    <t>2021.3.26</t>
  </si>
  <si>
    <t>AUE21/0000486</t>
  </si>
  <si>
    <t>25折扣 三盛退货</t>
  </si>
  <si>
    <t>AUE21/0000487</t>
  </si>
  <si>
    <t>AUE21/0000488</t>
  </si>
  <si>
    <t>AUE21/0000489</t>
  </si>
  <si>
    <t>AUE21/0000490</t>
  </si>
  <si>
    <t>AUE21/0000491</t>
  </si>
  <si>
    <t>AUE21/0000492</t>
  </si>
  <si>
    <t>AUE21/0000493</t>
  </si>
  <si>
    <t>AUE21/0000735</t>
  </si>
  <si>
    <t>和三盛核对之后，少掉各自承担一半的退单，没有明细</t>
  </si>
  <si>
    <t>AUE21/0000819</t>
  </si>
  <si>
    <t>AUE21/0000955</t>
  </si>
  <si>
    <t>AUE21/0001192</t>
  </si>
  <si>
    <t>AUE21/0001310</t>
  </si>
  <si>
    <t>缺货，手工帐在今年年初已经有了，现在补上， 不用再记在手工帐上。音响差价</t>
  </si>
  <si>
    <t>AUE21/0001539</t>
  </si>
  <si>
    <t>AUE21/0001638</t>
  </si>
  <si>
    <t>AUE22/0000483</t>
  </si>
  <si>
    <t>UE22/0000292</t>
  </si>
  <si>
    <t>AUE22/0000542</t>
  </si>
  <si>
    <t>AUE21/0001092</t>
  </si>
  <si>
    <t>2021.7.22</t>
  </si>
  <si>
    <t>AUE21/0001017</t>
  </si>
  <si>
    <t>AUE21/0001286</t>
  </si>
  <si>
    <t>AUE21/0001399</t>
  </si>
  <si>
    <t>AUE21/0001584</t>
  </si>
  <si>
    <t>客户退回</t>
  </si>
  <si>
    <t>AUE21/0001586</t>
  </si>
  <si>
    <t>无法使用，客户退回</t>
  </si>
  <si>
    <t>AUE21/0001851</t>
  </si>
  <si>
    <t>AUE21/0002214</t>
  </si>
  <si>
    <t>AUE21/0002231</t>
  </si>
  <si>
    <t>2021.10.25</t>
  </si>
  <si>
    <t>AUE21/0002249</t>
  </si>
  <si>
    <t>AUE21/0002250</t>
  </si>
  <si>
    <t>AUE21/0002360</t>
  </si>
  <si>
    <t>AUE21/0002714</t>
  </si>
  <si>
    <t>AUE21/0002894</t>
  </si>
  <si>
    <t>AUE22/0000002</t>
  </si>
  <si>
    <t>AUE22/0000222</t>
  </si>
  <si>
    <t>AUE22/0000629</t>
  </si>
  <si>
    <t>AUE21/0001016</t>
  </si>
  <si>
    <t>AUE21/0001355</t>
  </si>
  <si>
    <t>AUE21/0001663</t>
  </si>
  <si>
    <t>AUE21/0001799</t>
  </si>
  <si>
    <t>AUE21/0001837</t>
  </si>
  <si>
    <t>其他抵扣</t>
  </si>
  <si>
    <t>AUE21/0002230</t>
  </si>
  <si>
    <t>AUE21/0002634</t>
  </si>
  <si>
    <t>AUE21/0002788</t>
  </si>
  <si>
    <t>AUE21/0002789</t>
  </si>
  <si>
    <t>AUE21/0002901</t>
  </si>
  <si>
    <t>AUE22/0000210</t>
  </si>
  <si>
    <t>AUE22/0000330</t>
  </si>
  <si>
    <t>AUE22/0000559</t>
  </si>
  <si>
    <t>AUE21/0000499</t>
  </si>
  <si>
    <t xml:space="preserve"> 
30折扣 运费一个点 方正</t>
  </si>
  <si>
    <t>AUE21/0000523</t>
  </si>
  <si>
    <t>AUE21/0000581</t>
  </si>
  <si>
    <t>AUE21/0000724</t>
  </si>
  <si>
    <t>AUE21/0000815</t>
  </si>
  <si>
    <t>AUE21/0000847</t>
  </si>
  <si>
    <t>AUE21/0001336</t>
  </si>
  <si>
    <t>AUE21/0001674</t>
  </si>
  <si>
    <t>AUE21/0002229</t>
  </si>
  <si>
    <t>AUE21/0002255</t>
  </si>
  <si>
    <t>AUE21/0002386</t>
  </si>
  <si>
    <t>AUE21/0002650</t>
  </si>
  <si>
    <t>AUE21/0002748</t>
  </si>
  <si>
    <t>2021.12.16</t>
  </si>
  <si>
    <t>AUE21/0002826</t>
  </si>
  <si>
    <t>AUE22/0000180</t>
  </si>
  <si>
    <t>AUE22/0000278</t>
  </si>
  <si>
    <t>AUE22/0000426</t>
  </si>
  <si>
    <t>AUE22/0000543</t>
  </si>
  <si>
    <t>AUE22/0000552</t>
  </si>
  <si>
    <t>AUE22/0000632</t>
  </si>
  <si>
    <t>AUE22/0000634</t>
  </si>
  <si>
    <t>绪龙收现金</t>
  </si>
  <si>
    <t>25折扣，2个月账期</t>
  </si>
  <si>
    <t>25折扣，不开票，发佳泰。</t>
  </si>
  <si>
    <t>现金收款，孝权交给阿南</t>
  </si>
  <si>
    <t>AUE20/0000025</t>
  </si>
  <si>
    <t>AUE20/276</t>
  </si>
  <si>
    <t>退货，退到意大利</t>
  </si>
  <si>
    <t>GXSD000001369</t>
  </si>
  <si>
    <t>由西班牙发货 25折扣 运费一个点 业务员出</t>
  </si>
  <si>
    <t>AUE20/0000950</t>
  </si>
  <si>
    <t>银行转账</t>
  </si>
  <si>
    <t>25折扣 发中国人托运公司/拖嘉泰</t>
  </si>
  <si>
    <t xml:space="preserve"> AUE21/0000477</t>
  </si>
  <si>
    <t>加货 25折扣</t>
  </si>
  <si>
    <t>AUE21/0000495</t>
  </si>
  <si>
    <t>AUE21/0000511</t>
  </si>
  <si>
    <t>AUE21/0000512</t>
  </si>
  <si>
    <t>AUE21/0000645</t>
  </si>
  <si>
    <t>AUE21/0000757</t>
  </si>
  <si>
    <t>AUE21/0000925</t>
  </si>
  <si>
    <t>AUE21/0000968</t>
  </si>
  <si>
    <t>AUE21/0001002</t>
  </si>
  <si>
    <t>AUE21/0001009</t>
  </si>
  <si>
    <t>AUE21/0001186</t>
  </si>
  <si>
    <t>AUE21/0001249</t>
  </si>
  <si>
    <t>AUE21/0001359</t>
  </si>
  <si>
    <t>AUE21/0001414</t>
  </si>
  <si>
    <t>AUE21/0001592</t>
  </si>
  <si>
    <t>AUE21/0001644</t>
  </si>
  <si>
    <t>AUE21/0001645</t>
  </si>
  <si>
    <t>AUE21/0001648</t>
  </si>
  <si>
    <t>AUE21/0001895</t>
  </si>
  <si>
    <t>AUE21/0002227</t>
  </si>
  <si>
    <t>AUE21/0002422</t>
  </si>
  <si>
    <t>AUE21/0002735</t>
  </si>
  <si>
    <t>AUE21/0002831</t>
  </si>
  <si>
    <t>2021.12.30</t>
  </si>
  <si>
    <t>AUE21/0002919</t>
  </si>
  <si>
    <t>AUE22/0000223</t>
  </si>
  <si>
    <t>AUE22/0000495</t>
  </si>
  <si>
    <t>AUE22/0000627</t>
  </si>
  <si>
    <t>AUE22/0000644</t>
  </si>
  <si>
    <t>差价</t>
  </si>
  <si>
    <t>西班牙开发票</t>
  </si>
  <si>
    <t>银行汇款</t>
  </si>
  <si>
    <t>AUE20/0000423</t>
  </si>
  <si>
    <t>退单</t>
  </si>
  <si>
    <t>UE20/0000185</t>
  </si>
  <si>
    <t>AUE20/0000601</t>
  </si>
  <si>
    <t>AUE20/0000662</t>
  </si>
  <si>
    <t>扣业务员佣金50</t>
  </si>
  <si>
    <t>AUE20/0000771</t>
  </si>
  <si>
    <t>25折扣 不开票</t>
  </si>
  <si>
    <t>UE21/0000793</t>
  </si>
  <si>
    <t>UE21/0001744</t>
  </si>
  <si>
    <t>2020.02.20</t>
  </si>
  <si>
    <t>GXSD000003676</t>
  </si>
  <si>
    <t>2020.05.20</t>
  </si>
  <si>
    <t>AUE20/0000280</t>
  </si>
  <si>
    <t>AUE20/0000281</t>
  </si>
  <si>
    <t>AUN20/0000437</t>
  </si>
  <si>
    <t>AUN20/0000438</t>
  </si>
  <si>
    <t>2020.08.04</t>
  </si>
  <si>
    <t>AUE20/0000447</t>
  </si>
  <si>
    <t xml:space="preserve"> 
AUE20/0000448</t>
  </si>
  <si>
    <t>AUE20/0000603</t>
  </si>
  <si>
    <t>AUE20/0000746</t>
  </si>
  <si>
    <t>30折扣 运费一个点 到货立马发货 西班牙发货</t>
  </si>
  <si>
    <t>AUE20/0001102</t>
  </si>
  <si>
    <t>30折扣 业务员收款 西班牙发货</t>
  </si>
  <si>
    <t>2020.11.12</t>
  </si>
  <si>
    <t>AUE20/0001325</t>
  </si>
  <si>
    <t>缺货单/30折扣 运费1个点</t>
  </si>
  <si>
    <t>AUE20/0001367</t>
  </si>
  <si>
    <t xml:space="preserve"> 
AUE20/0001501</t>
  </si>
  <si>
    <t>30折扣 运费一个点/ERIC 帮我打折30</t>
  </si>
  <si>
    <t>AUE21/0000015</t>
  </si>
  <si>
    <t xml:space="preserve"> AUE21/0000245</t>
  </si>
  <si>
    <t>AUE21/0000500</t>
  </si>
  <si>
    <t>tws仿苹果 给40折扣 其余商品30折扣 运费一个点</t>
  </si>
  <si>
    <t>AUE21/0000649</t>
  </si>
  <si>
    <t>AUE21/0000650</t>
  </si>
  <si>
    <t>AUE21/0000692</t>
  </si>
  <si>
    <t>AUE21/0000711</t>
  </si>
  <si>
    <t>AUE21/0000883</t>
  </si>
  <si>
    <t>AUE21/0000969</t>
  </si>
  <si>
    <t>AUE21/0001063</t>
  </si>
  <si>
    <t>AUE21/0001114</t>
  </si>
  <si>
    <t>AUE21/0001115</t>
  </si>
  <si>
    <t>AUE21/0001136</t>
  </si>
  <si>
    <t>AUE21/0001169</t>
  </si>
  <si>
    <t>AUE21/0001197</t>
  </si>
  <si>
    <t>AUE21/0001324</t>
  </si>
  <si>
    <t>AUE21/0001352</t>
  </si>
  <si>
    <t>AUE21/1324 产品EP9284 50个产品打折扣10%</t>
  </si>
  <si>
    <t>AUE21/0001365</t>
  </si>
  <si>
    <t>为了和手工帐账目平掉，做了此单，没有商品，不用再重复做在手工账目上</t>
  </si>
  <si>
    <t>AUE21/0001395</t>
  </si>
  <si>
    <t>AUE21/0001405</t>
  </si>
  <si>
    <t>AUE21/0001417</t>
  </si>
  <si>
    <t>AUE21/0001420</t>
  </si>
  <si>
    <t>补货单，原单AUE21/0001417,不用抓货</t>
  </si>
  <si>
    <t>AUE21/0001651</t>
  </si>
  <si>
    <t>AUE21/0001726</t>
  </si>
  <si>
    <t>AUE21/0001756</t>
  </si>
  <si>
    <t>AUE21/0001776</t>
  </si>
  <si>
    <t>单号AUE21/1756其中一款产品折扣40%，原单只有30%现在补上</t>
  </si>
  <si>
    <t>AUE21/0001981</t>
  </si>
  <si>
    <t>AUE21/0002063</t>
  </si>
  <si>
    <t>新世纪调货</t>
  </si>
  <si>
    <t>AUE21/0002074</t>
  </si>
  <si>
    <t>AUE21/0002146</t>
  </si>
  <si>
    <t>AUE21/0002325</t>
  </si>
  <si>
    <t>AUE21/0002507</t>
  </si>
  <si>
    <t>AUE21/0002646</t>
  </si>
  <si>
    <t>AUE21/0002918</t>
  </si>
  <si>
    <t>AUE22/0000174</t>
  </si>
  <si>
    <t>AUE22/0000193</t>
  </si>
  <si>
    <t>AUE22/0000398</t>
  </si>
  <si>
    <t>AUE22/0000469</t>
  </si>
  <si>
    <t>AUE22/0000470</t>
  </si>
  <si>
    <t>AUE22/0000471</t>
  </si>
  <si>
    <t>AUE22/0000472</t>
  </si>
  <si>
    <t>AUE22/0000474</t>
  </si>
  <si>
    <t>AUE22/0000477</t>
  </si>
  <si>
    <t>AUE22/0000589</t>
  </si>
  <si>
    <t>AUE22/0000592</t>
  </si>
  <si>
    <t>AUE22/0000593</t>
  </si>
  <si>
    <t>林晓斌收现金</t>
  </si>
  <si>
    <t>2020.8.20</t>
  </si>
  <si>
    <t>09.12.2020</t>
  </si>
  <si>
    <t>24.03.2021</t>
  </si>
  <si>
    <t>2021.05.4</t>
  </si>
  <si>
    <t>彬总交货款</t>
  </si>
  <si>
    <t>2021.7.5</t>
  </si>
  <si>
    <t>2021.8.24</t>
  </si>
  <si>
    <t>AUE20/0000347</t>
  </si>
  <si>
    <t>badajoz，中国人托运公司发货</t>
  </si>
  <si>
    <t>AUE21/0000404</t>
  </si>
  <si>
    <t>30折扣 manolo 发货</t>
  </si>
  <si>
    <t>AUE21/0000772</t>
  </si>
  <si>
    <t>AUE21/0000950</t>
  </si>
  <si>
    <t>AUE21/0000951</t>
  </si>
  <si>
    <t>AUE21/0000952</t>
  </si>
  <si>
    <t>AUE21/0000953</t>
  </si>
  <si>
    <t>2021.11.5</t>
  </si>
  <si>
    <t>AUE21/0001272</t>
  </si>
  <si>
    <t>AUE21/0001647</t>
  </si>
  <si>
    <t>AUE21/0001649</t>
  </si>
  <si>
    <t>AUE21/0002251</t>
  </si>
  <si>
    <t>AUE22/0000158</t>
  </si>
  <si>
    <t>AUE22/0000251</t>
  </si>
  <si>
    <t>AUE22/0000673</t>
  </si>
  <si>
    <t>AUE22/0000724</t>
  </si>
  <si>
    <t>AUE21/0000547</t>
  </si>
  <si>
    <t>AUE21/0001730</t>
  </si>
  <si>
    <t>AUE21/0001853</t>
  </si>
  <si>
    <t>AUE21/0001892</t>
  </si>
  <si>
    <t>AUE21/0002905</t>
  </si>
  <si>
    <t>AUE22/0000162</t>
  </si>
  <si>
    <t>AUE22/0000657</t>
  </si>
  <si>
    <t>AUE21/0001043</t>
  </si>
  <si>
    <t>AUE21/0001046</t>
  </si>
  <si>
    <t>AUE21/0001155</t>
  </si>
  <si>
    <t>AUE21/0001183</t>
  </si>
  <si>
    <t>AUE21/0001209</t>
  </si>
  <si>
    <t>AUE21/0001292</t>
  </si>
  <si>
    <t>AUE21/0001316</t>
  </si>
  <si>
    <t>AUE21/0001317</t>
  </si>
  <si>
    <t>AUE21/0001341</t>
  </si>
  <si>
    <t>AUE21/0001369</t>
  </si>
  <si>
    <t>AUE21/0001440</t>
  </si>
  <si>
    <t>AUE21/0001501</t>
  </si>
  <si>
    <t>AUE21/0001631</t>
  </si>
  <si>
    <t>AUE21/0001634</t>
  </si>
  <si>
    <t>AUE21/0002069</t>
  </si>
  <si>
    <t>折扣25，通知财务打rappel</t>
  </si>
  <si>
    <t>AUE21/0002081</t>
  </si>
  <si>
    <t>AUE21/0002069折扣 货单显示25 特殊销售单 减去货单的0.066</t>
  </si>
  <si>
    <t>2021.10.11</t>
  </si>
  <si>
    <t>AUE21/0002141</t>
  </si>
  <si>
    <t>AUE21/0002259</t>
  </si>
  <si>
    <t>AUE21/0002260</t>
  </si>
  <si>
    <t>AUE21/0002261</t>
  </si>
  <si>
    <t>AUE21/0002379</t>
  </si>
  <si>
    <t>AUE21/0002657</t>
  </si>
  <si>
    <t>AUE21/0002379折扣 货单显示25 特殊销售单 减去货单的0.066</t>
  </si>
  <si>
    <t>AUE21/0002761</t>
  </si>
  <si>
    <t>AUE21/0002755</t>
  </si>
  <si>
    <t>AUE21/0002804</t>
  </si>
  <si>
    <t>AUE21/0002897</t>
  </si>
  <si>
    <t>AUE21/0002924</t>
  </si>
  <si>
    <t>AUE22/0000116</t>
  </si>
  <si>
    <t>AUE22/0000125</t>
  </si>
  <si>
    <t>AUE22/0000205</t>
  </si>
  <si>
    <t>AUE22/0000375</t>
  </si>
  <si>
    <t>AUE22/0000489</t>
  </si>
  <si>
    <t>AUE22/0000546</t>
  </si>
  <si>
    <t>AUE22/0000599</t>
  </si>
  <si>
    <t>补AUE21/0002761 特殊折扣0.066</t>
  </si>
  <si>
    <t>AUE22/0000600</t>
  </si>
  <si>
    <t>补AUE21/0002804 特殊折扣0.066</t>
  </si>
  <si>
    <t>AUE22/0000601</t>
  </si>
  <si>
    <t>补AUE21/0002897 特殊折扣0.066</t>
  </si>
  <si>
    <t>AUE22/0000602</t>
  </si>
  <si>
    <t>补AUE22/0000125 特殊折扣0.066</t>
  </si>
  <si>
    <t>AUE22/0000603</t>
  </si>
  <si>
    <t>补AUE22/0000205 特殊折扣0.066</t>
  </si>
  <si>
    <t>AUE22/0000604</t>
  </si>
  <si>
    <t>补AUE22/0000375 特殊折扣0.066</t>
  </si>
  <si>
    <t>AUE22/0000605</t>
  </si>
  <si>
    <t>补AUE22/0000489 特殊折扣0.066</t>
  </si>
  <si>
    <t>AUE22/0000606</t>
  </si>
  <si>
    <t>AUE22/0000659</t>
  </si>
  <si>
    <t>5月9号</t>
  </si>
  <si>
    <t>2个月后收-1w的金额.意大利发票开50%</t>
  </si>
  <si>
    <t>6月5号</t>
  </si>
  <si>
    <t>银行转意大利</t>
  </si>
  <si>
    <t>客户汇款到意大利</t>
  </si>
  <si>
    <t>6月27</t>
  </si>
  <si>
    <t>6月19号</t>
  </si>
  <si>
    <t>5月份之前结清（算上支票和退货）</t>
  </si>
  <si>
    <t>9月4号</t>
  </si>
  <si>
    <t>9月26号</t>
  </si>
  <si>
    <t>存支票</t>
  </si>
  <si>
    <t>UE19/0259</t>
  </si>
  <si>
    <t>等3月3号到货</t>
  </si>
  <si>
    <t>10月</t>
  </si>
  <si>
    <t>2箱</t>
  </si>
  <si>
    <t>4箱</t>
  </si>
  <si>
    <t>xulong收现金</t>
  </si>
  <si>
    <t>3箱 西班牙发货</t>
  </si>
  <si>
    <t>存入支票</t>
  </si>
  <si>
    <t>2箱 西班牙发货</t>
  </si>
  <si>
    <t>4箱 西班牙发货</t>
  </si>
  <si>
    <t>3箱 发佳泰</t>
  </si>
  <si>
    <t>2箱 发佳泰</t>
  </si>
  <si>
    <t>1箱 发佳泰</t>
  </si>
  <si>
    <t>13/02/2020</t>
  </si>
  <si>
    <t>晓彬收现金</t>
  </si>
  <si>
    <t>1/06/2020</t>
  </si>
  <si>
    <t>08/06/2020</t>
  </si>
  <si>
    <t>收现金</t>
  </si>
  <si>
    <t>AUN19/0001052</t>
  </si>
  <si>
    <t>19/07/2020</t>
  </si>
  <si>
    <t>林晓彬收现金</t>
  </si>
  <si>
    <t>AUN20/000036</t>
  </si>
  <si>
    <t>AUN20/000070</t>
  </si>
  <si>
    <t>AUN20/000277</t>
  </si>
  <si>
    <t>UN20/0000346</t>
  </si>
  <si>
    <t>13/03/2020</t>
  </si>
  <si>
    <t>04/08/2020</t>
  </si>
  <si>
    <t>AUN20/0000231</t>
  </si>
  <si>
    <t>13/08/2020</t>
  </si>
  <si>
    <t>AUE20/0000032</t>
  </si>
  <si>
    <t>07/09/2020</t>
  </si>
  <si>
    <t>AUE20/0000037</t>
  </si>
  <si>
    <t>AUE20/0000054</t>
  </si>
  <si>
    <t>AUE20/0000055</t>
  </si>
  <si>
    <t>林晓彬收支票（06/10可存）</t>
  </si>
  <si>
    <t>AUE20/0000000</t>
  </si>
  <si>
    <t>西班牙</t>
  </si>
  <si>
    <t>23/10/2020</t>
  </si>
  <si>
    <t>AUE20/0000311</t>
  </si>
  <si>
    <t>AUN20/0000540</t>
  </si>
  <si>
    <t>17/12/2020</t>
  </si>
  <si>
    <t>支票存入</t>
  </si>
  <si>
    <t>AUE20/0000513</t>
  </si>
  <si>
    <t>AUE20/0000676</t>
  </si>
  <si>
    <t>西班牙发货，30折扣 运费一个点</t>
  </si>
  <si>
    <t>30/12/2020</t>
  </si>
  <si>
    <t>AUE20/0000879</t>
  </si>
  <si>
    <t>20/01/2021</t>
  </si>
  <si>
    <t>AUE20/0001092</t>
  </si>
  <si>
    <t>AUE20/0001132</t>
  </si>
  <si>
    <t>27/01/2021</t>
  </si>
  <si>
    <t>AUE20/0001252</t>
  </si>
  <si>
    <t>2020.11.13</t>
  </si>
  <si>
    <t>AUE20/0001331</t>
  </si>
  <si>
    <t>AUE20/0001360</t>
  </si>
  <si>
    <t>02/02/2021</t>
  </si>
  <si>
    <t>AUE20/0001563</t>
  </si>
  <si>
    <t>AUE21/0000036</t>
  </si>
  <si>
    <t>AUE21/0000100</t>
  </si>
  <si>
    <t>1067.05不算在欠款里面</t>
  </si>
  <si>
    <t>意大利销售，西班牙代收货款UN20/0000346</t>
  </si>
  <si>
    <t>AUE21/0000164</t>
  </si>
  <si>
    <t>AUE21/0000222</t>
  </si>
  <si>
    <t>AUE21/0000270</t>
  </si>
  <si>
    <t>AUE21/0000271</t>
  </si>
  <si>
    <t>AUE21/0000304</t>
  </si>
  <si>
    <t>AUE21/0000449</t>
  </si>
  <si>
    <t>AUE21/0000593</t>
  </si>
  <si>
    <t>AUE21/0000625</t>
  </si>
  <si>
    <t>AUE21/0000718</t>
  </si>
  <si>
    <t>AUE21/0000773</t>
  </si>
  <si>
    <t>AUE21/0000845</t>
  </si>
  <si>
    <t>AUE21/0001064</t>
  </si>
  <si>
    <t>AUE21/0001193</t>
  </si>
  <si>
    <t>AUE21/0001345</t>
  </si>
  <si>
    <t>AUE21/0001346</t>
  </si>
  <si>
    <t>AUE21/0001367</t>
  </si>
  <si>
    <t>手工帐和系统保持一致，不用在记录一次在手工帐</t>
  </si>
  <si>
    <t>AUE21/0001370</t>
  </si>
  <si>
    <t>AUE21/0001393</t>
  </si>
  <si>
    <t>AUE21/0001394</t>
  </si>
  <si>
    <t>AUE21/0001462</t>
  </si>
  <si>
    <t>AUE21/0001594</t>
  </si>
  <si>
    <t>AUE21/0001596</t>
  </si>
  <si>
    <t>2021.11.16</t>
  </si>
  <si>
    <t>AUE21/0001606</t>
  </si>
  <si>
    <t>AUE21/0001840</t>
  </si>
  <si>
    <t>AUE21/0002137</t>
  </si>
  <si>
    <t>AUE21/0002254</t>
  </si>
  <si>
    <t>AUE21/0002297</t>
  </si>
  <si>
    <t>AUE21/0002620</t>
  </si>
  <si>
    <t>AUE21/0002722</t>
  </si>
  <si>
    <t>AUE21/0002767</t>
  </si>
  <si>
    <t>AUE21/0002862</t>
  </si>
  <si>
    <t>AUE21/0002863</t>
  </si>
  <si>
    <t>AUE21/0002890</t>
  </si>
  <si>
    <t>AUE21/0002892</t>
  </si>
  <si>
    <t>AUE22/0000133</t>
  </si>
  <si>
    <t>AUE22/0000197</t>
  </si>
  <si>
    <t>AUE22/0000233</t>
  </si>
  <si>
    <t>AUE22/0000377</t>
  </si>
  <si>
    <t>AUE22/0000623</t>
  </si>
  <si>
    <t>AUE22/0000666</t>
  </si>
  <si>
    <t>AUE22/0000723</t>
  </si>
  <si>
    <t>25折，货改3片网，账期2个月，佣金3个点；25折扣 货改3片网157 佣金3个点</t>
  </si>
  <si>
    <t>AUE21/0000577</t>
  </si>
  <si>
    <t>AUE21/0000846</t>
  </si>
  <si>
    <t>欠款合计</t>
  </si>
  <si>
    <t>上次漏掉的欠单</t>
  </si>
  <si>
    <t>4月10号</t>
  </si>
  <si>
    <t>提醒客人上次有张欠单33.14</t>
  </si>
  <si>
    <t>7月26号</t>
  </si>
  <si>
    <t>西班牙系统内订单</t>
  </si>
  <si>
    <t>意大利系统内订单</t>
  </si>
  <si>
    <t>2020年6月8号</t>
  </si>
  <si>
    <t>缺货单 西班牙发货</t>
  </si>
  <si>
    <t>发佳泰 程思琪补货</t>
  </si>
  <si>
    <t>2020年7月28号</t>
  </si>
  <si>
    <t>银行汇款，发票号UE19/0278</t>
  </si>
  <si>
    <t>AUN20/0000202</t>
  </si>
  <si>
    <t>银行汇款，发票号UE20/0227</t>
  </si>
  <si>
    <t>UN20/0000569</t>
  </si>
  <si>
    <t>2020.08.05</t>
  </si>
  <si>
    <t>AUN20/0000547</t>
  </si>
  <si>
    <t>银行汇款，发票号UE20/0228</t>
  </si>
  <si>
    <t>AUE20/0000036</t>
  </si>
  <si>
    <t>汇款至意大利，发票号Un20/0569</t>
  </si>
  <si>
    <t>银行汇款，发票号UE20/0000633</t>
  </si>
  <si>
    <t>2020.06.11</t>
  </si>
  <si>
    <t>AUE20/0000105</t>
  </si>
  <si>
    <t>AUE20/0000101</t>
  </si>
  <si>
    <t>2020.07.09</t>
  </si>
  <si>
    <t>AUE20/0000294</t>
  </si>
  <si>
    <t>2021.3.21</t>
  </si>
  <si>
    <t>彬总现金收款</t>
  </si>
  <si>
    <t>AUE20/0000449</t>
  </si>
  <si>
    <t>AUE20/0000450</t>
  </si>
  <si>
    <t>AUE20/0000451</t>
  </si>
  <si>
    <t>AUE20/0000535</t>
  </si>
  <si>
    <t>3704欧货物运费</t>
  </si>
  <si>
    <t>2020.09.25</t>
  </si>
  <si>
    <t>AUE20/0000921</t>
  </si>
  <si>
    <t>AUE20/0001327</t>
  </si>
  <si>
    <t>AUE20/0001328</t>
  </si>
  <si>
    <t>AUE20/0001332</t>
  </si>
  <si>
    <t>意大利销售退回西班牙</t>
  </si>
  <si>
    <t>2020.12.14</t>
  </si>
  <si>
    <t>AUE20/0001477</t>
  </si>
  <si>
    <t xml:space="preserve"> 
30折扣 运费一个点</t>
  </si>
  <si>
    <t>2021.01.22</t>
  </si>
  <si>
    <t>AUE21/0000101</t>
  </si>
  <si>
    <t>2341.62不算在欠款表格里</t>
  </si>
  <si>
    <t>意大利销售，西班牙代收AUN20/0000547</t>
  </si>
  <si>
    <t>AUE21/0000118</t>
  </si>
  <si>
    <t>30折扣 运费一个点/意大利系统导入 金总看一下</t>
  </si>
  <si>
    <t>2021.02.22</t>
  </si>
  <si>
    <t>AUE21/0000259</t>
  </si>
  <si>
    <t xml:space="preserve"> AUE21/0000386</t>
  </si>
  <si>
    <t>AUE21/0000431</t>
  </si>
  <si>
    <t>阿金带现金，尾数结算掉</t>
  </si>
  <si>
    <t>AUE21/0000459</t>
  </si>
  <si>
    <t>AUE21/0000460</t>
  </si>
  <si>
    <t>AUE21/0000461</t>
  </si>
  <si>
    <t>AUE21/0000462</t>
  </si>
  <si>
    <t>AUE21/0000463</t>
  </si>
  <si>
    <t>AUE21/0000464</t>
  </si>
  <si>
    <t>AUE21/0000465</t>
  </si>
  <si>
    <t>AUE21/0000466</t>
  </si>
  <si>
    <t>AUE21/0000467</t>
  </si>
  <si>
    <t>AUE21/0000468</t>
  </si>
  <si>
    <t>AUE21/0000469</t>
  </si>
  <si>
    <t>AUE21/0000470</t>
  </si>
  <si>
    <t>AUE21/0000471</t>
  </si>
  <si>
    <t>AUE21/0000472</t>
  </si>
  <si>
    <t>AUE21/0000473</t>
  </si>
  <si>
    <t>AUE21/0000478</t>
  </si>
  <si>
    <t>AUE21/0000479</t>
  </si>
  <si>
    <t>AUE21/0000480</t>
  </si>
  <si>
    <t>AUE21/0000481</t>
  </si>
  <si>
    <t>AUE21/0000482</t>
  </si>
  <si>
    <t>AUE21/0000483</t>
  </si>
  <si>
    <t>AUE21/0000484</t>
  </si>
  <si>
    <t>AUE21/0000485</t>
  </si>
  <si>
    <t>AUE21/0000857</t>
  </si>
  <si>
    <t>AUE21/0000858</t>
  </si>
  <si>
    <t>AUE21/0000921</t>
  </si>
  <si>
    <t>2021.6.22</t>
  </si>
  <si>
    <t>AUE21/0001181</t>
  </si>
  <si>
    <t>AUE21/0001267</t>
  </si>
  <si>
    <t>AUE21/0001296</t>
  </si>
  <si>
    <t>AUE21/0001362</t>
  </si>
  <si>
    <t>AUE21/0001470</t>
  </si>
  <si>
    <t>AUE21/0001723</t>
  </si>
  <si>
    <t>AUE21/0001950</t>
  </si>
  <si>
    <t>AUE21/0001952</t>
  </si>
  <si>
    <t>AUE21/0001972</t>
  </si>
  <si>
    <t>AUE21/0002240</t>
  </si>
  <si>
    <t>AUE21/0002572</t>
  </si>
  <si>
    <t>AUE21/0002764</t>
  </si>
  <si>
    <t>AUE21/0002881</t>
  </si>
  <si>
    <t>AUE22/0000122</t>
  </si>
  <si>
    <t>AUE22/0000424</t>
  </si>
  <si>
    <t>AUE22/0000556</t>
  </si>
  <si>
    <t>AUE22/0000730</t>
  </si>
  <si>
    <t>AUE21/0000119</t>
  </si>
  <si>
    <t>AUE21/0000442</t>
  </si>
  <si>
    <t>AUE21/0000443</t>
  </si>
  <si>
    <t>AUE21/0000444</t>
  </si>
  <si>
    <t>AUE21/0000908</t>
  </si>
  <si>
    <t>AUE22/0000313</t>
  </si>
  <si>
    <t>AUE22/0000314</t>
  </si>
  <si>
    <t>AUE22/0000359</t>
  </si>
  <si>
    <t>AUE22/0000360</t>
  </si>
  <si>
    <t>UE22/0000081</t>
  </si>
  <si>
    <t>UE22/0000135</t>
  </si>
  <si>
    <t>UE22/0000197</t>
  </si>
  <si>
    <t>UE22/0000269</t>
  </si>
  <si>
    <t>AUE21/0001366</t>
  </si>
  <si>
    <t>AUE21/0001400</t>
  </si>
  <si>
    <t>AUE21/0001412</t>
  </si>
  <si>
    <t>AUE21/0002161</t>
  </si>
  <si>
    <t>UE21/0001372</t>
  </si>
  <si>
    <t>AUE21/0002459</t>
  </si>
  <si>
    <t>AUE21/0002482</t>
  </si>
  <si>
    <t>UE21/0001503</t>
  </si>
  <si>
    <t>AUE21/0002484</t>
  </si>
  <si>
    <t>AUE21/0002485</t>
  </si>
  <si>
    <t>AUE22/0000001</t>
  </si>
  <si>
    <t>AUE22/0000183</t>
  </si>
  <si>
    <t>AUE20/0000399</t>
  </si>
  <si>
    <t>AUE20/0000663</t>
  </si>
  <si>
    <t>AUE20/0001453</t>
  </si>
  <si>
    <t>24折，现金非垫付</t>
  </si>
  <si>
    <t>AUE21/0000280</t>
  </si>
  <si>
    <t>24折，业务员收款</t>
  </si>
  <si>
    <t>AUE21/0000408</t>
  </si>
  <si>
    <t>AUE21/0000585</t>
  </si>
  <si>
    <t>AUE21/0000737</t>
  </si>
  <si>
    <t>AUE21/0001217</t>
  </si>
  <si>
    <t>AUE21/0001218</t>
  </si>
  <si>
    <t>AUE21/0001219</t>
  </si>
  <si>
    <t>AUE21/0001513</t>
  </si>
  <si>
    <t>AUE21/0001737</t>
  </si>
  <si>
    <t>AUE21/0001946</t>
  </si>
  <si>
    <t>AUE21/0002256</t>
  </si>
  <si>
    <t>AUE21/0002566</t>
  </si>
  <si>
    <t>AUE21/0002823</t>
  </si>
  <si>
    <t>AUE22/0000108</t>
  </si>
  <si>
    <t>AUE22/0000308</t>
  </si>
  <si>
    <t>开发票部分</t>
  </si>
  <si>
    <t>23.11.2020</t>
  </si>
  <si>
    <t>晓彬现金收回西班牙</t>
  </si>
  <si>
    <t>19.02.2021</t>
  </si>
  <si>
    <t>汇款到意大利账户</t>
  </si>
  <si>
    <t>04.03.2021</t>
  </si>
  <si>
    <t>汇款到西班牙银行</t>
  </si>
  <si>
    <t>退单 9个坏的耳机</t>
  </si>
  <si>
    <t>05.04.2021</t>
  </si>
  <si>
    <t>SEUR直接发给他的客人</t>
  </si>
  <si>
    <t>ONEPLUS的货 送给他的</t>
  </si>
  <si>
    <t>29.04.2021</t>
  </si>
  <si>
    <t>已经付款</t>
  </si>
  <si>
    <t>AUN20/0000209</t>
  </si>
  <si>
    <t>AUE20/0000130</t>
  </si>
  <si>
    <t>AUN20/0000556</t>
  </si>
  <si>
    <t>转到西班牙</t>
  </si>
  <si>
    <t>AUE20/0000534</t>
  </si>
  <si>
    <t>AUE20/0000551</t>
  </si>
  <si>
    <t>AUE20/0001040</t>
  </si>
  <si>
    <t>35折扣 运费一个点/ 齐力</t>
  </si>
  <si>
    <t>AUE20/0001444</t>
  </si>
  <si>
    <t>AUE20/0001445</t>
  </si>
  <si>
    <t>AUE20/0001411</t>
  </si>
  <si>
    <t xml:space="preserve"> 
35折扣 运费一个点</t>
  </si>
  <si>
    <t>AUE21/0000053</t>
  </si>
  <si>
    <t>齐力退货 西班牙部分</t>
  </si>
  <si>
    <t>AUE21/0000054</t>
  </si>
  <si>
    <t>uniforz 齐力退货 西班牙部分</t>
  </si>
  <si>
    <t>AUE21/0000102</t>
  </si>
  <si>
    <t>6512.61不算在欠款里面</t>
  </si>
  <si>
    <t>意大利销售，西班牙代收货款AUN20/0000556</t>
  </si>
  <si>
    <t>AUN21/0000124</t>
  </si>
  <si>
    <t>AUN21/0000125</t>
  </si>
  <si>
    <t>西班牙退货</t>
  </si>
  <si>
    <t>AUN21/0000126</t>
  </si>
  <si>
    <t>西班牙退货回仓库</t>
  </si>
  <si>
    <t>AUN21/0000127</t>
  </si>
  <si>
    <t>AUN21/0000128</t>
  </si>
  <si>
    <t>AUN21/0000129</t>
  </si>
  <si>
    <t>AUN21/0000130</t>
  </si>
  <si>
    <t>AUN21/0000131</t>
  </si>
  <si>
    <t>AUE21/0000221</t>
  </si>
  <si>
    <t>35折扣 运费一个点/齐力</t>
  </si>
  <si>
    <t>AUE21/0000231</t>
  </si>
  <si>
    <t>缺货单/35折扣 运费一个点 第一次补缺货</t>
  </si>
  <si>
    <t>AUE21/0000455</t>
  </si>
  <si>
    <t>意大利系统退单余额挂账西班牙账套，冲减内部往来欠款</t>
  </si>
  <si>
    <t>AUE21/0001173</t>
  </si>
  <si>
    <t>AUE21/0001609</t>
  </si>
  <si>
    <t>AUE21/0001714</t>
  </si>
  <si>
    <t>AUE21/0002351</t>
  </si>
  <si>
    <t>AUE22/0000229</t>
  </si>
  <si>
    <t>AUE22/0000230</t>
  </si>
  <si>
    <t>AUE22/0000427</t>
  </si>
  <si>
    <t>AUE22/0000555</t>
  </si>
  <si>
    <t>AUE22/0000638</t>
  </si>
  <si>
    <t>AUE22/0000754</t>
  </si>
  <si>
    <t>AUE22/0000755</t>
  </si>
  <si>
    <t>AUE22/0000756</t>
  </si>
  <si>
    <t>AUE22/0000757</t>
  </si>
  <si>
    <t>AUE22/0000758</t>
  </si>
  <si>
    <t>AUE22/0000759</t>
  </si>
  <si>
    <t>银行转账UE19/0019 UE19/0020</t>
  </si>
  <si>
    <t>数据线折扣错误，先退货，再出单</t>
  </si>
  <si>
    <t>林晓彬收现金到西班牙公司</t>
  </si>
  <si>
    <t>AUN20/0000210</t>
  </si>
  <si>
    <t>AUE20/0000027</t>
  </si>
  <si>
    <t>AUN20/0000278</t>
  </si>
  <si>
    <t>AUN20/0000546</t>
  </si>
  <si>
    <t>AUE20/0000114</t>
  </si>
  <si>
    <t>AUE20/0000209</t>
  </si>
  <si>
    <t>AUE20/0000536</t>
  </si>
  <si>
    <t>AUE20/0000562</t>
  </si>
  <si>
    <t>AUE20/0000731</t>
  </si>
  <si>
    <t>AUE20/0000732</t>
  </si>
  <si>
    <t>AUE20/0000733</t>
  </si>
  <si>
    <t>AUE20/0001041</t>
  </si>
  <si>
    <t>AUE20/0001402</t>
  </si>
  <si>
    <t>AUE20/0001432</t>
  </si>
  <si>
    <t>AUE20/0001433</t>
  </si>
  <si>
    <t>AUE20/0001434</t>
  </si>
  <si>
    <t>AUE20/0001435</t>
  </si>
  <si>
    <t>AUE20/0001436</t>
  </si>
  <si>
    <t>AUE20/0001437</t>
  </si>
  <si>
    <t>AUE20/0001438</t>
  </si>
  <si>
    <t>AUE20/0001446</t>
  </si>
  <si>
    <t>AUE21/0000098</t>
  </si>
  <si>
    <t>AUE21/0000438</t>
  </si>
  <si>
    <t>30折扣 运费一个点/看看数量需不需要加</t>
  </si>
  <si>
    <t>AUE21/0001168</t>
  </si>
  <si>
    <t>AUE21/0001225</t>
  </si>
  <si>
    <t>AUE21/0001226</t>
  </si>
  <si>
    <t>AUE21/0001227</t>
  </si>
  <si>
    <t>AUE21/0001228</t>
  </si>
  <si>
    <t>AUE21/0001628</t>
  </si>
  <si>
    <t>AUE21/0001715</t>
  </si>
  <si>
    <t>AUE21/0001999</t>
  </si>
  <si>
    <t>AUE21/0002345</t>
  </si>
  <si>
    <t>AUE21/0002907</t>
  </si>
  <si>
    <t>AUE22/0000508</t>
  </si>
  <si>
    <t>备注：第一单45天账期，前3个月30折扣，西班牙20-30fp</t>
  </si>
  <si>
    <t>UE21/0000394</t>
  </si>
  <si>
    <t>UE21/0000609</t>
  </si>
  <si>
    <t>UE21/0000626</t>
  </si>
  <si>
    <t>UE21/0000625</t>
  </si>
  <si>
    <t>UE21/0000812</t>
  </si>
  <si>
    <t>UE21/0000909</t>
  </si>
  <si>
    <t>UE21/0000926</t>
  </si>
  <si>
    <t>UE21/0000964</t>
  </si>
  <si>
    <t>样品 货已经抓 不用拣货 直接复核</t>
  </si>
  <si>
    <t>UE21/0001079</t>
  </si>
  <si>
    <t>客户样品</t>
  </si>
  <si>
    <t>UE21/0001101</t>
  </si>
  <si>
    <t>UE21/0001127</t>
  </si>
  <si>
    <t>UE21/0001170</t>
  </si>
  <si>
    <t>UE21/0001199</t>
  </si>
  <si>
    <t>意大利直接发货到客户，不用拣货</t>
  </si>
  <si>
    <t>UE21/0001219</t>
  </si>
  <si>
    <t>AUE21/0002166</t>
  </si>
  <si>
    <t>UE21/0001410</t>
  </si>
  <si>
    <t>UE21/0001342</t>
  </si>
  <si>
    <t>UE21/0001424</t>
  </si>
  <si>
    <t>UE21/0001470</t>
  </si>
  <si>
    <t>UE21/0001477</t>
  </si>
  <si>
    <t>UE21/0001512</t>
  </si>
  <si>
    <t>UE21/0001539</t>
  </si>
  <si>
    <t>UE21/0001625</t>
  </si>
  <si>
    <t>UE22/0000358</t>
  </si>
  <si>
    <t>AUE21/0000916</t>
  </si>
  <si>
    <t>AUE21/0001402</t>
  </si>
  <si>
    <t>AUE21/0001416</t>
  </si>
  <si>
    <t>AUE21/0001827</t>
  </si>
  <si>
    <t>折扣25，业务员收现金，账期1个月</t>
  </si>
  <si>
    <t>AUE21/0002747</t>
  </si>
  <si>
    <t>AUE22/0000356</t>
  </si>
  <si>
    <t>AUE21/0002186</t>
  </si>
  <si>
    <t>UE21/0001319</t>
  </si>
  <si>
    <t>UE21/0001323</t>
  </si>
  <si>
    <t>UE21/0001333</t>
  </si>
  <si>
    <t>AUE21/0001147</t>
  </si>
  <si>
    <t>AUE21/0001160</t>
  </si>
  <si>
    <t>AUE21/0001360</t>
  </si>
  <si>
    <t>AUE21/0001418</t>
  </si>
  <si>
    <t>AUE21/0001580</t>
  </si>
  <si>
    <t>AUE21/0001720</t>
  </si>
  <si>
    <t>AUE21/0002708</t>
  </si>
  <si>
    <t>AUE21/0002896</t>
  </si>
  <si>
    <t>AUE22/0000219</t>
  </si>
  <si>
    <t>AUE22/0000621</t>
  </si>
  <si>
    <t>UE21/0000462</t>
  </si>
  <si>
    <t>AUE21/0001008</t>
  </si>
  <si>
    <t>AUE21/0001037</t>
  </si>
  <si>
    <t>AUE21/0001105</t>
  </si>
  <si>
    <t>AUE21/0001205</t>
  </si>
  <si>
    <t>AUE21/0001206</t>
  </si>
  <si>
    <t>AUE21/0001258</t>
  </si>
  <si>
    <t>AUE21/0001266</t>
  </si>
  <si>
    <t>AUE21/0001273</t>
  </si>
  <si>
    <t>AUE21/0001275</t>
  </si>
  <si>
    <t>AUE21/0001356</t>
  </si>
  <si>
    <t>AUE21/0001368</t>
  </si>
  <si>
    <t>AUE21/0001371</t>
  </si>
  <si>
    <t>AUE21/0001373</t>
  </si>
  <si>
    <t>AUE21/0001396</t>
  </si>
  <si>
    <t>AUE21/0001397</t>
  </si>
  <si>
    <t>AUE21/0001411</t>
  </si>
  <si>
    <t>AUE21/0001428</t>
  </si>
  <si>
    <t>AUE21/0001477</t>
  </si>
  <si>
    <t>AUE21/0001505</t>
  </si>
  <si>
    <t>AUE21/0001565</t>
  </si>
  <si>
    <t>AUE21/0001597</t>
  </si>
  <si>
    <t>AUE21/0001598</t>
  </si>
  <si>
    <t>2021-08-30</t>
  </si>
  <si>
    <t>AUE21/0001615</t>
  </si>
  <si>
    <t>AUE21/0001616</t>
  </si>
  <si>
    <t>2021-08-31</t>
  </si>
  <si>
    <t>AUE21/0001621</t>
  </si>
  <si>
    <t>2021-09-02</t>
  </si>
  <si>
    <t>AUE21/0001652</t>
  </si>
  <si>
    <t>2021-09-03</t>
  </si>
  <si>
    <t>AUE21/0001666</t>
  </si>
  <si>
    <t>2021-09-04</t>
  </si>
  <si>
    <t>AUE21/0001680</t>
  </si>
  <si>
    <t>AUE21/0001697</t>
  </si>
  <si>
    <t>2021-09-10</t>
  </si>
  <si>
    <t>AUE21/0001745</t>
  </si>
  <si>
    <t>2021-09-15</t>
  </si>
  <si>
    <t>AUE21/0001796</t>
  </si>
  <si>
    <t>AUE21/0001795</t>
  </si>
  <si>
    <t>折扣30，运1</t>
  </si>
  <si>
    <t>支票存兑</t>
  </si>
  <si>
    <t>AUE21/0001759</t>
  </si>
  <si>
    <t>AUE21/0001757</t>
  </si>
  <si>
    <t>缺货单，原单GXSD000004563/GXSD000004584，折扣30，运费1点</t>
  </si>
  <si>
    <t>AUE21/0001798</t>
  </si>
  <si>
    <t>特殊产品，无折扣，运1</t>
  </si>
  <si>
    <t>AUE21/0001755</t>
  </si>
  <si>
    <t>加急</t>
  </si>
  <si>
    <t>AUE21/0001753</t>
  </si>
  <si>
    <t>和上单一起发走</t>
  </si>
  <si>
    <t>AUE21/0001896</t>
  </si>
  <si>
    <t>AUE21/0001980</t>
  </si>
  <si>
    <t>AUE21/0001982</t>
  </si>
  <si>
    <t>AUE21/0001993</t>
  </si>
  <si>
    <t>AUE21/0002041</t>
  </si>
  <si>
    <t>2021-10-08</t>
  </si>
  <si>
    <t>AUE21/0002089</t>
  </si>
  <si>
    <t>AUE21/0002099</t>
  </si>
  <si>
    <t>2021-10-13</t>
  </si>
  <si>
    <t>AUE21/0002147</t>
  </si>
  <si>
    <t>30折扣运费1~友购.新客开门货.特殊账期.先发我仓库</t>
  </si>
  <si>
    <t>2021-10-14</t>
  </si>
  <si>
    <t>AUE21/0002158</t>
  </si>
  <si>
    <t/>
  </si>
  <si>
    <t>折扣30，运费1</t>
  </si>
  <si>
    <t>AUE21/0002165</t>
  </si>
  <si>
    <t>加单 和我要发走的货一起发走</t>
  </si>
  <si>
    <t>2021-10-19</t>
  </si>
  <si>
    <t>AUE21/0002211</t>
  </si>
  <si>
    <t>友购//折扣30，运1</t>
  </si>
  <si>
    <t>AUE21/0002263</t>
  </si>
  <si>
    <t>AUE21/0002344</t>
  </si>
  <si>
    <t>AUE21/0002428</t>
  </si>
  <si>
    <t>AUE21/0002499</t>
  </si>
  <si>
    <t>AUE21/0002539</t>
  </si>
  <si>
    <t>AUE21/0002595</t>
  </si>
  <si>
    <t>AUE21/0002618</t>
  </si>
  <si>
    <t>AUE21/0002661</t>
  </si>
  <si>
    <t>AUE21/0002684</t>
  </si>
  <si>
    <t>AUE21/0002686</t>
  </si>
  <si>
    <t>AUE21/0002707</t>
  </si>
  <si>
    <t>AUE21/0002698</t>
  </si>
  <si>
    <t>AUE21/0002737</t>
  </si>
  <si>
    <t>AUE21/0002795</t>
  </si>
  <si>
    <t>AUE21/0002792</t>
  </si>
  <si>
    <t>AUE21/0002793</t>
  </si>
  <si>
    <t>AUE21/0002850</t>
  </si>
  <si>
    <t>AUE21/0002888</t>
  </si>
  <si>
    <t>AUE22/0000048</t>
  </si>
  <si>
    <t>AUE22/0000083</t>
  </si>
  <si>
    <t>AUE22/0000085</t>
  </si>
  <si>
    <t>AUE22/0000087</t>
  </si>
  <si>
    <t>AUE22/0000113</t>
  </si>
  <si>
    <t>AUE22/0000165</t>
  </si>
  <si>
    <t>AUE22/0000181</t>
  </si>
  <si>
    <t>AUE22/0000228</t>
  </si>
  <si>
    <t>AUE22/0000317</t>
  </si>
  <si>
    <t>AUE22/0000350</t>
  </si>
  <si>
    <t>AVU22/0000016</t>
  </si>
  <si>
    <t>AUE22/0000409</t>
  </si>
  <si>
    <t>AUE22/0000419</t>
  </si>
  <si>
    <t>AUE22/0000422</t>
  </si>
  <si>
    <t>AVU22/0000030</t>
  </si>
  <si>
    <t>AUE22/0000486</t>
  </si>
  <si>
    <t>AUE22/0000487</t>
  </si>
  <si>
    <t>AVU22/0000046</t>
  </si>
  <si>
    <t>AVU22/0000048</t>
  </si>
  <si>
    <t>AVU22/0000063</t>
  </si>
  <si>
    <t>AVU22/0000065</t>
  </si>
  <si>
    <t>AUE22/0000719</t>
  </si>
  <si>
    <t>01/09/2020</t>
  </si>
  <si>
    <t>转账意大利银行</t>
  </si>
  <si>
    <t>转账意大利银行 发票UN20/0001531</t>
  </si>
  <si>
    <t>AUE20/0000127</t>
  </si>
  <si>
    <t>AUE20/0000197</t>
  </si>
  <si>
    <t>AUE20/0000231</t>
  </si>
  <si>
    <t>AUE20/0000232</t>
  </si>
  <si>
    <t>AUE20/0000241</t>
  </si>
  <si>
    <t>AUN20/0000440</t>
  </si>
  <si>
    <t>AUE20/0000304</t>
  </si>
  <si>
    <t>GXSD000001383</t>
  </si>
  <si>
    <t>30折扣 运费一个点 发seur</t>
  </si>
  <si>
    <t>AUE20/0000723</t>
  </si>
  <si>
    <t>15/01/2021</t>
  </si>
  <si>
    <t>AUE20/0001374</t>
  </si>
  <si>
    <t>AUE20/0001447</t>
  </si>
  <si>
    <t>AUE20/0001448</t>
  </si>
  <si>
    <t>AUE21/0000451</t>
  </si>
  <si>
    <t>彬总交现金</t>
  </si>
  <si>
    <t>30折扣 打BULTO 发佳泰/中国人托运公司托运</t>
  </si>
  <si>
    <t>AUE21/0000725</t>
  </si>
  <si>
    <t>AUE21/0001096</t>
  </si>
  <si>
    <t>AUE21/0001097</t>
  </si>
  <si>
    <t>AUE21/0001461</t>
  </si>
  <si>
    <t>AUE21/0001566</t>
  </si>
  <si>
    <t>核销</t>
  </si>
  <si>
    <t>AUE21/0001695</t>
  </si>
  <si>
    <t>AUE21/0002093</t>
  </si>
  <si>
    <t>AUE21/0002676</t>
  </si>
  <si>
    <t>AUE21/0002688</t>
  </si>
  <si>
    <t>AUE21/0002762</t>
  </si>
  <si>
    <t>AUE22/0000431</t>
  </si>
  <si>
    <t>FT 22/0000028</t>
  </si>
  <si>
    <t>AUE19/0000339</t>
  </si>
  <si>
    <t>AUE20/0000042</t>
  </si>
  <si>
    <t>4897.6这个单子的15反点</t>
  </si>
  <si>
    <t>对账目已对</t>
  </si>
  <si>
    <t>UE19/0000298</t>
  </si>
  <si>
    <t>AUN19/0000775</t>
  </si>
  <si>
    <t>现金收款，到parla交款</t>
  </si>
  <si>
    <t>意大利</t>
  </si>
  <si>
    <t>AUN20/0000305</t>
  </si>
  <si>
    <t>意大利，4910.5这个单子的15反点</t>
  </si>
  <si>
    <t>AUN20/0000161</t>
  </si>
  <si>
    <t>银行转账到意大利intesa，意大利发票un20/1000，un20/1001</t>
  </si>
  <si>
    <t>AUN20/0000201</t>
  </si>
  <si>
    <t>意大利，运费</t>
  </si>
  <si>
    <t>对应的是2月18号9140.24的返点5个点</t>
  </si>
  <si>
    <t>AUE20/0000033</t>
  </si>
  <si>
    <t>银行转账至意大利</t>
  </si>
  <si>
    <t>意大利拖到西班牙3个palet的运费</t>
  </si>
  <si>
    <t>AUE20/0000044</t>
  </si>
  <si>
    <t>AUE20/0000090</t>
  </si>
  <si>
    <t>AUE20/0000106</t>
  </si>
  <si>
    <t>AUN20/0000338</t>
  </si>
  <si>
    <t>AUE20/0000170</t>
  </si>
  <si>
    <t>UN20/0001008</t>
  </si>
  <si>
    <t>意大利发货，35折扣</t>
  </si>
  <si>
    <t>04/05/2021</t>
  </si>
  <si>
    <t>现金彬总带回</t>
  </si>
  <si>
    <t>08/06/2021</t>
  </si>
  <si>
    <t>AUE20/0000615</t>
  </si>
  <si>
    <t>AUN20/0000616</t>
  </si>
  <si>
    <t>25/06/2021</t>
  </si>
  <si>
    <t>AUN20/0000617</t>
  </si>
  <si>
    <t>AUE20/0000700</t>
  </si>
  <si>
    <t>缺货单 35折扣 运费一个点</t>
  </si>
  <si>
    <t>AUE20/0000716</t>
  </si>
  <si>
    <t>24个灯箱</t>
  </si>
  <si>
    <t>AUE20/0000729</t>
  </si>
  <si>
    <t>灯箱架</t>
  </si>
  <si>
    <t>AUE20/0001323</t>
  </si>
  <si>
    <t>35折扣 运费一个点</t>
  </si>
  <si>
    <t>AUE20/0001399</t>
  </si>
  <si>
    <t>AUE21/0000097</t>
  </si>
  <si>
    <t>意大利销售，调整欠款西班牙，原单号：AUN20/338；UN20/1008；AUN20/616</t>
  </si>
  <si>
    <t>UE21/0000256</t>
  </si>
  <si>
    <t xml:space="preserve"> 35折扣 运费一个点</t>
  </si>
  <si>
    <t>UE21/0000300</t>
  </si>
  <si>
    <t>AUE21/0000613</t>
  </si>
  <si>
    <t>AUE21/0000721</t>
  </si>
  <si>
    <t>AUE21/0000842</t>
  </si>
  <si>
    <t>销售退单</t>
  </si>
  <si>
    <t>AUE21/0000843</t>
  </si>
  <si>
    <t>AUE21/0000844</t>
  </si>
  <si>
    <t>UE21/0000468</t>
  </si>
  <si>
    <t>AUE21/0000850</t>
  </si>
  <si>
    <t>AUE21/0000851</t>
  </si>
  <si>
    <t>AUE21/0000852</t>
  </si>
  <si>
    <t>UE21/0000481</t>
  </si>
  <si>
    <t>0折扣 小北京特价商品 运费两个点</t>
  </si>
  <si>
    <t>AUE21/0001195</t>
  </si>
  <si>
    <t>AUE21/0001023</t>
  </si>
  <si>
    <t>UE21/0000637</t>
  </si>
  <si>
    <t>特价产品 运费两个点 预付款</t>
  </si>
  <si>
    <t>AUE20/0000047</t>
  </si>
  <si>
    <t>特价产品，先汇款，后发货，全AA，运费2个点</t>
  </si>
  <si>
    <t>UE21/0000795/UE21/0000867/AUE21/0001499</t>
  </si>
  <si>
    <t>AUE21/0001564</t>
  </si>
  <si>
    <t>UE21/0000889</t>
  </si>
  <si>
    <t>特价商品 运费两个点</t>
  </si>
  <si>
    <t>AUE21/0002561</t>
  </si>
  <si>
    <t>AUE21/0002562</t>
  </si>
  <si>
    <t>AUE21/0002628</t>
  </si>
  <si>
    <t>AUE21/0002624</t>
  </si>
  <si>
    <t>AUE21/0002625</t>
  </si>
  <si>
    <t>AUE21/0002626</t>
  </si>
  <si>
    <t>AUE21/0002627</t>
  </si>
  <si>
    <t>AUE21/0002629</t>
  </si>
  <si>
    <t>UE21/0001577</t>
  </si>
  <si>
    <t>AUE21/0002906</t>
  </si>
  <si>
    <t>AUE22/0000321</t>
  </si>
  <si>
    <t>AUE22/0000324</t>
  </si>
  <si>
    <t>AUE22/0000325</t>
  </si>
  <si>
    <t>UE22/0000159</t>
  </si>
  <si>
    <t>AUE22/0000326</t>
  </si>
  <si>
    <t>AUE22/0000327</t>
  </si>
  <si>
    <t>AUE22/0000323</t>
  </si>
  <si>
    <t>AUE22/0000364</t>
  </si>
  <si>
    <t>UE22/0000219</t>
  </si>
  <si>
    <t>UE22/0000238</t>
  </si>
  <si>
    <t>UE22/0000237</t>
  </si>
  <si>
    <t>AUE21/0001588</t>
  </si>
  <si>
    <t>直接汇款到中国</t>
  </si>
  <si>
    <t>AUE21/0001710</t>
  </si>
  <si>
    <t>AUE21/0002312</t>
  </si>
  <si>
    <t>AUE21/0002338</t>
  </si>
  <si>
    <t>AUE21/0002563</t>
  </si>
  <si>
    <t>2021.01.28</t>
  </si>
  <si>
    <t>AUE21/0000154</t>
  </si>
  <si>
    <t>2021.7.8</t>
  </si>
  <si>
    <t>25折扣</t>
  </si>
  <si>
    <t>2021.02.02</t>
  </si>
  <si>
    <t>AUE21/0000171</t>
  </si>
  <si>
    <t>AUE21/0000154 少货单</t>
  </si>
  <si>
    <t>AUE21/0000174</t>
  </si>
  <si>
    <t>25折扣 之前仓库多抓，现在补单，不用抓货</t>
  </si>
  <si>
    <t>AUE21/0000452</t>
  </si>
  <si>
    <t>30折扣/正大 valencia ，半年给30折扣</t>
  </si>
  <si>
    <t>AUE21/0000514</t>
  </si>
  <si>
    <t>AUE21/0000515</t>
  </si>
  <si>
    <t>AUE21/0000516</t>
  </si>
  <si>
    <t>AUE21/0000517</t>
  </si>
  <si>
    <t>AUE21/0000519</t>
  </si>
  <si>
    <t>AUE21/0001148</t>
  </si>
  <si>
    <t>AUE21/0001149</t>
  </si>
  <si>
    <t>2020.09.17</t>
  </si>
  <si>
    <t>AUE20/0000838</t>
  </si>
  <si>
    <t>彬总现金回款</t>
  </si>
  <si>
    <r>
      <t>25</t>
    </r>
    <r>
      <rPr>
        <sz val="12"/>
        <rFont val="宋体"/>
        <family val="3"/>
        <charset val="134"/>
      </rPr>
      <t>折扣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个别引流类产品折扣</t>
    </r>
    <r>
      <rPr>
        <sz val="12"/>
        <rFont val="Arial"/>
        <family val="2"/>
      </rPr>
      <t xml:space="preserve">45/50 </t>
    </r>
    <r>
      <rPr>
        <sz val="12"/>
        <rFont val="宋体"/>
        <family val="3"/>
        <charset val="134"/>
      </rPr>
      <t>运费一个点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巴萨中国龙，</t>
    </r>
    <r>
      <rPr>
        <sz val="12"/>
        <rFont val="Arial"/>
        <family val="2"/>
      </rPr>
      <t>2</t>
    </r>
    <r>
      <rPr>
        <sz val="12"/>
        <rFont val="宋体"/>
        <family val="3"/>
        <charset val="134"/>
      </rPr>
      <t>个月账期</t>
    </r>
  </si>
  <si>
    <t>AUE20/0001315</t>
  </si>
  <si>
    <t>AUE20/0001478</t>
  </si>
  <si>
    <t>2021.03.08</t>
  </si>
  <si>
    <t>AUE21/0000311</t>
  </si>
  <si>
    <t>2021.04.29</t>
  </si>
  <si>
    <t>AUE21/0000727</t>
  </si>
  <si>
    <t>AUE21/0000494</t>
  </si>
  <si>
    <t>25折扣 部分产品40 运费一个点</t>
  </si>
  <si>
    <t>第一单2个月账期，补货一个月，2款线材35直接价格（2个月），25折扣</t>
  </si>
  <si>
    <t>2板+1箱</t>
  </si>
  <si>
    <t>付意大利单据</t>
  </si>
  <si>
    <t>充电器差价 意大利单</t>
  </si>
  <si>
    <t>发seur</t>
  </si>
  <si>
    <t>少货</t>
  </si>
  <si>
    <t>两个板</t>
  </si>
  <si>
    <t>退货，意大利</t>
  </si>
  <si>
    <t>注:3款双U带线充电器（HC1072/73/74）多加5%折扣，至7月5号</t>
  </si>
  <si>
    <t>29箱</t>
  </si>
  <si>
    <t xml:space="preserve">银行转账 </t>
  </si>
  <si>
    <t>送3个大架子</t>
  </si>
  <si>
    <r>
      <t xml:space="preserve">20/01/2020 </t>
    </r>
    <r>
      <rPr>
        <sz val="10"/>
        <rFont val="宋体"/>
        <family val="3"/>
        <charset val="134"/>
      </rPr>
      <t>支付讯奇退货款项</t>
    </r>
  </si>
  <si>
    <r>
      <t>6</t>
    </r>
    <r>
      <rPr>
        <sz val="10"/>
        <rFont val="宋体"/>
        <family val="3"/>
        <charset val="134"/>
      </rPr>
      <t>大箱</t>
    </r>
  </si>
  <si>
    <t>AUE22/0000775</t>
  </si>
  <si>
    <t>UE22/0000415</t>
  </si>
  <si>
    <t>AUE22/0000771</t>
  </si>
  <si>
    <t>AUE22/0000784</t>
  </si>
  <si>
    <t>现金</t>
    <phoneticPr fontId="15" type="noConversion"/>
  </si>
  <si>
    <t>AUE22/0000805</t>
  </si>
  <si>
    <t>AVU22/0000078</t>
  </si>
  <si>
    <t>AVU22/0000079</t>
  </si>
  <si>
    <r>
      <t>MANOLO</t>
    </r>
    <r>
      <rPr>
        <sz val="12"/>
        <color indexed="8"/>
        <rFont val="宋体"/>
        <family val="3"/>
        <charset val="134"/>
      </rPr>
      <t>拉走 15%AA</t>
    </r>
  </si>
  <si>
    <r>
      <t>8</t>
    </r>
    <r>
      <rPr>
        <sz val="12"/>
        <color indexed="8"/>
        <rFont val="宋体"/>
        <family val="3"/>
        <charset val="134"/>
      </rPr>
      <t>月5号MANOLO来拉货</t>
    </r>
  </si>
  <si>
    <r>
      <t>9</t>
    </r>
    <r>
      <rPr>
        <sz val="12"/>
        <color indexed="8"/>
        <rFont val="宋体"/>
        <family val="3"/>
        <charset val="134"/>
      </rPr>
      <t>月30号MANOLO来拉货</t>
    </r>
  </si>
  <si>
    <t>补AUE22/0000546 特殊折扣0.066</t>
    <phoneticPr fontId="15" type="noConversion"/>
  </si>
  <si>
    <t>补AUE22/0000659 特殊折扣0.066</t>
  </si>
  <si>
    <r>
      <t>小杨点货</t>
    </r>
    <r>
      <rPr>
        <sz val="11"/>
        <rFont val="Calibri"/>
        <family val="2"/>
      </rPr>
      <t xml:space="preserve">  </t>
    </r>
    <r>
      <rPr>
        <sz val="11"/>
        <rFont val="宋体"/>
        <family val="3"/>
        <charset val="134"/>
      </rPr>
      <t>发新佳泰</t>
    </r>
  </si>
  <si>
    <r>
      <t>3722.75</t>
    </r>
    <r>
      <rPr>
        <sz val="11"/>
        <rFont val="宋体"/>
        <family val="3"/>
        <charset val="134"/>
      </rPr>
      <t>欧货物运费</t>
    </r>
  </si>
  <si>
    <r>
      <t>30</t>
    </r>
    <r>
      <rPr>
        <sz val="11"/>
        <rFont val="宋体"/>
        <family val="3"/>
        <charset val="134"/>
      </rPr>
      <t>折扣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>运费一个点</t>
    </r>
  </si>
  <si>
    <t>现金</t>
    <phoneticPr fontId="15" type="noConversion"/>
  </si>
  <si>
    <t>郭水文</t>
  </si>
  <si>
    <t>AUE22/0000852</t>
  </si>
  <si>
    <t>AUE22/0000853</t>
  </si>
  <si>
    <t>AUE22/0000849</t>
  </si>
  <si>
    <t>AUE22/0000850</t>
  </si>
  <si>
    <t>AUE22/0000855</t>
  </si>
  <si>
    <t>AUE22/0000848</t>
  </si>
  <si>
    <t>AUE22/0000812</t>
  </si>
  <si>
    <t>现金</t>
    <phoneticPr fontId="15" type="noConversion"/>
  </si>
  <si>
    <t>AUE22/0000815</t>
  </si>
  <si>
    <t>AUE22/0000821</t>
  </si>
  <si>
    <t>AUE22/0000813</t>
  </si>
  <si>
    <t>AUE22/0000826</t>
  </si>
  <si>
    <t>AUE22/0000834</t>
  </si>
  <si>
    <t>AUE22/0000833</t>
  </si>
  <si>
    <t>AUE22/0000835</t>
  </si>
  <si>
    <t>AUE22/0000880</t>
  </si>
  <si>
    <t>AUE22/0000837</t>
  </si>
  <si>
    <t>AUE22/0000811</t>
  </si>
  <si>
    <t>AUE22/0000882</t>
  </si>
  <si>
    <t>AUE21/0002421</t>
  </si>
  <si>
    <t>AUE21/0002440</t>
  </si>
  <si>
    <t>AUE22/0000231</t>
  </si>
  <si>
    <t>AUE22/0000809</t>
  </si>
  <si>
    <t>AUE22/0000919</t>
  </si>
  <si>
    <t>AUE22/0000838</t>
  </si>
  <si>
    <t>AUE22/0000840</t>
  </si>
  <si>
    <t>AUE22/0000917</t>
  </si>
  <si>
    <t>AUE21/0002575</t>
  </si>
  <si>
    <t>AUE21/0002739</t>
  </si>
  <si>
    <t>AUE21/0002770</t>
  </si>
  <si>
    <t>AUE22/0000310</t>
  </si>
  <si>
    <t>AUE22/0000749</t>
  </si>
  <si>
    <t>AUE22/0000841</t>
  </si>
  <si>
    <t>AUE22/0000921</t>
  </si>
  <si>
    <t>AUE21/0002401</t>
  </si>
  <si>
    <t>AUE21/0002798</t>
  </si>
  <si>
    <t>AUE22/0000200</t>
  </si>
  <si>
    <t>AUE22/0000250</t>
  </si>
  <si>
    <t>AUE22/0000847</t>
  </si>
  <si>
    <t>UE22/0000491</t>
  </si>
  <si>
    <t>UE22/0000498</t>
  </si>
  <si>
    <t>AUE22/0000942</t>
  </si>
  <si>
    <t>AUE22/0000966</t>
  </si>
  <si>
    <t>AUE22/0000944</t>
  </si>
  <si>
    <t>AUE22/0000945</t>
  </si>
  <si>
    <t>现金</t>
    <phoneticPr fontId="15" type="noConversion"/>
  </si>
  <si>
    <t>UE22/0000494</t>
  </si>
  <si>
    <t>NIPPON GLOBAL S.L</t>
    <phoneticPr fontId="15" type="noConversion"/>
  </si>
  <si>
    <t>NEW SKYWAY S.L</t>
    <phoneticPr fontId="15" type="noConversion"/>
  </si>
  <si>
    <t>SHENGBAO S.L.U 盛宝百货</t>
    <phoneticPr fontId="15" type="noConversion"/>
  </si>
  <si>
    <t>SHU LING YANG 欧之星</t>
    <phoneticPr fontId="15" type="noConversion"/>
  </si>
  <si>
    <t>银行</t>
    <phoneticPr fontId="15" type="noConversion"/>
  </si>
  <si>
    <t>现金</t>
    <phoneticPr fontId="15" type="noConversion"/>
  </si>
  <si>
    <t>正负单抵扣</t>
    <phoneticPr fontId="15" type="noConversion"/>
  </si>
  <si>
    <t>现金</t>
    <phoneticPr fontId="15" type="noConversion"/>
  </si>
  <si>
    <t>UE21/0000858</t>
    <phoneticPr fontId="15" type="noConversion"/>
  </si>
  <si>
    <t>SO WANG ELECTRONICA S.L</t>
  </si>
  <si>
    <t>CASH HOGAR CANARIAS S.L</t>
  </si>
  <si>
    <t>UE22/0000204</t>
    <phoneticPr fontId="15" type="noConversion"/>
  </si>
  <si>
    <t>UE21/0000992</t>
    <phoneticPr fontId="15" type="noConversion"/>
  </si>
  <si>
    <t>现金</t>
    <phoneticPr fontId="15" type="noConversion"/>
  </si>
  <si>
    <t>AUE22/0000429</t>
    <phoneticPr fontId="15" type="noConversion"/>
  </si>
  <si>
    <t>银行</t>
    <phoneticPr fontId="15" type="noConversion"/>
  </si>
  <si>
    <t>AUE22/0000988</t>
  </si>
  <si>
    <t>百货一部/Depar General merchandise -1</t>
  </si>
  <si>
    <t>AUE22/0001026</t>
  </si>
  <si>
    <t>AUE22/0001052</t>
  </si>
  <si>
    <t>AUE22/0001067</t>
  </si>
  <si>
    <t>AUE22/0001076</t>
  </si>
  <si>
    <t>AUE22/0001083</t>
  </si>
  <si>
    <t>百货一部/Depar</t>
  </si>
  <si>
    <t>AUE21/0002799</t>
  </si>
  <si>
    <t>货改</t>
    <phoneticPr fontId="15" type="noConversion"/>
  </si>
  <si>
    <t>AUE22/0001051</t>
    <phoneticPr fontId="15" type="noConversion"/>
  </si>
  <si>
    <t>AUE22/0000214</t>
    <phoneticPr fontId="15" type="noConversion"/>
  </si>
  <si>
    <t>AUE22/0001016</t>
  </si>
  <si>
    <t>AUE21/0001822</t>
    <phoneticPr fontId="15" type="noConversion"/>
  </si>
  <si>
    <t>AUE21/0002318</t>
    <phoneticPr fontId="15" type="noConversion"/>
  </si>
  <si>
    <t>AUE21/0002668</t>
    <phoneticPr fontId="15" type="noConversion"/>
  </si>
  <si>
    <t>AUE21/0002749</t>
    <phoneticPr fontId="15" type="noConversion"/>
  </si>
  <si>
    <t>AUE21/0002803</t>
    <phoneticPr fontId="15" type="noConversion"/>
  </si>
  <si>
    <t>AUE21/0002931</t>
    <phoneticPr fontId="15" type="noConversion"/>
  </si>
  <si>
    <t>AUE22/0000441</t>
    <phoneticPr fontId="15" type="noConversion"/>
  </si>
  <si>
    <t>AUE22/0000935</t>
    <phoneticPr fontId="15" type="noConversion"/>
  </si>
  <si>
    <t>AUE22/0000964</t>
    <phoneticPr fontId="15" type="noConversion"/>
  </si>
  <si>
    <t>AUE21/0001364</t>
    <phoneticPr fontId="15" type="noConversion"/>
  </si>
  <si>
    <t>2479.07不算在欠款里面</t>
    <phoneticPr fontId="15" type="noConversion"/>
  </si>
  <si>
    <t>AUE22/0000991</t>
  </si>
  <si>
    <t>AUE22/0001059</t>
  </si>
  <si>
    <t>剩余欠款</t>
    <phoneticPr fontId="15" type="noConversion"/>
  </si>
  <si>
    <t>手机壳补单</t>
    <phoneticPr fontId="15" type="noConversion"/>
  </si>
  <si>
    <t>AUE22/0000974</t>
  </si>
  <si>
    <t>AUE22/0001005</t>
  </si>
  <si>
    <t>AUE22/0001047</t>
  </si>
  <si>
    <t>AUE22/0001064</t>
  </si>
  <si>
    <t>AUE22/0001066</t>
  </si>
  <si>
    <t>手机壳加货单</t>
    <phoneticPr fontId="15" type="noConversion"/>
  </si>
  <si>
    <t>AUE22/0000163</t>
    <phoneticPr fontId="15" type="noConversion"/>
  </si>
  <si>
    <t>AUE22/0001048</t>
    <phoneticPr fontId="15" type="noConversion"/>
  </si>
  <si>
    <t>17箱,庄效权 20%折扣 开全AA 预付款 到账发货</t>
    <phoneticPr fontId="15" type="noConversion"/>
  </si>
  <si>
    <t>AUE22/0000994</t>
    <phoneticPr fontId="15" type="noConversion"/>
  </si>
  <si>
    <t>AUE19/0000086</t>
  </si>
  <si>
    <t>AUE19/0000304</t>
  </si>
  <si>
    <t>AUE19/0000305</t>
  </si>
  <si>
    <t>AUE22/0001060</t>
  </si>
  <si>
    <t>AUE22/0001063</t>
  </si>
  <si>
    <t>银行</t>
    <phoneticPr fontId="15" type="noConversion"/>
  </si>
  <si>
    <t>AUE22/0001043</t>
  </si>
  <si>
    <t>现金</t>
    <phoneticPr fontId="15" type="noConversion"/>
  </si>
  <si>
    <t>AUE22/0001057</t>
    <phoneticPr fontId="15" type="noConversion"/>
  </si>
  <si>
    <t>AUE22/0001058</t>
    <phoneticPr fontId="15" type="noConversion"/>
  </si>
  <si>
    <t>AUE21/0000032</t>
    <phoneticPr fontId="15" type="noConversion"/>
  </si>
  <si>
    <t>现金</t>
    <phoneticPr fontId="15" type="noConversion"/>
  </si>
  <si>
    <t>AUE22/0000925</t>
  </si>
  <si>
    <t>AUE22/0000926</t>
  </si>
  <si>
    <t>AUE22/0000804</t>
    <phoneticPr fontId="15" type="noConversion"/>
  </si>
  <si>
    <t>货架送给客人，彬总答应，货架金额140.8</t>
    <phoneticPr fontId="15" type="noConversion"/>
  </si>
  <si>
    <t>30折扣 运费一个点/SIQI不要的货 已删  两张单子已合并</t>
    <phoneticPr fontId="15" type="noConversion"/>
  </si>
  <si>
    <t>30折扣 联通退货</t>
    <phoneticPr fontId="15" type="noConversion"/>
  </si>
  <si>
    <t>30折扣  联通</t>
    <phoneticPr fontId="15" type="noConversion"/>
  </si>
  <si>
    <t>折扣30，运费一个点，业务员收款</t>
    <phoneticPr fontId="15" type="noConversion"/>
  </si>
  <si>
    <t>折扣30，运1，业务员收款</t>
    <phoneticPr fontId="15" type="noConversion"/>
  </si>
  <si>
    <t>AUE22/0000997</t>
  </si>
  <si>
    <t>AUE22/0001017</t>
  </si>
  <si>
    <t>25折，后补全额*AA*，账期2个月；姚娇 国贸城仓库 配货前先发贷单PDF带图的给</t>
    <phoneticPr fontId="15" type="noConversion"/>
  </si>
  <si>
    <t>25折扣 AUE21/0000119</t>
    <phoneticPr fontId="15" type="noConversion"/>
  </si>
  <si>
    <t xml:space="preserve">
</t>
    <phoneticPr fontId="15" type="noConversion"/>
  </si>
  <si>
    <t>现金</t>
    <phoneticPr fontId="15" type="noConversion"/>
  </si>
  <si>
    <t>AUE22/0000975</t>
  </si>
  <si>
    <t>AUE22/0001006</t>
  </si>
  <si>
    <t>打印运输贴纸使用</t>
    <phoneticPr fontId="22" type="noConversion"/>
  </si>
  <si>
    <t>AUE22/0001068</t>
  </si>
  <si>
    <t>AUE22/0001069</t>
  </si>
  <si>
    <t>AUE22/0001071</t>
  </si>
  <si>
    <t>UE22/0000557</t>
  </si>
  <si>
    <t>UE22/0000559</t>
  </si>
  <si>
    <t>AUE22/0000972</t>
    <phoneticPr fontId="15" type="noConversion"/>
  </si>
  <si>
    <t>AUE22/0001027</t>
  </si>
  <si>
    <t>AUE22/0001034</t>
  </si>
  <si>
    <t>AUE22/0001037</t>
  </si>
  <si>
    <t>AUE22/0001039</t>
  </si>
  <si>
    <t>2020.7.16</t>
    <phoneticPr fontId="15" type="noConversion"/>
  </si>
  <si>
    <t>刘平治收现金</t>
    <phoneticPr fontId="15" type="noConversion"/>
  </si>
  <si>
    <t>AVU22/0000128</t>
  </si>
  <si>
    <t>AVU22/0000139</t>
  </si>
  <si>
    <t>林凯收回交给林晓彬</t>
    <phoneticPr fontId="15" type="noConversion"/>
  </si>
  <si>
    <t>VALENCIA</t>
    <phoneticPr fontId="15" type="noConversion"/>
  </si>
  <si>
    <t>BARCELONA</t>
    <phoneticPr fontId="15" type="noConversion"/>
  </si>
  <si>
    <t>SUPER PROXI S.L</t>
    <phoneticPr fontId="15" type="noConversion"/>
  </si>
  <si>
    <t>AUE22/0001123</t>
    <phoneticPr fontId="15" type="noConversion"/>
  </si>
  <si>
    <t>UE22/0000587</t>
  </si>
  <si>
    <t>UE22/0000600</t>
  </si>
  <si>
    <t>AUE22/0001116</t>
  </si>
  <si>
    <t>AUE22/0001117</t>
  </si>
  <si>
    <t>AUE22/0001124</t>
  </si>
  <si>
    <t>AUE22/0001125</t>
  </si>
  <si>
    <t>AUE22/0001138</t>
  </si>
  <si>
    <t>AUE22/0001141</t>
  </si>
  <si>
    <t>AUE22/0001142</t>
  </si>
  <si>
    <t>AUE22/0001148</t>
  </si>
  <si>
    <t>现金</t>
    <phoneticPr fontId="15" type="noConversion"/>
  </si>
  <si>
    <t>AUE22/0001099</t>
  </si>
  <si>
    <t>AUE22/0001133</t>
  </si>
  <si>
    <t>现金</t>
    <phoneticPr fontId="15" type="noConversion"/>
  </si>
  <si>
    <t>AUE22/0001110</t>
  </si>
  <si>
    <t>AUE22/0001126</t>
    <phoneticPr fontId="15" type="noConversion"/>
  </si>
  <si>
    <t>银行</t>
    <phoneticPr fontId="15" type="noConversion"/>
  </si>
  <si>
    <t>AUE22/0001106</t>
  </si>
  <si>
    <t>AUE22/0001111</t>
  </si>
  <si>
    <t>AUE22/0001134</t>
  </si>
  <si>
    <t>AVU22/0000144</t>
  </si>
  <si>
    <t>AUE22/0001189</t>
  </si>
  <si>
    <t>UE22/0000631</t>
  </si>
  <si>
    <t>AUE22/0001191</t>
  </si>
  <si>
    <t>要发票</t>
    <phoneticPr fontId="15" type="noConversion"/>
  </si>
  <si>
    <t>AUE22/0001157</t>
    <phoneticPr fontId="15" type="noConversion"/>
  </si>
  <si>
    <t>AUE22/0001184</t>
  </si>
  <si>
    <t>AUE22/0001195</t>
  </si>
  <si>
    <t>现金</t>
    <phoneticPr fontId="15" type="noConversion"/>
  </si>
  <si>
    <t>AUE22/0001275</t>
  </si>
  <si>
    <t>AUE22/0001182</t>
  </si>
  <si>
    <t>AUE22/0001176</t>
  </si>
  <si>
    <t>AUE22/0001271</t>
  </si>
  <si>
    <t>AUE22/0001181</t>
  </si>
  <si>
    <t>AUE22/0001185</t>
  </si>
  <si>
    <t>AUE22/0001277</t>
  </si>
  <si>
    <t>补AUE22/0001110 特殊折扣0.066</t>
    <phoneticPr fontId="15" type="noConversion"/>
  </si>
  <si>
    <t>现金</t>
    <phoneticPr fontId="15" type="noConversion"/>
  </si>
  <si>
    <t>AUE22/0001276</t>
  </si>
  <si>
    <t>银行</t>
    <phoneticPr fontId="15" type="noConversion"/>
  </si>
  <si>
    <t>AUE22/0001212</t>
  </si>
  <si>
    <t>AUE22/0001213</t>
  </si>
  <si>
    <t>AUE22/0001214</t>
  </si>
  <si>
    <t>AUE22/0001215</t>
  </si>
  <si>
    <t>AUE22/0001220</t>
  </si>
  <si>
    <t>AUE22/0001221</t>
  </si>
  <si>
    <t>AUE22/0001177</t>
    <phoneticPr fontId="15" type="noConversion"/>
  </si>
  <si>
    <t>AUE22/0000262</t>
  </si>
  <si>
    <t>AUE22/0000263</t>
  </si>
  <si>
    <t>AUE22/0000264</t>
  </si>
  <si>
    <t>AUE22/0000265</t>
  </si>
  <si>
    <t>AUE22/0000266</t>
  </si>
  <si>
    <t>AUE22/0000267</t>
  </si>
  <si>
    <t>AUE22/0000268</t>
  </si>
  <si>
    <t>AUE22/0000269</t>
  </si>
  <si>
    <t>AUE22/0000270</t>
  </si>
  <si>
    <t>AUE22/0000271</t>
  </si>
  <si>
    <t>货改</t>
    <phoneticPr fontId="15" type="noConversion"/>
  </si>
  <si>
    <t>其它抵扣</t>
    <phoneticPr fontId="15" type="noConversion"/>
  </si>
  <si>
    <t>UE22/0000641</t>
  </si>
  <si>
    <t>AUE22/0001278</t>
  </si>
  <si>
    <t>AVU22/0000149</t>
  </si>
  <si>
    <t>AUE22/0001175</t>
  </si>
  <si>
    <t>AVU22/0000147</t>
  </si>
  <si>
    <t>UE22/0000617</t>
  </si>
  <si>
    <t>AUE22/0001292</t>
  </si>
  <si>
    <t>AUE22/0001293</t>
  </si>
  <si>
    <t>AUE22/0001294</t>
  </si>
  <si>
    <t>AUE22/0001311</t>
  </si>
  <si>
    <t>AUE22/0001312</t>
  </si>
  <si>
    <t>AUE22/0001322</t>
  </si>
  <si>
    <t>AUE22/0001353</t>
  </si>
  <si>
    <t>现金</t>
    <phoneticPr fontId="15" type="noConversion"/>
  </si>
  <si>
    <t>AUE22/0001332</t>
  </si>
  <si>
    <t>AUE22/0001333</t>
  </si>
  <si>
    <t>AUE22/0001334</t>
  </si>
  <si>
    <t>AUE22/0001340</t>
  </si>
  <si>
    <t>现金</t>
    <phoneticPr fontId="15" type="noConversion"/>
  </si>
  <si>
    <t>AUE22/0001336</t>
  </si>
  <si>
    <t>AUE22/0001363</t>
  </si>
  <si>
    <t>AUE22/0001364</t>
  </si>
  <si>
    <t>AUE22/0001358</t>
  </si>
  <si>
    <t>AUE22/0001320</t>
  </si>
  <si>
    <t>其他抵扣</t>
    <phoneticPr fontId="15" type="noConversion"/>
  </si>
  <si>
    <t>AUE22/0001295</t>
  </si>
  <si>
    <t>AUE22/0001378</t>
  </si>
  <si>
    <t>AUE21/0000272</t>
    <phoneticPr fontId="15" type="noConversion"/>
  </si>
  <si>
    <t>AUE22/0001281</t>
    <phoneticPr fontId="15" type="noConversion"/>
  </si>
  <si>
    <t>AUE22/0001344</t>
  </si>
  <si>
    <t>AUE22/0001345</t>
  </si>
  <si>
    <t>AUE22/0001346</t>
  </si>
  <si>
    <t>AUE22/0001347</t>
  </si>
  <si>
    <t>AUE22/0001357</t>
  </si>
  <si>
    <t>货改</t>
    <phoneticPr fontId="15" type="noConversion"/>
  </si>
  <si>
    <t>其他抵扣</t>
    <phoneticPr fontId="15" type="noConversion"/>
  </si>
  <si>
    <t>AUE22/0001343</t>
  </si>
  <si>
    <t>AUE22/0001379</t>
  </si>
  <si>
    <t>AUE22/0001369</t>
  </si>
  <si>
    <t>AVU22/0000155</t>
  </si>
  <si>
    <t>AVU22/0000157</t>
  </si>
  <si>
    <t>MANAELECTRONICO S.L</t>
    <phoneticPr fontId="15" type="noConversion"/>
  </si>
  <si>
    <t>AUE22/0001459</t>
  </si>
  <si>
    <t>给豪迈管道和办公室各带一个样品</t>
    <phoneticPr fontId="15" type="noConversion"/>
  </si>
  <si>
    <t>其他抵扣</t>
    <phoneticPr fontId="15" type="noConversion"/>
  </si>
  <si>
    <t>UE22/0000790</t>
  </si>
  <si>
    <t>UE22/0000798</t>
  </si>
  <si>
    <t>UE22/0000796</t>
  </si>
  <si>
    <t>AUE22/0001403</t>
  </si>
  <si>
    <t>AUE22/0001404</t>
  </si>
  <si>
    <t>AUE22/0001446</t>
  </si>
  <si>
    <t>代购钢化玻璃款</t>
    <phoneticPr fontId="15" type="noConversion"/>
  </si>
  <si>
    <t>现金</t>
    <phoneticPr fontId="15" type="noConversion"/>
  </si>
  <si>
    <t>AUE22/0001416</t>
  </si>
  <si>
    <t>AUE22/0001443</t>
  </si>
  <si>
    <t>AUE22/0001439</t>
  </si>
  <si>
    <t>单据下单重复</t>
  </si>
  <si>
    <t>AUE22/0001462</t>
  </si>
  <si>
    <t>UE22/0000741</t>
  </si>
  <si>
    <t>AUE22/0001394</t>
  </si>
  <si>
    <t>AUE22/0001397</t>
  </si>
  <si>
    <t>AUE22/0001386</t>
  </si>
  <si>
    <t>AUE22/0001398</t>
  </si>
  <si>
    <t>AUE22/0001370</t>
  </si>
  <si>
    <t>AUE22/0001371</t>
  </si>
  <si>
    <t>AUE22/0001372</t>
  </si>
  <si>
    <t>AUE22/0001373</t>
  </si>
  <si>
    <t>AUE22/0001374</t>
  </si>
  <si>
    <t>AUE22/0001375</t>
  </si>
  <si>
    <t>AUE22/0001376</t>
  </si>
  <si>
    <t>AUE22/0001377</t>
  </si>
  <si>
    <t>货改</t>
    <phoneticPr fontId="63" type="noConversion"/>
  </si>
  <si>
    <t>AUE22/0001405</t>
  </si>
  <si>
    <t>AUE22/0001388</t>
  </si>
  <si>
    <t>AUE22/0001389</t>
  </si>
  <si>
    <t>AUE22/0001390</t>
  </si>
  <si>
    <t>AUE22/0001391</t>
  </si>
  <si>
    <t>AUE22/0001392</t>
  </si>
  <si>
    <t>AUE22/0001393</t>
  </si>
  <si>
    <t>AUE22/0001409</t>
  </si>
  <si>
    <t>货改</t>
    <phoneticPr fontId="15" type="noConversion"/>
  </si>
  <si>
    <t>UE22/0000743</t>
  </si>
  <si>
    <t>UE22/0000769</t>
  </si>
  <si>
    <t>UE22/0000777</t>
  </si>
  <si>
    <t>AUE22/0001419</t>
  </si>
  <si>
    <t>AUE22/0001442</t>
  </si>
  <si>
    <t>AUE22/0001417</t>
  </si>
  <si>
    <t>货改组随车带走</t>
    <phoneticPr fontId="15" type="noConversion"/>
  </si>
  <si>
    <t>AUE22/0001411</t>
  </si>
  <si>
    <t>AVU22/0000161</t>
  </si>
  <si>
    <t>AVU22/0000162</t>
  </si>
  <si>
    <t>AVU22/0000170</t>
  </si>
  <si>
    <t>UE22/0000737</t>
  </si>
  <si>
    <t>AUE22/0001382</t>
  </si>
  <si>
    <t>AUE22/0001383</t>
  </si>
  <si>
    <t>AUE22/0001384</t>
  </si>
  <si>
    <t>货改：1.2米软膜各2张</t>
    <phoneticPr fontId="15" type="noConversion"/>
  </si>
  <si>
    <t>23-11-2020</t>
  </si>
  <si>
    <t>28-01-2021</t>
  </si>
  <si>
    <t>09-04-2021</t>
  </si>
  <si>
    <t>21.25，为了和系统平账，没有单号，不用单号,不要写在手工帐里</t>
    <phoneticPr fontId="15" type="noConversion"/>
  </si>
  <si>
    <t>UE21/0000784</t>
  </si>
  <si>
    <t>18035.29金额不用算在欠款里面</t>
    <phoneticPr fontId="15" type="noConversion"/>
  </si>
  <si>
    <t>AVU22/0000160</t>
  </si>
  <si>
    <t>现金</t>
    <phoneticPr fontId="15" type="noConversion"/>
  </si>
  <si>
    <t>现金</t>
    <phoneticPr fontId="15" type="noConversion"/>
  </si>
  <si>
    <t>现金</t>
    <phoneticPr fontId="15" type="noConversion"/>
  </si>
  <si>
    <t>AUE22/0001499</t>
  </si>
  <si>
    <t>AUE22/0001497</t>
  </si>
  <si>
    <t>银行</t>
    <phoneticPr fontId="15" type="noConversion"/>
  </si>
  <si>
    <t>AUE22/0001486</t>
  </si>
  <si>
    <t>AUE22/0001505</t>
  </si>
  <si>
    <t>AUE22/0001500</t>
  </si>
  <si>
    <t>AUE22/0001519</t>
  </si>
  <si>
    <t>UE22/0000852</t>
  </si>
  <si>
    <t>AUE22/0001498</t>
  </si>
  <si>
    <t>AUE22/0001511</t>
  </si>
  <si>
    <t>AUE22/0001540</t>
  </si>
  <si>
    <t>AUE22/0001536</t>
  </si>
  <si>
    <t>AUE22/0001482</t>
  </si>
  <si>
    <t>AUE22/0001508</t>
  </si>
  <si>
    <t>不算在欠款表格里；958.15意大利销售，西班牙代收货款AUN20/0000546</t>
    <phoneticPr fontId="15" type="noConversion"/>
  </si>
  <si>
    <t>现金</t>
    <phoneticPr fontId="15" type="noConversion"/>
  </si>
  <si>
    <r>
      <t>5</t>
    </r>
    <r>
      <rPr>
        <sz val="11"/>
        <rFont val="宋体"/>
        <family val="3"/>
        <charset val="134"/>
      </rPr>
      <t>月13日刘昊东现金交款4446.85</t>
    </r>
    <phoneticPr fontId="15" type="noConversion"/>
  </si>
  <si>
    <t>现金</t>
    <phoneticPr fontId="22" type="noConversion"/>
  </si>
  <si>
    <t>其他抵扣</t>
    <phoneticPr fontId="22" type="noConversion"/>
  </si>
  <si>
    <t>AUE22/0001518</t>
  </si>
  <si>
    <t>AUE22/0001545</t>
  </si>
  <si>
    <t>AUE21/0000105</t>
    <phoneticPr fontId="15" type="noConversion"/>
  </si>
  <si>
    <t>AUE22/0001503</t>
  </si>
  <si>
    <t>AUE22/0001506</t>
  </si>
  <si>
    <t>AUE22/0001533</t>
  </si>
  <si>
    <t>AVU22/0000173</t>
  </si>
  <si>
    <t>AVU22/0000177</t>
  </si>
  <si>
    <t>支票存兑</t>
    <phoneticPr fontId="15" type="noConversion"/>
  </si>
  <si>
    <t>支票存兑</t>
    <phoneticPr fontId="15" type="noConversion"/>
  </si>
  <si>
    <t>AVU22/0000174</t>
  </si>
  <si>
    <t>小鱼电子样品</t>
    <phoneticPr fontId="15" type="noConversion"/>
  </si>
  <si>
    <t>张弛带回样品退货</t>
  </si>
  <si>
    <t>其他抵扣</t>
    <phoneticPr fontId="15" type="noConversion"/>
  </si>
  <si>
    <t>AUE22/0001555</t>
  </si>
  <si>
    <t>AUE22/0001600</t>
  </si>
  <si>
    <t>AUE22/0001601</t>
  </si>
  <si>
    <t>AUE22/0001609</t>
  </si>
  <si>
    <t>AUE22/0001569</t>
  </si>
  <si>
    <t>AUE22/0001587</t>
  </si>
  <si>
    <t>AUE22/0001594</t>
  </si>
  <si>
    <t>UE22/0000907</t>
  </si>
  <si>
    <t>AUE22/0001596</t>
  </si>
  <si>
    <t>现金</t>
    <phoneticPr fontId="15" type="noConversion"/>
  </si>
  <si>
    <t>AUE22/0001563</t>
  </si>
  <si>
    <t>AUE22/0001564</t>
  </si>
  <si>
    <t>AUE22/0001607</t>
  </si>
  <si>
    <t>AUE22/0001608</t>
  </si>
  <si>
    <t>AUE22/0001568</t>
  </si>
  <si>
    <t>银行</t>
    <phoneticPr fontId="15" type="noConversion"/>
  </si>
  <si>
    <t>AUE22/0001604</t>
  </si>
  <si>
    <t>AUE22/0001566</t>
  </si>
  <si>
    <t>5月3日张微现金支票交款7000</t>
    <phoneticPr fontId="15" type="noConversion"/>
  </si>
  <si>
    <t>支票存兑</t>
    <phoneticPr fontId="15" type="noConversion"/>
  </si>
  <si>
    <t>支票存兑</t>
    <phoneticPr fontId="15" type="noConversion"/>
  </si>
  <si>
    <t>AUE22/0001583</t>
  </si>
  <si>
    <t>AUE22/0001550</t>
  </si>
  <si>
    <t>AUE22/0001602</t>
  </si>
  <si>
    <t>UE22/0000900</t>
  </si>
  <si>
    <t>UE22/0000901</t>
  </si>
  <si>
    <t>AUE22/0001567</t>
  </si>
  <si>
    <t>AUE22/0001575</t>
  </si>
  <si>
    <t>AUE22/0001565</t>
  </si>
  <si>
    <t>AUE22/0001578</t>
  </si>
  <si>
    <t>AUE22/0001588</t>
  </si>
  <si>
    <t>AUE22/0001603</t>
  </si>
  <si>
    <t>现金</t>
    <phoneticPr fontId="15" type="noConversion"/>
  </si>
  <si>
    <t>AUE22/0001546</t>
  </si>
  <si>
    <t>AUE22/0001582</t>
  </si>
  <si>
    <t>发票号</t>
  </si>
  <si>
    <t>AUE22/0001557</t>
  </si>
  <si>
    <t>AVU22/0000178</t>
  </si>
  <si>
    <t>AVU22/0000180</t>
  </si>
  <si>
    <t>FT 22/0000104</t>
  </si>
  <si>
    <t>UE22/0000936</t>
  </si>
  <si>
    <t>ASJEYU S.L. 安信科技</t>
    <phoneticPr fontId="15" type="noConversion"/>
  </si>
  <si>
    <t>UE22/0000989</t>
  </si>
  <si>
    <t>UE22/0000964</t>
  </si>
  <si>
    <t>UE22/0000985</t>
  </si>
  <si>
    <t>支票存兑</t>
    <phoneticPr fontId="15" type="noConversion"/>
  </si>
  <si>
    <t>AUE22/0001670</t>
  </si>
  <si>
    <t>AUE22/0001671</t>
  </si>
  <si>
    <t>AUE22/0001624</t>
  </si>
  <si>
    <t>AUE22/0001629</t>
  </si>
  <si>
    <t>AUE22/0001677</t>
  </si>
  <si>
    <t>AUE22/0001633</t>
  </si>
  <si>
    <t>AUE22/0001656</t>
  </si>
  <si>
    <t>AUE22/0001674</t>
  </si>
  <si>
    <t>现金</t>
    <phoneticPr fontId="15" type="noConversion"/>
  </si>
  <si>
    <t>AUE22/0001635</t>
  </si>
  <si>
    <t>AUE22/0001642</t>
  </si>
  <si>
    <t>AUE22/0001658</t>
  </si>
  <si>
    <t>银行</t>
    <phoneticPr fontId="15" type="noConversion"/>
  </si>
  <si>
    <t>AUE22/0001628</t>
  </si>
  <si>
    <t>AUE22/0001616</t>
  </si>
  <si>
    <t>AUE22/0001617</t>
  </si>
  <si>
    <t>AUE22/0001618</t>
  </si>
  <si>
    <t>AUE22/0001619</t>
  </si>
  <si>
    <t>补AUE22/0001276  特殊折扣0.066</t>
  </si>
  <si>
    <t>补AUE22/0001511  特殊折扣0.066</t>
  </si>
  <si>
    <t>补AUE22/0001540  特殊折扣0.066</t>
  </si>
  <si>
    <t>补AUE22/0001604  特殊折扣0.066</t>
  </si>
  <si>
    <t>AUE22/0001636</t>
  </si>
  <si>
    <t>AUE22/0001640</t>
  </si>
  <si>
    <t>AUE22/0001648</t>
  </si>
  <si>
    <t>AUE22/0001664</t>
  </si>
  <si>
    <t>AUE22/0001634</t>
  </si>
  <si>
    <t>UE22/0000965</t>
  </si>
  <si>
    <t>AUE22/0001676</t>
  </si>
  <si>
    <t>AUE22/0001654</t>
  </si>
  <si>
    <t>现金</t>
    <phoneticPr fontId="15" type="noConversion"/>
  </si>
  <si>
    <t>AUE22/0001631</t>
  </si>
  <si>
    <t>银行</t>
    <phoneticPr fontId="15" type="noConversion"/>
  </si>
  <si>
    <t>5096.23支票退票改为银行汇款</t>
    <phoneticPr fontId="15" type="noConversion"/>
  </si>
  <si>
    <t>7412.97支票因日期原因退票，无退票费，退票改为银行汇款</t>
    <phoneticPr fontId="15" type="noConversion"/>
  </si>
  <si>
    <t>2606.9支票（可兑日期2022.6.15）退票改为银行汇款</t>
    <phoneticPr fontId="15" type="noConversion"/>
  </si>
  <si>
    <t>AVU22/0000189</t>
  </si>
  <si>
    <t>UE22/0000954</t>
  </si>
  <si>
    <t>ESON IMPORT EXPORT S.L 百货城</t>
  </si>
  <si>
    <t>IBERMAYORISTA 2020 S.L 顺丰集团</t>
  </si>
  <si>
    <t>AUE22/0001693</t>
  </si>
  <si>
    <t>AUE22/0001696</t>
  </si>
  <si>
    <t>AUE22/0001704</t>
  </si>
  <si>
    <t>AUE22/0001729</t>
  </si>
  <si>
    <t>AUE22/0001730</t>
  </si>
  <si>
    <t>AUE22/0001731</t>
  </si>
  <si>
    <t>AUE22/0001737</t>
  </si>
  <si>
    <t>AUE22/0001774</t>
  </si>
  <si>
    <t>差价单 42835欧 5个点/备注活动返点</t>
  </si>
  <si>
    <t>威锋运费补贴500</t>
  </si>
  <si>
    <t>13622欧 5个点/备注活动返点</t>
  </si>
  <si>
    <t>银行</t>
    <phoneticPr fontId="15" type="noConversion"/>
  </si>
  <si>
    <t>AUE22/0001747</t>
  </si>
  <si>
    <t>AUE22/0001752</t>
  </si>
  <si>
    <t>AUE22/0001744</t>
  </si>
  <si>
    <t>AUE22/0001778</t>
  </si>
  <si>
    <t>AUE22/0001779</t>
  </si>
  <si>
    <t>AUE22/0001732</t>
  </si>
  <si>
    <t>AUE22/0001750</t>
  </si>
  <si>
    <t>AUE22/0001753</t>
  </si>
  <si>
    <t>AUE22/0001777</t>
  </si>
  <si>
    <t>AUE22/0001690</t>
  </si>
  <si>
    <t>AUE22/0001710</t>
  </si>
  <si>
    <t>AUE22/0001712</t>
  </si>
  <si>
    <t>AUE22/0001715</t>
  </si>
  <si>
    <t>AUE22/0001758</t>
  </si>
  <si>
    <t>其他抵扣</t>
    <phoneticPr fontId="15" type="noConversion"/>
  </si>
  <si>
    <t>运输标贴专用</t>
  </si>
  <si>
    <t>AUE22/0001697</t>
  </si>
  <si>
    <t>AUE22/0001711</t>
  </si>
  <si>
    <t>AUE22/0001746</t>
  </si>
  <si>
    <t>UE22/0001054</t>
  </si>
  <si>
    <t>UE22/0001053</t>
  </si>
  <si>
    <t>AUE22/0001751</t>
  </si>
  <si>
    <t>AUE22/0001754</t>
  </si>
  <si>
    <t>AUE22/0001776</t>
  </si>
  <si>
    <t>AUE22/0001694</t>
  </si>
  <si>
    <t>AUE22/0001700</t>
  </si>
  <si>
    <t>AUE22/0001701</t>
  </si>
  <si>
    <t>AUE22/0001709</t>
  </si>
  <si>
    <t>现金</t>
    <phoneticPr fontId="15" type="noConversion"/>
  </si>
  <si>
    <t>AUE22/0001734</t>
  </si>
  <si>
    <t>支票存兑</t>
    <phoneticPr fontId="15" type="noConversion"/>
  </si>
  <si>
    <t>AUE22/0001705</t>
  </si>
  <si>
    <t>AUE22/0001707</t>
  </si>
  <si>
    <t>AUE22/0001714</t>
  </si>
  <si>
    <t>AUE22/0001683</t>
  </si>
  <si>
    <t>AUE22/0001688</t>
  </si>
  <si>
    <t>AUE22/0001687</t>
  </si>
  <si>
    <t>AUE22/0001695</t>
  </si>
  <si>
    <t>FT 22/0000118</t>
  </si>
  <si>
    <t>AVU22/0000234</t>
  </si>
  <si>
    <t>AVU22/0000235</t>
  </si>
  <si>
    <t>UE22/0001139</t>
  </si>
  <si>
    <t>AUE22/0001832</t>
  </si>
  <si>
    <t>UE22/0001112</t>
  </si>
  <si>
    <t>UE22/0001143</t>
  </si>
  <si>
    <t>AUE22/0001856</t>
  </si>
  <si>
    <t>AUE22/0001830</t>
  </si>
  <si>
    <t>退货差额</t>
  </si>
  <si>
    <t>AUE22/0001842</t>
  </si>
  <si>
    <t>AUE22/0001868</t>
  </si>
  <si>
    <t>AUE22/0001870</t>
  </si>
  <si>
    <t>其他抵扣</t>
    <phoneticPr fontId="15" type="noConversion"/>
  </si>
  <si>
    <t>货改</t>
  </si>
  <si>
    <t>货改</t>
    <phoneticPr fontId="15" type="noConversion"/>
  </si>
  <si>
    <t>AUE22/0001815</t>
  </si>
  <si>
    <t>AUE22/0001851</t>
  </si>
  <si>
    <t>AUE22/0001852</t>
  </si>
  <si>
    <t>AUE22/0001798</t>
  </si>
  <si>
    <t>FT 22/0000121</t>
  </si>
  <si>
    <t>银行</t>
    <phoneticPr fontId="15" type="noConversion"/>
  </si>
  <si>
    <t>AVU22/0000238</t>
  </si>
  <si>
    <t>AUE22/0001833</t>
  </si>
  <si>
    <t>现金</t>
    <phoneticPr fontId="15" type="noConversion"/>
  </si>
  <si>
    <t>XIAODIE YE</t>
    <phoneticPr fontId="15" type="noConversion"/>
  </si>
  <si>
    <t>UE22/0204，单据于2月10日付款。此次汇款一部分核销UE22/0989余款转预收账款 (冲红.原单:YHDK000007706)</t>
    <phoneticPr fontId="15" type="noConversion"/>
  </si>
  <si>
    <t>支票存兑</t>
    <phoneticPr fontId="15" type="noConversion"/>
  </si>
  <si>
    <t>UE22/0001205</t>
  </si>
  <si>
    <t>AUE22/0001917</t>
  </si>
  <si>
    <t>AUE22/0001934</t>
  </si>
  <si>
    <t>AUE22/0001925</t>
  </si>
  <si>
    <t>AUE22/0001935</t>
  </si>
  <si>
    <t>现金</t>
    <phoneticPr fontId="15" type="noConversion"/>
  </si>
  <si>
    <t>UE22/0000666</t>
  </si>
  <si>
    <t>UE22/0001194</t>
  </si>
  <si>
    <t>银行</t>
    <phoneticPr fontId="15" type="noConversion"/>
  </si>
  <si>
    <t>AUE22/0001936</t>
  </si>
  <si>
    <t>AUE22/0001971</t>
  </si>
  <si>
    <t>运费差价</t>
  </si>
  <si>
    <t>AUE22/0001943</t>
  </si>
  <si>
    <t>银行</t>
    <phoneticPr fontId="15" type="noConversion"/>
  </si>
  <si>
    <t>AUE22/0001947</t>
  </si>
  <si>
    <t>AUE22/0001921</t>
  </si>
  <si>
    <t>AUE22/0001951</t>
  </si>
  <si>
    <t>AUE22/0001955</t>
  </si>
  <si>
    <t>AUE22/0001897</t>
  </si>
  <si>
    <t>AUE22/0001926</t>
  </si>
  <si>
    <t>AUE22/0001938</t>
  </si>
  <si>
    <t>AUE22/1442  折扣价改成一口价，补差价</t>
  </si>
  <si>
    <t>AUE22/0001924</t>
  </si>
  <si>
    <t>AUE22/0001948</t>
  </si>
  <si>
    <t>AUE22/0001953</t>
  </si>
  <si>
    <t>UE22/0001186</t>
  </si>
  <si>
    <t>打印运输贴纸测试单，单据直接完成直接退掉</t>
  </si>
  <si>
    <t>测试单退单</t>
  </si>
  <si>
    <t>AUE22/0001958</t>
  </si>
  <si>
    <t>AVU22/0000252</t>
  </si>
  <si>
    <t>AVU22/0000253</t>
  </si>
  <si>
    <t>AVU22/0000254</t>
  </si>
  <si>
    <t>AUE22/0002048</t>
    <phoneticPr fontId="15" type="noConversion"/>
  </si>
  <si>
    <t>UE22/0001219</t>
  </si>
  <si>
    <t>UE22/0001260</t>
  </si>
  <si>
    <t>AUE22/0002040</t>
  </si>
  <si>
    <t>AUE22/0001986</t>
  </si>
  <si>
    <t>现金</t>
    <phoneticPr fontId="15" type="noConversion"/>
  </si>
  <si>
    <t>AUE22/0002035</t>
  </si>
  <si>
    <t>UE22/0001230</t>
  </si>
  <si>
    <t>AUE22/0001994</t>
  </si>
  <si>
    <t>现金</t>
    <phoneticPr fontId="15" type="noConversion"/>
  </si>
  <si>
    <t>UE22/0001235</t>
  </si>
  <si>
    <t>AUE22/0001990</t>
  </si>
  <si>
    <t>现金</t>
    <phoneticPr fontId="15" type="noConversion"/>
  </si>
  <si>
    <t>AUE22/0002050</t>
  </si>
  <si>
    <t>现金</t>
    <phoneticPr fontId="15" type="noConversion"/>
  </si>
  <si>
    <t>6月20日黄子航现金交款9224.45</t>
    <phoneticPr fontId="15" type="noConversion"/>
  </si>
  <si>
    <t>AUE22/0001983</t>
  </si>
  <si>
    <t>AUE22/0002052</t>
  </si>
  <si>
    <t>AUE22/0002054</t>
  </si>
  <si>
    <t>AUE22/0002056</t>
  </si>
  <si>
    <t>AUE22/0002058</t>
  </si>
  <si>
    <t>AUE22/0002017</t>
  </si>
  <si>
    <t>AUE22/0001178</t>
    <phoneticPr fontId="15" type="noConversion"/>
  </si>
  <si>
    <t>AUE22/0002061</t>
  </si>
  <si>
    <t>AUE22/0002063</t>
  </si>
  <si>
    <t>AUE22/0002018</t>
  </si>
  <si>
    <t>6月14日银行收款7478.24</t>
    <phoneticPr fontId="15" type="noConversion"/>
  </si>
  <si>
    <t>AUE22/0002067</t>
  </si>
  <si>
    <t>AUE22/0001991</t>
  </si>
  <si>
    <t>AUE22/0001995</t>
  </si>
  <si>
    <t>AUE22/0002057</t>
  </si>
  <si>
    <t>AUE22/0002009</t>
  </si>
  <si>
    <t>AUE22/0002065</t>
  </si>
  <si>
    <t>AUE22/0002066</t>
  </si>
  <si>
    <t>FT 22/0000144</t>
  </si>
  <si>
    <t>2021/05/26现金6000
2021/10/08其他抵扣0.44</t>
    <phoneticPr fontId="15" type="noConversion"/>
  </si>
  <si>
    <t>2020/3/12其他抵扣0.02，抹零</t>
    <phoneticPr fontId="15" type="noConversion"/>
  </si>
  <si>
    <t>SU NING IMPORT Y EXPORT S.L</t>
    <phoneticPr fontId="15" type="noConversion"/>
  </si>
  <si>
    <t>UE22/0001278</t>
  </si>
  <si>
    <t>UE22/0001300</t>
  </si>
  <si>
    <t>合计</t>
    <phoneticPr fontId="15" type="noConversion"/>
  </si>
  <si>
    <t>UE22/0001411</t>
    <phoneticPr fontId="15" type="noConversion"/>
  </si>
  <si>
    <t>AUE22/0002085</t>
    <phoneticPr fontId="15" type="noConversion"/>
  </si>
  <si>
    <t>AUE22/0002140</t>
    <phoneticPr fontId="15" type="noConversion"/>
  </si>
  <si>
    <t>AUE22/0001887</t>
    <phoneticPr fontId="15" type="noConversion"/>
  </si>
  <si>
    <t>展销会开发客户</t>
    <phoneticPr fontId="15" type="noConversion"/>
  </si>
  <si>
    <t>AUE22/0001887黄子航新开发客户转单过来 核销</t>
    <phoneticPr fontId="15" type="noConversion"/>
  </si>
  <si>
    <t>AUE22/0002150</t>
    <phoneticPr fontId="15" type="noConversion"/>
  </si>
  <si>
    <t>UE22/0001389</t>
    <phoneticPr fontId="68" type="noConversion"/>
  </si>
  <si>
    <t>AUE22/0002151</t>
    <phoneticPr fontId="15" type="noConversion"/>
  </si>
  <si>
    <t>AUE22/0002138</t>
    <phoneticPr fontId="15" type="noConversion"/>
  </si>
  <si>
    <t>AUE22/0002072</t>
    <phoneticPr fontId="15" type="noConversion"/>
  </si>
  <si>
    <t>UE22/0001364</t>
    <phoneticPr fontId="15" type="noConversion"/>
  </si>
  <si>
    <t>AUE22/0002095</t>
    <phoneticPr fontId="15" type="noConversion"/>
  </si>
  <si>
    <t>AUE22/0002128</t>
  </si>
  <si>
    <t>运输标贴专用</t>
    <phoneticPr fontId="15" type="noConversion"/>
  </si>
  <si>
    <t>AUE22/0002149</t>
    <phoneticPr fontId="15" type="noConversion"/>
  </si>
  <si>
    <t>AUE22/0002096</t>
    <phoneticPr fontId="15" type="noConversion"/>
  </si>
  <si>
    <t>UE22/0001297</t>
    <phoneticPr fontId="15" type="noConversion"/>
  </si>
  <si>
    <t>两个产品客人不要了，需要重新出发票</t>
    <phoneticPr fontId="15" type="noConversion"/>
  </si>
  <si>
    <t>UE22/0001285</t>
    <phoneticPr fontId="15" type="noConversion"/>
  </si>
  <si>
    <t>银行</t>
    <phoneticPr fontId="15" type="noConversion"/>
  </si>
  <si>
    <t>AUE22/0002155</t>
    <phoneticPr fontId="15" type="noConversion"/>
  </si>
  <si>
    <t>AUE22/0002099</t>
    <phoneticPr fontId="15" type="noConversion"/>
  </si>
  <si>
    <t>AUE22/0002144</t>
  </si>
  <si>
    <t>AUE22/0002147</t>
  </si>
  <si>
    <t>运输贴纸专用</t>
    <phoneticPr fontId="15" type="noConversion"/>
  </si>
  <si>
    <t>AUE22/0002126</t>
  </si>
  <si>
    <t>AUE22/0002135</t>
  </si>
  <si>
    <t>AUE22/0002075</t>
  </si>
  <si>
    <t>AUE22/0002088</t>
  </si>
  <si>
    <t>AUE22/0002101</t>
  </si>
  <si>
    <t>运输标贴专用</t>
    <phoneticPr fontId="64" type="noConversion"/>
  </si>
  <si>
    <t>AVU22/0000283</t>
    <phoneticPr fontId="15" type="noConversion"/>
  </si>
  <si>
    <t>测试单</t>
    <phoneticPr fontId="15" type="noConversion"/>
  </si>
  <si>
    <t>AVU22/0000281</t>
  </si>
  <si>
    <t>AVU22/0000272</t>
  </si>
  <si>
    <t>AVU22/0000271</t>
    <phoneticPr fontId="15" type="noConversion"/>
  </si>
  <si>
    <t>AUE22/0000203</t>
    <phoneticPr fontId="15" type="noConversion"/>
  </si>
  <si>
    <t>AUE22/0002234</t>
  </si>
  <si>
    <t>AUE22/0002198</t>
  </si>
  <si>
    <t>AUE22/0002184</t>
  </si>
  <si>
    <t>AUE22/0002176</t>
  </si>
  <si>
    <t>AUE22/0002186</t>
  </si>
  <si>
    <t>AUE22/0002197</t>
  </si>
  <si>
    <t>AVU22/0000286</t>
  </si>
  <si>
    <t>测试单</t>
  </si>
  <si>
    <t>AVU22/0000287</t>
  </si>
  <si>
    <t>打印测试贴纸</t>
  </si>
  <si>
    <t>UE22/0001439</t>
  </si>
  <si>
    <t>AUE22/0002196</t>
  </si>
  <si>
    <t>AUE22/0002212</t>
  </si>
  <si>
    <t>AUE22/0002195</t>
  </si>
  <si>
    <t>AUE22/0002215</t>
  </si>
  <si>
    <t>AUE22/1602  FN1509产品退差价</t>
  </si>
  <si>
    <t>正负单抵扣</t>
    <phoneticPr fontId="15" type="noConversion"/>
  </si>
  <si>
    <t>AUE22/0002214</t>
  </si>
  <si>
    <t>AUE22/0002243</t>
  </si>
  <si>
    <t>AUE22/0002172</t>
  </si>
  <si>
    <t>AUE22/0002174</t>
  </si>
  <si>
    <t>AUE22/0002177</t>
  </si>
  <si>
    <t>货改物料，广告牌，加急，同GXSD202207040003一起发，一口价9297-3.5</t>
  </si>
  <si>
    <t>正负单抵扣</t>
    <phoneticPr fontId="15" type="noConversion"/>
  </si>
  <si>
    <t>支付百货城差价</t>
    <phoneticPr fontId="15" type="noConversion"/>
  </si>
  <si>
    <t>现金</t>
    <phoneticPr fontId="15" type="noConversion"/>
  </si>
  <si>
    <t>其他抵扣</t>
    <phoneticPr fontId="15" type="noConversion"/>
  </si>
  <si>
    <t>现金收款14087.35</t>
    <phoneticPr fontId="15" type="noConversion"/>
  </si>
  <si>
    <t>现金</t>
    <phoneticPr fontId="15" type="noConversion"/>
  </si>
  <si>
    <t>7月4日张微现金支票交款2011.11</t>
    <phoneticPr fontId="15" type="noConversion"/>
  </si>
  <si>
    <t>正负单抵扣</t>
    <phoneticPr fontId="15" type="noConversion"/>
  </si>
  <si>
    <t>7月4日黄子航现金交款4000</t>
    <phoneticPr fontId="15" type="noConversion"/>
  </si>
  <si>
    <t>其他抵扣</t>
    <phoneticPr fontId="64" type="noConversion"/>
  </si>
  <si>
    <t>现金</t>
    <phoneticPr fontId="15" type="noConversion"/>
  </si>
  <si>
    <t>银行</t>
    <phoneticPr fontId="15" type="noConversion"/>
  </si>
  <si>
    <t>现金</t>
    <phoneticPr fontId="61" type="noConversion"/>
  </si>
  <si>
    <t>AUE22/0001987</t>
    <phoneticPr fontId="15" type="noConversion"/>
  </si>
  <si>
    <t>AUE22/0001987活动返点</t>
    <phoneticPr fontId="15" type="noConversion"/>
  </si>
  <si>
    <t>银行收款6笔，总计23113.63欧</t>
    <phoneticPr fontId="15" type="noConversion"/>
  </si>
  <si>
    <t>UE21/0001736</t>
  </si>
  <si>
    <t>其他抵扣</t>
    <phoneticPr fontId="15" type="noConversion"/>
  </si>
  <si>
    <t>送礼品</t>
  </si>
  <si>
    <t>样品</t>
  </si>
  <si>
    <t>5000*1.08*1.21=6534，帮威风代采rock钢化膜，运费60</t>
  </si>
  <si>
    <t>AUE22/0002348</t>
  </si>
  <si>
    <t>AUE22/0002337</t>
  </si>
  <si>
    <t>AUE22/0002302</t>
  </si>
  <si>
    <t>AUE22/0002303</t>
  </si>
  <si>
    <t>AUE22/0002336</t>
  </si>
  <si>
    <t>AVU22/0000299</t>
  </si>
  <si>
    <t>FT 22/0000162</t>
  </si>
  <si>
    <t>AUE22/0002315</t>
  </si>
  <si>
    <t>AUE22/0002281</t>
  </si>
  <si>
    <t>AVU22/0000297</t>
  </si>
  <si>
    <t>AVU22/0000298</t>
  </si>
  <si>
    <t>AUE22/0002249</t>
  </si>
  <si>
    <t>AUE22/0002341</t>
  </si>
  <si>
    <t>AUE22/0002282</t>
  </si>
  <si>
    <t>预收账款转出交款</t>
    <phoneticPr fontId="15" type="noConversion"/>
  </si>
  <si>
    <t>银行</t>
    <phoneticPr fontId="15" type="noConversion"/>
  </si>
  <si>
    <t>支票存兑</t>
    <phoneticPr fontId="15" type="noConversion"/>
  </si>
  <si>
    <t>支票存兑</t>
    <phoneticPr fontId="15" type="noConversion"/>
  </si>
  <si>
    <t>银行</t>
    <phoneticPr fontId="15" type="noConversion"/>
  </si>
  <si>
    <t>银行收款799</t>
    <phoneticPr fontId="15" type="noConversion"/>
  </si>
  <si>
    <t>其他抵扣</t>
    <phoneticPr fontId="15" type="noConversion"/>
  </si>
  <si>
    <t>AUE22/0002343</t>
    <phoneticPr fontId="15" type="noConversion"/>
  </si>
  <si>
    <t>LA CORUNA</t>
    <phoneticPr fontId="15" type="noConversion"/>
  </si>
  <si>
    <t>内岛</t>
    <phoneticPr fontId="15" type="noConversion"/>
  </si>
  <si>
    <t>EURO COMPLEMENTOS ASIA S.L</t>
    <phoneticPr fontId="15" type="noConversion"/>
  </si>
  <si>
    <t>AUE22/0002390</t>
  </si>
  <si>
    <t>UE22/0001585</t>
  </si>
  <si>
    <t>UE22/0001600</t>
  </si>
  <si>
    <t>UE22/0001604</t>
  </si>
  <si>
    <t>AUE22/0002395</t>
  </si>
  <si>
    <t>AUE22/0002396</t>
  </si>
  <si>
    <t>AUE22/0002403</t>
  </si>
  <si>
    <t>AUE22/0002407</t>
  </si>
  <si>
    <t>AUE22/0002426</t>
  </si>
  <si>
    <t>7月11日垫付货款1W，计提折扣5%</t>
  </si>
  <si>
    <t>7月18日垫付货款1W，计提折扣5%</t>
  </si>
  <si>
    <t>AUE22/0002362</t>
  </si>
  <si>
    <t>AUE22/0002383</t>
  </si>
  <si>
    <t>UE22/0001617</t>
  </si>
  <si>
    <t>AUE22/0002442</t>
  </si>
  <si>
    <t>AUE22/0002440</t>
  </si>
  <si>
    <t>AUE22/0002441</t>
  </si>
  <si>
    <t>AUE22/0002431</t>
  </si>
  <si>
    <t>AUE22/0002361</t>
  </si>
  <si>
    <t>AUE22/0002381</t>
  </si>
  <si>
    <t>AUE22/0002386</t>
  </si>
  <si>
    <t>AUE22/0002389</t>
  </si>
  <si>
    <t>AUE22/0002398</t>
  </si>
  <si>
    <t>AUE22/0002409</t>
  </si>
  <si>
    <t>AUE22/0002413</t>
  </si>
  <si>
    <t>AUE22/0002397</t>
  </si>
  <si>
    <t>AUE22/0002392</t>
  </si>
  <si>
    <t>AUE22/0002394</t>
  </si>
  <si>
    <t>AUE22/0002439</t>
  </si>
  <si>
    <t>AUE22/0002380</t>
  </si>
  <si>
    <t>AUE22/0002410</t>
  </si>
  <si>
    <t>AUE22/0002408</t>
  </si>
  <si>
    <t>AUE22/0002404</t>
  </si>
  <si>
    <t>AUE22/0002405</t>
  </si>
  <si>
    <t>AUE22/0002406</t>
  </si>
  <si>
    <t>AUE22/0002382</t>
  </si>
  <si>
    <t>AUE22/0002415</t>
  </si>
  <si>
    <t>AUE22/0002416</t>
  </si>
  <si>
    <t>AUE22/0002417</t>
  </si>
  <si>
    <t>AUE22/0002432</t>
  </si>
  <si>
    <t>AUE22/0002433</t>
  </si>
  <si>
    <t>AVU22/0000303</t>
  </si>
  <si>
    <t>AVU22/0000313</t>
  </si>
  <si>
    <t>支票存兑</t>
    <phoneticPr fontId="15" type="noConversion"/>
  </si>
  <si>
    <t>现金</t>
    <phoneticPr fontId="15" type="noConversion"/>
  </si>
  <si>
    <t>刘昊东现金交款</t>
    <phoneticPr fontId="15" type="noConversion"/>
  </si>
  <si>
    <t>刘昊东现金交款；25折扣 一半AA ，打中包，外箱写数量 图片发邮箱hz</t>
    <phoneticPr fontId="15" type="noConversion"/>
  </si>
  <si>
    <t>刘昊东现金交款</t>
    <phoneticPr fontId="15" type="noConversion"/>
  </si>
  <si>
    <t>林总现金交款10090</t>
    <phoneticPr fontId="15" type="noConversion"/>
  </si>
  <si>
    <t>林总现金交款10090</t>
    <phoneticPr fontId="15" type="noConversion"/>
  </si>
  <si>
    <t>金总现金交款</t>
    <phoneticPr fontId="15" type="noConversion"/>
  </si>
  <si>
    <t>陆夏小华现金交款</t>
    <phoneticPr fontId="15" type="noConversion"/>
  </si>
  <si>
    <t>UE22/0001184</t>
    <phoneticPr fontId="15" type="noConversion"/>
  </si>
  <si>
    <t>AVU22/0000205</t>
    <phoneticPr fontId="15" type="noConversion"/>
  </si>
  <si>
    <t>AVU22/0000206</t>
    <phoneticPr fontId="15" type="noConversion"/>
  </si>
  <si>
    <t>暂时不发货</t>
    <phoneticPr fontId="15" type="noConversion"/>
  </si>
  <si>
    <t>银行</t>
    <phoneticPr fontId="15" type="noConversion"/>
  </si>
  <si>
    <t>7月1日银行收款3000</t>
    <phoneticPr fontId="15" type="noConversion"/>
  </si>
  <si>
    <t>7月1日银行收款3000</t>
    <phoneticPr fontId="15" type="noConversion"/>
  </si>
  <si>
    <t>陆夏小华</t>
  </si>
  <si>
    <t>SHIXIN TECHNOLOGY S.L.U 海威特</t>
    <phoneticPr fontId="15" type="noConversion"/>
  </si>
  <si>
    <t>AUE22/0002472</t>
  </si>
  <si>
    <t>UE22/0001644</t>
  </si>
  <si>
    <t>AUE22/0002479</t>
  </si>
  <si>
    <t>UE22/0001662</t>
  </si>
  <si>
    <t>AUE22/0002484</t>
  </si>
  <si>
    <t>AUE22/0002501</t>
  </si>
  <si>
    <t>AUE22/0002503</t>
  </si>
  <si>
    <t>AUE22/0002482</t>
  </si>
  <si>
    <t>AUE22/0002481</t>
  </si>
  <si>
    <t>UE22/0001641</t>
  </si>
  <si>
    <t>AUE22/0002486</t>
  </si>
  <si>
    <t>AUE22/0002489</t>
  </si>
  <si>
    <t>AUE22/0002455</t>
  </si>
  <si>
    <t>AUE22/0002491</t>
  </si>
  <si>
    <t>AUE22/0002457</t>
  </si>
  <si>
    <t>AUE22/0002463</t>
  </si>
  <si>
    <t>AUE22/0002452</t>
  </si>
  <si>
    <t>AUE22/0002453</t>
  </si>
  <si>
    <t>AUE22/0002456</t>
  </si>
  <si>
    <t>AUE22/0002459</t>
  </si>
  <si>
    <t>AUE22/0002492</t>
  </si>
  <si>
    <t>AUE22/0002450</t>
  </si>
  <si>
    <t>AUE22/0002465</t>
  </si>
  <si>
    <t>AUE22/0002487</t>
  </si>
  <si>
    <t>AUE22/0002477</t>
  </si>
  <si>
    <t>AUE22/0002478</t>
  </si>
  <si>
    <t>AUE22/0002470</t>
  </si>
  <si>
    <t>AUE22/0002474</t>
  </si>
  <si>
    <t>AUE22/0002468</t>
  </si>
  <si>
    <t>AUE22/0002490</t>
  </si>
  <si>
    <t>AUE22/0002500</t>
  </si>
  <si>
    <t>UE22/0001658</t>
  </si>
  <si>
    <t>UE22/0001693</t>
  </si>
  <si>
    <t>AUE22/0002502</t>
  </si>
  <si>
    <t>AUE22/0002506</t>
  </si>
  <si>
    <t>AUE22/0002507</t>
  </si>
  <si>
    <t>AUE22/0002499</t>
  </si>
  <si>
    <t>AUE22/0001477</t>
  </si>
  <si>
    <t>UE22/0001271</t>
  </si>
  <si>
    <t>UE22/0001336</t>
  </si>
  <si>
    <t>UE22/0001375</t>
  </si>
  <si>
    <t>UE22/0001385</t>
  </si>
  <si>
    <t>UE22/0001463</t>
  </si>
  <si>
    <t>UE22/0001465</t>
  </si>
  <si>
    <t>AUE22/0002220</t>
  </si>
  <si>
    <t>UE22/0001537</t>
  </si>
  <si>
    <t>UE22/0001567</t>
  </si>
  <si>
    <t>UE22/0001583</t>
  </si>
  <si>
    <t>其他抵扣</t>
    <phoneticPr fontId="15" type="noConversion"/>
  </si>
  <si>
    <t>AUE22/0002146</t>
    <phoneticPr fontId="15" type="noConversion"/>
  </si>
  <si>
    <t>打印运输贴纸</t>
  </si>
  <si>
    <t>AUE22/0000718</t>
    <phoneticPr fontId="15" type="noConversion"/>
  </si>
  <si>
    <t>销售填单业务员丁森林辉佣金转出交款 AUE22/0000718</t>
    <phoneticPr fontId="15" type="noConversion"/>
  </si>
  <si>
    <t>AUE22/0000717</t>
    <phoneticPr fontId="15" type="noConversion"/>
  </si>
  <si>
    <t>销售填单业务员丁森林辉佣金转出交款 AUE22/0000717</t>
    <phoneticPr fontId="15" type="noConversion"/>
  </si>
  <si>
    <t>AUE21/0002385</t>
    <phoneticPr fontId="15" type="noConversion"/>
  </si>
  <si>
    <t>丁森辉佣金转出交款 AUE21/0002385</t>
    <phoneticPr fontId="15" type="noConversion"/>
  </si>
  <si>
    <t>刘昊东现金支票交款</t>
    <phoneticPr fontId="15" type="noConversion"/>
  </si>
  <si>
    <t>陆夏小华现金交款</t>
    <phoneticPr fontId="15" type="noConversion"/>
  </si>
  <si>
    <t>现金</t>
    <phoneticPr fontId="15" type="noConversion"/>
  </si>
  <si>
    <t>银行</t>
    <phoneticPr fontId="15" type="noConversion"/>
  </si>
  <si>
    <t>陆夏小华现金交款</t>
    <phoneticPr fontId="15" type="noConversion"/>
  </si>
  <si>
    <t>银行</t>
    <phoneticPr fontId="15" type="noConversion"/>
  </si>
  <si>
    <t>现金</t>
    <phoneticPr fontId="15" type="noConversion"/>
  </si>
  <si>
    <t>支票存兑</t>
    <phoneticPr fontId="15" type="noConversion"/>
  </si>
  <si>
    <t>支票存兑</t>
    <phoneticPr fontId="15" type="noConversion"/>
  </si>
  <si>
    <t>盛杰交款</t>
    <phoneticPr fontId="15" type="noConversion"/>
  </si>
  <si>
    <t>AUE22/0002449</t>
    <phoneticPr fontId="15" type="noConversion"/>
  </si>
  <si>
    <t>FT 22/0000174</t>
  </si>
  <si>
    <t>FT 22/0000182</t>
  </si>
  <si>
    <t>FT 22/0000183</t>
  </si>
  <si>
    <t>AUE22/0002550</t>
  </si>
  <si>
    <t>AUE22/0002559</t>
  </si>
  <si>
    <t>AUE22/0002553</t>
  </si>
  <si>
    <t>AUE22/0002570</t>
  </si>
  <si>
    <t>AUE22/0002519</t>
  </si>
  <si>
    <t>AUE22/1059把风扇的额全部更改为一口价3.5,补差价</t>
    <phoneticPr fontId="15" type="noConversion"/>
  </si>
  <si>
    <t>AUE22/0002517</t>
  </si>
  <si>
    <t>AUE22/0002520</t>
  </si>
  <si>
    <t>AUE22/0002522</t>
  </si>
  <si>
    <t>AUE22/2517业务员报价少金额，从业务员佣金里抵扣</t>
    <phoneticPr fontId="15" type="noConversion"/>
  </si>
  <si>
    <t>AUE22/0002567</t>
  </si>
  <si>
    <t>AUE22/0002508</t>
  </si>
  <si>
    <t>AUE22/0002546</t>
  </si>
  <si>
    <t>AUE22/0002518</t>
  </si>
  <si>
    <t>AUE22/0002525</t>
  </si>
  <si>
    <t>AUE22/0002562</t>
  </si>
  <si>
    <t>AUE22/0002558</t>
  </si>
  <si>
    <t>AUE22/0002560</t>
  </si>
  <si>
    <t>AUE22/0002545</t>
  </si>
  <si>
    <t>AUE22/0002569</t>
  </si>
  <si>
    <t>盛杰</t>
    <phoneticPr fontId="15" type="noConversion"/>
  </si>
  <si>
    <t>AUE22/0002565</t>
  </si>
  <si>
    <t>UE22/0001722</t>
  </si>
  <si>
    <t>UE22/0001727</t>
  </si>
  <si>
    <t>AUE22/0002556</t>
  </si>
  <si>
    <t>AUE22/0002561</t>
  </si>
  <si>
    <t>AUE22/0002523</t>
  </si>
  <si>
    <t>AUE22/0002527</t>
  </si>
  <si>
    <t>AUE22/0002509</t>
  </si>
  <si>
    <t>AUE22/0002526</t>
  </si>
  <si>
    <t>AUE22/0002547</t>
  </si>
  <si>
    <t>AUE22/0002521</t>
  </si>
  <si>
    <t>其他抵扣</t>
    <phoneticPr fontId="15" type="noConversion"/>
  </si>
  <si>
    <t>正负相抵</t>
  </si>
  <si>
    <t>正负相抵</t>
    <phoneticPr fontId="15" type="noConversion"/>
  </si>
  <si>
    <t>正负相抵</t>
    <phoneticPr fontId="15" type="noConversion"/>
  </si>
  <si>
    <t>现金</t>
    <phoneticPr fontId="15" type="noConversion"/>
  </si>
  <si>
    <t>银行</t>
    <phoneticPr fontId="68" type="noConversion"/>
  </si>
  <si>
    <t>银行</t>
    <phoneticPr fontId="15" type="noConversion"/>
  </si>
  <si>
    <t>现金</t>
    <phoneticPr fontId="15" type="noConversion"/>
  </si>
  <si>
    <t>现金</t>
    <phoneticPr fontId="15" type="noConversion"/>
  </si>
  <si>
    <t>正负抵扣</t>
    <phoneticPr fontId="15" type="noConversion"/>
  </si>
  <si>
    <t>银行</t>
    <phoneticPr fontId="15" type="noConversion"/>
  </si>
  <si>
    <t>8月1日银行汇款188.28</t>
    <phoneticPr fontId="15" type="noConversion"/>
  </si>
  <si>
    <t>8月1日银行汇款188.28</t>
    <phoneticPr fontId="15" type="noConversion"/>
  </si>
  <si>
    <t>张弛现金交款</t>
    <phoneticPr fontId="15" type="noConversion"/>
  </si>
  <si>
    <t>现金</t>
    <phoneticPr fontId="64" type="noConversion"/>
  </si>
  <si>
    <t>正负抵扣</t>
    <phoneticPr fontId="64" type="noConversion"/>
  </si>
  <si>
    <t>正负抵扣</t>
    <phoneticPr fontId="15" type="noConversion"/>
  </si>
  <si>
    <t>正负抵扣</t>
    <phoneticPr fontId="15" type="noConversion"/>
  </si>
  <si>
    <t>正负抵扣</t>
    <phoneticPr fontId="15" type="noConversion"/>
  </si>
  <si>
    <t>正负抵扣</t>
    <phoneticPr fontId="15" type="noConversion"/>
  </si>
  <si>
    <t>AUE22/0000763</t>
    <phoneticPr fontId="15" type="noConversion"/>
  </si>
  <si>
    <t>盛杰</t>
  </si>
  <si>
    <t>ZHONGZHONG2022 S.L</t>
    <phoneticPr fontId="15" type="noConversion"/>
  </si>
  <si>
    <t>UE22/0001730</t>
  </si>
  <si>
    <t>UE22/0001731</t>
  </si>
  <si>
    <t>UE22/0001644  红冲修正</t>
  </si>
  <si>
    <t>AUE22/0002583</t>
  </si>
  <si>
    <t>AUE22/0002585</t>
  </si>
  <si>
    <t>AUE22/0002670</t>
  </si>
  <si>
    <t>AUE22/0002574</t>
  </si>
  <si>
    <t>AUE22/0002587</t>
  </si>
  <si>
    <t>AUE22/0002588</t>
  </si>
  <si>
    <t>AUE22/0002589</t>
  </si>
  <si>
    <t>AUE22/0002627</t>
  </si>
  <si>
    <t>AUE22/0002628</t>
  </si>
  <si>
    <t>AUE22/0002629</t>
  </si>
  <si>
    <t>AUE22/0002630</t>
  </si>
  <si>
    <t>整单退，客人没要</t>
  </si>
  <si>
    <t>整单退，客人不要</t>
  </si>
  <si>
    <t>整单退，客人不要了</t>
  </si>
  <si>
    <t>AUE22/0002601</t>
  </si>
  <si>
    <t>AUE22/2559 补5%的差价</t>
  </si>
  <si>
    <t>UE22/0001743</t>
  </si>
  <si>
    <t>AUE22/0002640</t>
  </si>
  <si>
    <t>AUE22/0002641</t>
  </si>
  <si>
    <t>AUE22/0002599</t>
  </si>
  <si>
    <t>AUE22/0002600</t>
  </si>
  <si>
    <t>AUE22/2463多给客人5点折扣，补差价单</t>
  </si>
  <si>
    <t>AUE22/0002654</t>
  </si>
  <si>
    <t>AUE22/0002655</t>
  </si>
  <si>
    <t>AUE22/0002656</t>
  </si>
  <si>
    <t>AUE22/0002642</t>
  </si>
  <si>
    <t>AUE22/0002678</t>
  </si>
  <si>
    <t>AUE22/0002679</t>
  </si>
  <si>
    <t>AUE22/0002683</t>
  </si>
  <si>
    <t>AUE22/0002652</t>
  </si>
  <si>
    <t>AUE22/0002625</t>
  </si>
  <si>
    <t>AUE22/0002635</t>
  </si>
  <si>
    <t>AUE22/0002638</t>
  </si>
  <si>
    <t>AUE22/0002575</t>
  </si>
  <si>
    <t>AUE22/0002577</t>
  </si>
  <si>
    <t>AUE22/0002581</t>
  </si>
  <si>
    <t>AUE22/0002580</t>
  </si>
  <si>
    <t>AUE22/0002598</t>
  </si>
  <si>
    <t>AUE22/0002591</t>
  </si>
  <si>
    <t>AUE22/0002592</t>
  </si>
  <si>
    <t>AUE22/0002582</t>
  </si>
  <si>
    <t>AUE22/0002620</t>
  </si>
  <si>
    <t>AUE22/0002639</t>
  </si>
  <si>
    <t>AUE22/0002602</t>
  </si>
  <si>
    <t>AUE22/0002617</t>
  </si>
  <si>
    <t>AUE22/0002633</t>
  </si>
  <si>
    <t>AUE22/0002576</t>
  </si>
  <si>
    <t>UE22/0001741</t>
  </si>
  <si>
    <t>UE22/0001768</t>
  </si>
  <si>
    <t>UE22/0001774</t>
  </si>
  <si>
    <t>AUE22/0002596</t>
  </si>
  <si>
    <t>AUE22/0002607</t>
  </si>
  <si>
    <t>AUE22/0002605</t>
  </si>
  <si>
    <t>AUE22/0002608</t>
  </si>
  <si>
    <t>AUE22/0002579</t>
  </si>
  <si>
    <t>AUE22/0002606</t>
  </si>
  <si>
    <t>AUE22/0002609</t>
  </si>
  <si>
    <t>AUE22/0002593</t>
  </si>
  <si>
    <t>AUE22/0002595</t>
  </si>
  <si>
    <t>AVU22/0000366</t>
  </si>
  <si>
    <t>NC 22/0000031</t>
  </si>
  <si>
    <t>UE22/0001738</t>
  </si>
  <si>
    <t>NC 22/0000032</t>
  </si>
  <si>
    <t>盛杰现金支票交款</t>
    <phoneticPr fontId="15" type="noConversion"/>
  </si>
  <si>
    <t>支票存兑</t>
    <phoneticPr fontId="15" type="noConversion"/>
  </si>
  <si>
    <t>金总现金支票交款2175</t>
    <phoneticPr fontId="15" type="noConversion"/>
  </si>
  <si>
    <t>田也现金支票交款</t>
    <phoneticPr fontId="15" type="noConversion"/>
  </si>
  <si>
    <t>正负单抵扣</t>
    <phoneticPr fontId="15" type="noConversion"/>
  </si>
  <si>
    <t>田也现金支票交款</t>
    <phoneticPr fontId="15" type="noConversion"/>
  </si>
  <si>
    <t>单据金额</t>
    <phoneticPr fontId="15" type="noConversion"/>
  </si>
  <si>
    <t>税额</t>
    <phoneticPr fontId="15" type="noConversion"/>
  </si>
  <si>
    <t>现金</t>
    <phoneticPr fontId="15" type="noConversion"/>
  </si>
  <si>
    <t>合计金额</t>
    <phoneticPr fontId="15" type="noConversion"/>
  </si>
  <si>
    <t>其他抵扣</t>
    <phoneticPr fontId="15" type="noConversion"/>
  </si>
  <si>
    <t>陆夏小华现金交款</t>
  </si>
  <si>
    <t>黄子航现金支票交款</t>
    <phoneticPr fontId="15" type="noConversion"/>
  </si>
  <si>
    <t>黄子航现金支票交款</t>
    <phoneticPr fontId="63" type="noConversion"/>
  </si>
  <si>
    <t>AUE19/0000415</t>
  </si>
  <si>
    <t>AUE19/0000333</t>
  </si>
  <si>
    <t>AUE19/0000238</t>
  </si>
  <si>
    <t>AUE22/0000204</t>
  </si>
  <si>
    <t>AUE22/0000971</t>
    <phoneticPr fontId="22" type="noConversion"/>
  </si>
  <si>
    <t>银行</t>
    <phoneticPr fontId="22" type="noConversion"/>
  </si>
  <si>
    <t>刘昊东现金交款</t>
    <phoneticPr fontId="22" type="noConversion"/>
  </si>
  <si>
    <t>8月9日现金交款1925.95</t>
    <phoneticPr fontId="15" type="noConversion"/>
  </si>
  <si>
    <t>AUE22/0000380</t>
    <phoneticPr fontId="15" type="noConversion"/>
  </si>
  <si>
    <t>剩余欠款</t>
    <phoneticPr fontId="15" type="noConversion"/>
  </si>
  <si>
    <t>AUE22/0000201</t>
  </si>
  <si>
    <t>AUE22/0000361</t>
  </si>
  <si>
    <t>AUE22/0000362</t>
  </si>
  <si>
    <t>刘昊东现金交款</t>
    <phoneticPr fontId="15" type="noConversion"/>
  </si>
  <si>
    <t>黄子航现金交款</t>
    <phoneticPr fontId="15" type="noConversion"/>
  </si>
  <si>
    <t>UE19/0000210</t>
  </si>
  <si>
    <t>UE19/0000213</t>
  </si>
  <si>
    <t>AUN19/0000830</t>
    <phoneticPr fontId="15" type="noConversion"/>
  </si>
  <si>
    <t>银行</t>
    <phoneticPr fontId="15" type="noConversion"/>
  </si>
  <si>
    <t>银行</t>
    <phoneticPr fontId="15" type="noConversion"/>
  </si>
  <si>
    <t>AUE21/0000980</t>
    <phoneticPr fontId="15" type="noConversion"/>
  </si>
  <si>
    <t>支票兑现</t>
    <phoneticPr fontId="15" type="noConversion"/>
  </si>
  <si>
    <t>2021/10/25支票兑现5000</t>
  </si>
  <si>
    <t>2021/10/25支票兑现5000</t>
    <phoneticPr fontId="15" type="noConversion"/>
  </si>
  <si>
    <t>现金收款2800</t>
    <phoneticPr fontId="15" type="noConversion"/>
  </si>
  <si>
    <t>陆夏小华现金交款</t>
    <phoneticPr fontId="15" type="noConversion"/>
  </si>
  <si>
    <t>黄子航现金交款</t>
    <phoneticPr fontId="15" type="noConversion"/>
  </si>
  <si>
    <t>AUE22/0000411</t>
    <phoneticPr fontId="15" type="noConversion"/>
  </si>
  <si>
    <t>林凯代收货款</t>
    <phoneticPr fontId="15" type="noConversion"/>
  </si>
  <si>
    <t>陈姿彩现金交款</t>
    <phoneticPr fontId="15" type="noConversion"/>
  </si>
  <si>
    <t>黄子航现金交款</t>
    <phoneticPr fontId="15" type="noConversion"/>
  </si>
  <si>
    <t>AUE22/0002707</t>
  </si>
  <si>
    <t>AUE22/0002728</t>
  </si>
  <si>
    <t>AUE22/0002733</t>
  </si>
  <si>
    <t>AUE22/0002735</t>
  </si>
  <si>
    <t>AUE22/0002736</t>
  </si>
  <si>
    <t>AUE22/0002762</t>
  </si>
  <si>
    <t>AUE22/0002777</t>
  </si>
  <si>
    <t>AUE22/0002738</t>
  </si>
  <si>
    <t>UE22/0001787</t>
  </si>
  <si>
    <t>AUE22/0002741</t>
  </si>
  <si>
    <t>AUE22/0002709</t>
  </si>
  <si>
    <t>AUE22/0002710</t>
  </si>
  <si>
    <t>AUE22/0002773</t>
  </si>
  <si>
    <t>AUE22/0002774</t>
  </si>
  <si>
    <t>AUE22/0002771</t>
  </si>
  <si>
    <t>AUE22/0002772</t>
  </si>
  <si>
    <t>AUE22/0002778</t>
  </si>
  <si>
    <t>AUE22/0002723</t>
  </si>
  <si>
    <t>AUE22/0002739</t>
  </si>
  <si>
    <t>AUE22/0002761</t>
  </si>
  <si>
    <t>AUE22/0002742</t>
  </si>
  <si>
    <t>AUE22/0002743</t>
  </si>
  <si>
    <t>AUE22/0002744</t>
  </si>
  <si>
    <t>AUE22/0002745</t>
  </si>
  <si>
    <t>AUE22/0002746</t>
  </si>
  <si>
    <t>AUE22/0002747</t>
  </si>
  <si>
    <t>AUE22/0002748</t>
  </si>
  <si>
    <t>AUE22/0002749</t>
  </si>
  <si>
    <t>AUE22/0002750</t>
  </si>
  <si>
    <t>AUE22/0002751</t>
  </si>
  <si>
    <t>AUE22/0002752</t>
  </si>
  <si>
    <t>AUE22/0002753</t>
  </si>
  <si>
    <t>AUE22/0002754</t>
  </si>
  <si>
    <t>AUE22/0002755</t>
  </si>
  <si>
    <t>AUE22/0002756</t>
  </si>
  <si>
    <t>AUE22/0002757</t>
  </si>
  <si>
    <t>AUE22/0002758</t>
  </si>
  <si>
    <t>AUE22/0002759</t>
  </si>
  <si>
    <t>补AUE22/0001694  特殊折扣0.066</t>
  </si>
  <si>
    <t>补AUE22/0001700  特殊折扣0.066</t>
  </si>
  <si>
    <t>补AUE22/0001701  特殊折扣0.066</t>
  </si>
  <si>
    <t>补AUE22/0001709  特殊折扣0.066</t>
  </si>
  <si>
    <t>补AUE22/0001951  特殊折扣0.066</t>
  </si>
  <si>
    <t>补AUE22/0001955  特殊折扣0.066</t>
  </si>
  <si>
    <t>补AUE22/0002052  特殊折扣0.066</t>
  </si>
  <si>
    <t>补AUE22/0002054  特殊折扣0.066</t>
  </si>
  <si>
    <t>补AUE22/0002056  特殊折扣0.066</t>
  </si>
  <si>
    <t>补AUE22/0002386  特殊折扣0.066</t>
  </si>
  <si>
    <t>补AUE22/0002398  特殊折扣0.066</t>
  </si>
  <si>
    <t>补AUE22/0002409  特殊折扣0.066</t>
  </si>
  <si>
    <t>补AUE22/0002413  特殊折扣0.066</t>
  </si>
  <si>
    <t>补AUE22/0002545  特殊折扣0.066</t>
  </si>
  <si>
    <t>补AUE22/0002575  特殊折扣0.066</t>
  </si>
  <si>
    <t>补AUE22/0002577  特殊折扣0.066</t>
  </si>
  <si>
    <t>补AUE22/0002581  特殊折扣0.066</t>
  </si>
  <si>
    <t>7月活动5个点返点  AUE22 2052  2056(-580) 2386 2398 2409 2413</t>
  </si>
  <si>
    <t>AUE22/0002729</t>
  </si>
  <si>
    <t>UE22/0001800</t>
  </si>
  <si>
    <t>UE22/0001811</t>
  </si>
  <si>
    <t>AUE22/0002721</t>
  </si>
  <si>
    <t>AUE22/0002708</t>
    <phoneticPr fontId="15" type="noConversion"/>
  </si>
  <si>
    <t>AUE22/0002763</t>
  </si>
  <si>
    <t>AVU22/0000375</t>
  </si>
  <si>
    <t>支票存兑</t>
    <phoneticPr fontId="15" type="noConversion"/>
  </si>
  <si>
    <t>银行</t>
    <phoneticPr fontId="68" type="noConversion"/>
  </si>
  <si>
    <t>银行</t>
    <phoneticPr fontId="15" type="noConversion"/>
  </si>
  <si>
    <t>现金</t>
    <phoneticPr fontId="15" type="noConversion"/>
  </si>
  <si>
    <t>8月19日收现金9657.38</t>
    <phoneticPr fontId="15" type="noConversion"/>
  </si>
  <si>
    <t>8月19日收现金9657.38</t>
    <phoneticPr fontId="15" type="noConversion"/>
  </si>
  <si>
    <t>银行收款6741.87</t>
    <phoneticPr fontId="15" type="noConversion"/>
  </si>
  <si>
    <t>UE22/0001818</t>
  </si>
  <si>
    <t>UE22/0001819</t>
  </si>
  <si>
    <t>AUE22/0002795</t>
  </si>
  <si>
    <t>AUE22/0002839</t>
  </si>
  <si>
    <t>AUE22/0002807</t>
  </si>
  <si>
    <t>AUE22/0002796</t>
  </si>
  <si>
    <t>AUE22/0002823</t>
  </si>
  <si>
    <t>AUE22/0002824</t>
  </si>
  <si>
    <t>AUE22/0002825</t>
  </si>
  <si>
    <t>AUE22/0002827</t>
  </si>
  <si>
    <t>AUE22/0002828</t>
  </si>
  <si>
    <t>AUE22/0002829</t>
  </si>
  <si>
    <t>三盛退货运费</t>
  </si>
  <si>
    <t>UE22/0001863</t>
  </si>
  <si>
    <t>AUE22/0002832</t>
  </si>
  <si>
    <t>AUE22/0002848</t>
  </si>
  <si>
    <t>AUE22/0002821</t>
  </si>
  <si>
    <t>AUE22/0002808</t>
  </si>
  <si>
    <t>AUE22/0002801</t>
  </si>
  <si>
    <t>AUE22/0002799</t>
  </si>
  <si>
    <t>AUE22/0002804</t>
  </si>
  <si>
    <t>AUE22/0002800</t>
  </si>
  <si>
    <t>AUE22/0002844</t>
  </si>
  <si>
    <t>AUE22/0002846</t>
  </si>
  <si>
    <t>AUE22/0002784</t>
  </si>
  <si>
    <t>AUE22/0002834</t>
  </si>
  <si>
    <t>AUE22/0002835</t>
  </si>
  <si>
    <t>AUE22/0002836</t>
  </si>
  <si>
    <t>AUE22/0002849</t>
  </si>
  <si>
    <t>AUE22/0002818</t>
  </si>
  <si>
    <t>AUE22/0002822</t>
  </si>
  <si>
    <t>8月24日公司代齐力买中包袋，向客户收回款</t>
  </si>
  <si>
    <t>AUE22/0002840</t>
  </si>
  <si>
    <t>UE22/0001827</t>
  </si>
  <si>
    <t>UE22/0001849</t>
  </si>
  <si>
    <t>UE22/0001861</t>
  </si>
  <si>
    <t>UE22/0001862</t>
  </si>
  <si>
    <t>UE22/0001867</t>
  </si>
  <si>
    <t>AUE22/0002842</t>
  </si>
  <si>
    <t>AUE22/0002851</t>
  </si>
  <si>
    <t>AUE22/0002780</t>
  </si>
  <si>
    <t>AUE22/0002797</t>
  </si>
  <si>
    <t>AUE22/0002811</t>
  </si>
  <si>
    <t>AUE22/0002787</t>
  </si>
  <si>
    <t>AUE22/0002788</t>
  </si>
  <si>
    <t>AUE22/0002789</t>
  </si>
  <si>
    <t>AUE22/0002790</t>
  </si>
  <si>
    <t>AUE22/0002791</t>
  </si>
  <si>
    <t>AUE22/0002792</t>
  </si>
  <si>
    <t>AUE22/0002794</t>
  </si>
  <si>
    <t>货改物料</t>
    <phoneticPr fontId="15" type="noConversion"/>
  </si>
  <si>
    <t>AVU22/0000384</t>
  </si>
  <si>
    <t>AVU22/0000385</t>
  </si>
  <si>
    <t>AVU22/0000386</t>
  </si>
  <si>
    <t>UE22/0001860</t>
  </si>
  <si>
    <t>现金</t>
    <phoneticPr fontId="15" type="noConversion"/>
  </si>
  <si>
    <t>现金</t>
    <phoneticPr fontId="15" type="noConversion"/>
  </si>
  <si>
    <t>银行</t>
    <phoneticPr fontId="15" type="noConversion"/>
  </si>
  <si>
    <t>支票存兑</t>
    <phoneticPr fontId="15" type="noConversion"/>
  </si>
  <si>
    <t>支票存兑</t>
    <phoneticPr fontId="15" type="noConversion"/>
  </si>
  <si>
    <t>其他抵扣</t>
    <phoneticPr fontId="15" type="noConversion"/>
  </si>
  <si>
    <t>XINHONG 2019 S.L 东方红贸易</t>
    <phoneticPr fontId="15" type="noConversion"/>
  </si>
  <si>
    <t>ZARAGOZA</t>
    <phoneticPr fontId="15" type="noConversion"/>
  </si>
  <si>
    <t>BAO LI DE S.L 宝力得</t>
    <phoneticPr fontId="15" type="noConversion"/>
  </si>
  <si>
    <t>MIDBOX MARKET S.L</t>
    <phoneticPr fontId="15" type="noConversion"/>
  </si>
  <si>
    <t>AUE22/0002881</t>
    <phoneticPr fontId="15" type="noConversion"/>
  </si>
  <si>
    <t>UE22/0001895</t>
  </si>
  <si>
    <t>AUE22/0002874</t>
  </si>
  <si>
    <t>AUE22/0002877</t>
  </si>
  <si>
    <t>AUE22/0002915</t>
  </si>
  <si>
    <t>运输标贴专用-月饼</t>
  </si>
  <si>
    <t>AUE22/0002920</t>
  </si>
  <si>
    <t>AUE22/0002930</t>
  </si>
  <si>
    <t>AUE22/0002921</t>
  </si>
  <si>
    <t>AUE22/0002922</t>
  </si>
  <si>
    <t>AUE22/0002923</t>
  </si>
  <si>
    <t>AUE22/0002928</t>
  </si>
  <si>
    <t>AUE22/0002924</t>
  </si>
  <si>
    <t>AUE22/0002861</t>
  </si>
  <si>
    <t>AUE22/0002862</t>
  </si>
  <si>
    <t>AUE22/0002929</t>
  </si>
  <si>
    <t>AUE22/0002894</t>
  </si>
  <si>
    <t>AUE22/0002926</t>
  </si>
  <si>
    <t>AUE22/0002911</t>
  </si>
  <si>
    <t>AUE22/0002910</t>
  </si>
  <si>
    <t>AUE22/0002909</t>
  </si>
  <si>
    <t>AUE22/0002913</t>
  </si>
  <si>
    <t>AUE22/0002863</t>
  </si>
  <si>
    <t>AUE22/0002870</t>
  </si>
  <si>
    <t>AUE22/0002883</t>
  </si>
  <si>
    <t>AUE22/0002927</t>
  </si>
  <si>
    <t>AUE22/0002857</t>
  </si>
  <si>
    <t>AUE22/0002871</t>
  </si>
  <si>
    <t>AUE22/0002864</t>
  </si>
  <si>
    <t>AUE22/0002885</t>
  </si>
  <si>
    <t>AUE22/0002887</t>
  </si>
  <si>
    <t>AUE22/0002888</t>
  </si>
  <si>
    <t>AUE22/0002855</t>
  </si>
  <si>
    <t>AUE22/0002925</t>
  </si>
  <si>
    <t>AUE22/0002916</t>
  </si>
  <si>
    <t>AUE22/0002917</t>
  </si>
  <si>
    <t>AUE22/0002918</t>
  </si>
  <si>
    <t>UE22/0001885</t>
  </si>
  <si>
    <t>UE22/0001913</t>
  </si>
  <si>
    <t>UE22/0001927</t>
  </si>
  <si>
    <t>AUE22/0002919</t>
  </si>
  <si>
    <t>运输专用贴-月饼用</t>
  </si>
  <si>
    <t>AUE22/0002914</t>
  </si>
  <si>
    <t>AUE22/0002879</t>
  </si>
  <si>
    <t>AVU22/0000393</t>
  </si>
  <si>
    <t>银行</t>
    <phoneticPr fontId="15" type="noConversion"/>
  </si>
  <si>
    <t>代购钢化玻璃款，已现金收款，对抵现金收款从前往后核销</t>
    <phoneticPr fontId="15" type="noConversion"/>
  </si>
  <si>
    <t>其他抵扣</t>
    <phoneticPr fontId="15" type="noConversion"/>
  </si>
  <si>
    <t>其他抵扣</t>
    <phoneticPr fontId="15" type="noConversion"/>
  </si>
  <si>
    <t>现金</t>
    <phoneticPr fontId="15" type="noConversion"/>
  </si>
  <si>
    <t>现金</t>
    <phoneticPr fontId="15" type="noConversion"/>
  </si>
  <si>
    <t>盛杰现金支票交款</t>
    <phoneticPr fontId="15" type="noConversion"/>
  </si>
  <si>
    <t>现金</t>
    <phoneticPr fontId="64" type="noConversion"/>
  </si>
  <si>
    <t>支票存兑</t>
    <phoneticPr fontId="15" type="noConversion"/>
  </si>
  <si>
    <t>支票跳票</t>
    <phoneticPr fontId="15" type="noConversion"/>
  </si>
  <si>
    <t>AFTS22/0000105</t>
  </si>
  <si>
    <t>AFTS22/0000106</t>
  </si>
  <si>
    <t>AUE22/0002963</t>
  </si>
  <si>
    <t>AUE22/0002964</t>
  </si>
  <si>
    <t>AUE22/0002968</t>
  </si>
  <si>
    <t>AUE22/0002971</t>
  </si>
  <si>
    <t>AUE22/0002969</t>
  </si>
  <si>
    <t>AUE22/0002970</t>
  </si>
  <si>
    <t>AUE22/0002990</t>
  </si>
  <si>
    <t>AUE22/0002940</t>
  </si>
  <si>
    <t>AUE22/0002959</t>
  </si>
  <si>
    <t>AUE22/0002935</t>
  </si>
  <si>
    <t>AUE22/0002944</t>
  </si>
  <si>
    <t>AUE22/0002981</t>
  </si>
  <si>
    <t>AUE22/0002947</t>
  </si>
  <si>
    <t>AUE22/0002960</t>
  </si>
  <si>
    <t>运输标贴专用-月饼补发</t>
  </si>
  <si>
    <t>UE22/0001952</t>
  </si>
  <si>
    <t>UE22/0001953</t>
  </si>
  <si>
    <t>UE22/0001956</t>
  </si>
  <si>
    <t>UE22/0001957</t>
  </si>
  <si>
    <t>UE22/0001965</t>
  </si>
  <si>
    <t>AUE22/0002956</t>
  </si>
  <si>
    <t>AUE22/0002957</t>
  </si>
  <si>
    <t>AUE22/0002988</t>
  </si>
  <si>
    <t>AUE22/0002989</t>
  </si>
  <si>
    <t>AUE22/2794 需要补差价 -51.33</t>
    <phoneticPr fontId="15" type="noConversion"/>
  </si>
  <si>
    <t>AUE22/2579 需要补差价  -90.09</t>
    <phoneticPr fontId="15" type="noConversion"/>
  </si>
  <si>
    <t>银行</t>
    <phoneticPr fontId="15" type="noConversion"/>
  </si>
  <si>
    <t>GXSD202207210050 冲红生成的销退单</t>
    <phoneticPr fontId="15" type="noConversion"/>
  </si>
  <si>
    <t>正负抵扣</t>
    <phoneticPr fontId="15" type="noConversion"/>
  </si>
  <si>
    <t>现金</t>
    <phoneticPr fontId="15" type="noConversion"/>
  </si>
  <si>
    <t>现金收款896</t>
    <phoneticPr fontId="15" type="noConversion"/>
  </si>
  <si>
    <t>现金</t>
    <phoneticPr fontId="15" type="noConversion"/>
  </si>
  <si>
    <t>现金收款
12456</t>
    <phoneticPr fontId="15" type="noConversion"/>
  </si>
  <si>
    <t>DOKI 168 S.L</t>
    <phoneticPr fontId="15" type="noConversion"/>
  </si>
  <si>
    <t>银行</t>
    <phoneticPr fontId="15" type="noConversion"/>
  </si>
  <si>
    <t>2022/9/7银行收款15124.38</t>
    <phoneticPr fontId="15" type="noConversion"/>
  </si>
  <si>
    <t>2022/9/7银行收款15124.38</t>
    <phoneticPr fontId="15" type="noConversion"/>
  </si>
  <si>
    <t>AFTS22/0000134</t>
  </si>
  <si>
    <t>AFTS22/0000135</t>
  </si>
  <si>
    <t>AFTS22/0000136</t>
  </si>
  <si>
    <t>AUE22/0003010</t>
  </si>
  <si>
    <t>AUE22/0003013</t>
  </si>
  <si>
    <t>AUE22/0003036</t>
  </si>
  <si>
    <t>AUE22/0003057</t>
  </si>
  <si>
    <t>AUE22/0003058</t>
  </si>
  <si>
    <t>AUE22/0003059</t>
  </si>
  <si>
    <t>AUE22/0003079</t>
  </si>
  <si>
    <t>AUE22/0003042</t>
  </si>
  <si>
    <t>AUE22/0003027</t>
  </si>
  <si>
    <t>AUE22/0003045</t>
  </si>
  <si>
    <t>AUE22/0003004</t>
  </si>
  <si>
    <t>AUE22/0002997</t>
  </si>
  <si>
    <t>AUE22/0003048</t>
  </si>
  <si>
    <t>AUE22/0003049</t>
  </si>
  <si>
    <t>AUE22/0002995</t>
  </si>
  <si>
    <t>AUE22/0003044</t>
  </si>
  <si>
    <t>AUE22/0003062</t>
  </si>
  <si>
    <t>AUE22/0003065</t>
  </si>
  <si>
    <t>AUE22/0003067</t>
  </si>
  <si>
    <t>AUE22/0003026</t>
  </si>
  <si>
    <t>AUE22/0003074</t>
  </si>
  <si>
    <t>AUE22/0003080</t>
  </si>
  <si>
    <t>AUE22/0003081</t>
  </si>
  <si>
    <t>AUE22/0003037</t>
  </si>
  <si>
    <t>AUE22/0003083</t>
  </si>
  <si>
    <t>AUE22/0003075</t>
  </si>
  <si>
    <t>AUE22/0003076</t>
  </si>
  <si>
    <t>AUE22/0003077</t>
  </si>
  <si>
    <t>AUE22/0003061</t>
  </si>
  <si>
    <t>UE22/0001988</t>
  </si>
  <si>
    <t>UE22/0002014</t>
  </si>
  <si>
    <t>UE22/0002015</t>
  </si>
  <si>
    <t>UE22/0002016</t>
  </si>
  <si>
    <t>UE22/0002019</t>
  </si>
  <si>
    <t>UE22/0002020</t>
  </si>
  <si>
    <t>UE22/0002021</t>
  </si>
  <si>
    <t>AUE22/0003000</t>
  </si>
  <si>
    <t>AUE22/0003001</t>
  </si>
  <si>
    <t>AUE22/0003002</t>
  </si>
  <si>
    <t>AUE22/0003003</t>
  </si>
  <si>
    <t>AUE22/0003015</t>
  </si>
  <si>
    <t>AUE22/0003060</t>
  </si>
  <si>
    <t>AVU22/0000394</t>
  </si>
  <si>
    <t>AVU22/0000403</t>
  </si>
  <si>
    <t>AVU22/0162 补退货差价</t>
    <phoneticPr fontId="15" type="noConversion"/>
  </si>
  <si>
    <t>AVU22/0000401</t>
  </si>
  <si>
    <t>现金</t>
    <phoneticPr fontId="15" type="noConversion"/>
  </si>
  <si>
    <t>林总安排丁森辉佣金转出交款 AUE22/2472</t>
    <phoneticPr fontId="15" type="noConversion"/>
  </si>
  <si>
    <t>支票存兑</t>
    <phoneticPr fontId="15" type="noConversion"/>
  </si>
  <si>
    <t>支票存兑</t>
    <phoneticPr fontId="15" type="noConversion"/>
  </si>
  <si>
    <t>林凯现金支票交款</t>
    <phoneticPr fontId="15" type="noConversion"/>
  </si>
  <si>
    <t>PHONEFANS S.L</t>
    <phoneticPr fontId="15" type="noConversion"/>
  </si>
  <si>
    <t>FTS22/0000326</t>
    <phoneticPr fontId="70" type="noConversion"/>
  </si>
  <si>
    <t>NUVEM FELIZ IMPORTACAO UNIPESSOAL,LDA</t>
    <phoneticPr fontId="15" type="noConversion"/>
  </si>
  <si>
    <t>收款金额</t>
  </si>
  <si>
    <t>AFTS22/0000138</t>
  </si>
  <si>
    <t>AUE22/0003114</t>
  </si>
  <si>
    <t>UE22/0002035</t>
  </si>
  <si>
    <t>AUE22/0003098</t>
  </si>
  <si>
    <t>AUE22/0003099</t>
  </si>
  <si>
    <t>AUE22/0003124</t>
  </si>
  <si>
    <t>AUE22/0003131</t>
  </si>
  <si>
    <t>AUE22/0003112</t>
  </si>
  <si>
    <t>AUE22/0003111</t>
  </si>
  <si>
    <t>AUE22/0003122</t>
  </si>
  <si>
    <t>AUE22/0003109</t>
  </si>
  <si>
    <t>AUE22/0003116</t>
  </si>
  <si>
    <t>AUE22/0003143</t>
  </si>
  <si>
    <t>姚雄</t>
  </si>
  <si>
    <t>AUE22/0003090</t>
  </si>
  <si>
    <t>AUE22/0003106</t>
  </si>
  <si>
    <t>AUE22/0003088</t>
  </si>
  <si>
    <t>AUE22/0003137</t>
  </si>
  <si>
    <t>AUE22/0003141</t>
  </si>
  <si>
    <t>AUE22/0003086</t>
  </si>
  <si>
    <t>AUE22/0003102</t>
  </si>
  <si>
    <t>AUE22/0003091</t>
  </si>
  <si>
    <t>AUE22/0003138</t>
  </si>
  <si>
    <t>AUE22/0003144</t>
  </si>
  <si>
    <t>AUE22/0003125</t>
  </si>
  <si>
    <t>UE22/0002033</t>
  </si>
  <si>
    <t>UE22/0002034</t>
  </si>
  <si>
    <t>UE22/0002040</t>
  </si>
  <si>
    <t>UE22/0002041</t>
  </si>
  <si>
    <t>UE22/0002046</t>
  </si>
  <si>
    <t>UE22/0002047</t>
  </si>
  <si>
    <t>UE22/0002053</t>
  </si>
  <si>
    <t>AUE22/0003087</t>
  </si>
  <si>
    <t>AVU22/0000409</t>
  </si>
  <si>
    <t>FT 22/0000246</t>
  </si>
  <si>
    <t>银行</t>
    <phoneticPr fontId="70" type="noConversion"/>
  </si>
  <si>
    <t>现金</t>
    <phoneticPr fontId="15" type="noConversion"/>
  </si>
  <si>
    <t>盛杰、黄子航现金支票交款</t>
    <phoneticPr fontId="15" type="noConversion"/>
  </si>
  <si>
    <t>盛杰、黄子航现金支票交款5597.18</t>
    <phoneticPr fontId="15" type="noConversion"/>
  </si>
  <si>
    <t>盛杰、黄子航现金支票交款3698.7</t>
    <phoneticPr fontId="63" type="noConversion"/>
  </si>
  <si>
    <t>现金</t>
    <phoneticPr fontId="15" type="noConversion"/>
  </si>
  <si>
    <t>支票存兑</t>
    <phoneticPr fontId="15" type="noConversion"/>
  </si>
  <si>
    <t>银行</t>
    <phoneticPr fontId="15" type="noConversion"/>
  </si>
  <si>
    <r>
      <rPr>
        <sz val="11"/>
        <color theme="1"/>
        <rFont val="SimSun"/>
        <charset val="134"/>
      </rPr>
      <t>发货日期</t>
    </r>
  </si>
  <si>
    <r>
      <rPr>
        <sz val="11"/>
        <color theme="1"/>
        <rFont val="SimSun"/>
        <charset val="134"/>
      </rPr>
      <t>发票号</t>
    </r>
  </si>
  <si>
    <r>
      <rPr>
        <sz val="11"/>
        <color theme="1"/>
        <rFont val="SimSun"/>
        <charset val="134"/>
      </rPr>
      <t>单据金额</t>
    </r>
    <phoneticPr fontId="15" type="noConversion"/>
  </si>
  <si>
    <r>
      <rPr>
        <sz val="11"/>
        <color theme="1"/>
        <rFont val="SimSun"/>
        <charset val="134"/>
      </rPr>
      <t>税额</t>
    </r>
    <phoneticPr fontId="15" type="noConversion"/>
  </si>
  <si>
    <r>
      <rPr>
        <sz val="11"/>
        <color theme="1"/>
        <rFont val="SimSun"/>
        <charset val="134"/>
      </rPr>
      <t>合计金额</t>
    </r>
    <phoneticPr fontId="15" type="noConversion"/>
  </si>
  <si>
    <r>
      <rPr>
        <sz val="11"/>
        <color theme="1"/>
        <rFont val="SimSun"/>
        <charset val="134"/>
      </rPr>
      <t>收款金额</t>
    </r>
  </si>
  <si>
    <r>
      <rPr>
        <sz val="11"/>
        <color theme="1"/>
        <rFont val="宋体"/>
        <family val="3"/>
        <charset val="134"/>
      </rPr>
      <t>剩余欠款</t>
    </r>
    <phoneticPr fontId="15" type="noConversion"/>
  </si>
  <si>
    <r>
      <rPr>
        <sz val="11"/>
        <color theme="1"/>
        <rFont val="宋体"/>
        <family val="3"/>
        <charset val="134"/>
      </rPr>
      <t>截止至</t>
    </r>
    <r>
      <rPr>
        <sz val="11"/>
        <color theme="1"/>
        <rFont val="Consolas"/>
        <family val="3"/>
      </rPr>
      <t>2022.1.5</t>
    </r>
  </si>
  <si>
    <r>
      <rPr>
        <sz val="11"/>
        <color theme="1"/>
        <rFont val="宋体"/>
        <family val="3"/>
        <charset val="134"/>
      </rPr>
      <t>剩余欠款</t>
    </r>
    <phoneticPr fontId="15" type="noConversion"/>
  </si>
  <si>
    <r>
      <rPr>
        <sz val="11"/>
        <color theme="1"/>
        <rFont val="宋体"/>
        <family val="3"/>
        <charset val="134"/>
      </rPr>
      <t>截止至</t>
    </r>
    <r>
      <rPr>
        <sz val="11"/>
        <color theme="1"/>
        <rFont val="Consolas"/>
        <family val="3"/>
      </rPr>
      <t>2021.10.31</t>
    </r>
    <phoneticPr fontId="15" type="noConversion"/>
  </si>
  <si>
    <r>
      <rPr>
        <sz val="11"/>
        <color theme="1"/>
        <rFont val="宋体"/>
        <family val="3"/>
        <charset val="134"/>
      </rPr>
      <t>剩余欠款</t>
    </r>
    <phoneticPr fontId="15" type="noConversion"/>
  </si>
  <si>
    <r>
      <rPr>
        <sz val="11"/>
        <color theme="1"/>
        <rFont val="宋体"/>
        <family val="3"/>
        <charset val="134"/>
      </rPr>
      <t>剩余欠款</t>
    </r>
  </si>
  <si>
    <r>
      <rPr>
        <sz val="11"/>
        <color theme="1"/>
        <rFont val="宋体"/>
        <family val="3"/>
        <charset val="134"/>
      </rPr>
      <t>截止至</t>
    </r>
    <r>
      <rPr>
        <sz val="11"/>
        <color theme="1"/>
        <rFont val="Consolas"/>
        <family val="3"/>
      </rPr>
      <t>2021.12.31</t>
    </r>
    <phoneticPr fontId="15" type="noConversion"/>
  </si>
  <si>
    <r>
      <rPr>
        <sz val="11"/>
        <color theme="1"/>
        <rFont val="宋体"/>
        <family val="3"/>
        <charset val="134"/>
      </rPr>
      <t>截止至</t>
    </r>
    <r>
      <rPr>
        <sz val="11"/>
        <color theme="1"/>
        <rFont val="Consolas"/>
        <family val="3"/>
      </rPr>
      <t>2021.11.30</t>
    </r>
    <phoneticPr fontId="15" type="noConversion"/>
  </si>
  <si>
    <r>
      <rPr>
        <sz val="11"/>
        <color theme="1"/>
        <rFont val="SimSun"/>
        <charset val="134"/>
      </rPr>
      <t>剩余欠款</t>
    </r>
  </si>
  <si>
    <r>
      <rPr>
        <sz val="11"/>
        <color theme="1"/>
        <rFont val="SimSun"/>
        <charset val="134"/>
      </rPr>
      <t>截止至</t>
    </r>
    <r>
      <rPr>
        <sz val="11"/>
        <color theme="1"/>
        <rFont val="Consolas"/>
        <family val="3"/>
      </rPr>
      <t>2022.1.18</t>
    </r>
    <phoneticPr fontId="15" type="noConversion"/>
  </si>
  <si>
    <r>
      <rPr>
        <sz val="11"/>
        <color theme="1"/>
        <rFont val="宋体"/>
        <family val="3"/>
        <charset val="134"/>
      </rPr>
      <t>截止至</t>
    </r>
    <r>
      <rPr>
        <sz val="11"/>
        <color theme="1"/>
        <rFont val="Consolas"/>
        <family val="3"/>
      </rPr>
      <t>2021.11.30</t>
    </r>
  </si>
  <si>
    <r>
      <rPr>
        <sz val="11"/>
        <rFont val="宋体"/>
        <family val="3"/>
        <charset val="134"/>
      </rPr>
      <t>现金</t>
    </r>
    <phoneticPr fontId="15" type="noConversion"/>
  </si>
  <si>
    <r>
      <rPr>
        <sz val="11"/>
        <rFont val="宋体"/>
        <family val="3"/>
        <charset val="134"/>
      </rPr>
      <t>其他抵扣</t>
    </r>
    <phoneticPr fontId="15" type="noConversion"/>
  </si>
  <si>
    <r>
      <rPr>
        <sz val="11"/>
        <rFont val="宋体"/>
        <family val="3"/>
        <charset val="134"/>
      </rPr>
      <t>银行</t>
    </r>
    <phoneticPr fontId="15" type="noConversion"/>
  </si>
  <si>
    <r>
      <t>2021.6.22</t>
    </r>
    <r>
      <rPr>
        <sz val="11"/>
        <color theme="1"/>
        <rFont val="宋体"/>
        <family val="3"/>
        <charset val="134"/>
      </rPr>
      <t>其他抵扣</t>
    </r>
  </si>
  <si>
    <r>
      <rPr>
        <sz val="11"/>
        <color theme="1"/>
        <rFont val="宋体"/>
        <family val="3"/>
        <charset val="134"/>
      </rPr>
      <t>不算在欠款</t>
    </r>
  </si>
  <si>
    <r>
      <rPr>
        <sz val="12"/>
        <color indexed="8"/>
        <rFont val="宋体"/>
        <family val="3"/>
        <charset val="134"/>
      </rPr>
      <t>退货</t>
    </r>
  </si>
  <si>
    <r>
      <t>2</t>
    </r>
    <r>
      <rPr>
        <sz val="12"/>
        <color indexed="8"/>
        <rFont val="宋体"/>
        <family val="3"/>
        <charset val="134"/>
      </rPr>
      <t>月20号发货，unico产品退回</t>
    </r>
  </si>
  <si>
    <r>
      <t>6512.61</t>
    </r>
    <r>
      <rPr>
        <sz val="12"/>
        <color indexed="8"/>
        <rFont val="宋体"/>
        <family val="3"/>
        <charset val="134"/>
      </rPr>
      <t>欧货物运费</t>
    </r>
  </si>
  <si>
    <r>
      <rPr>
        <sz val="11"/>
        <color theme="1"/>
        <rFont val="宋体"/>
        <family val="3"/>
        <charset val="134"/>
      </rPr>
      <t>截止至</t>
    </r>
    <r>
      <rPr>
        <sz val="11"/>
        <color theme="1"/>
        <rFont val="Consolas"/>
        <family val="3"/>
      </rPr>
      <t>2022.2.28</t>
    </r>
    <phoneticPr fontId="15" type="noConversion"/>
  </si>
  <si>
    <r>
      <rPr>
        <sz val="11"/>
        <color theme="1"/>
        <rFont val="宋体"/>
        <family val="3"/>
        <charset val="134"/>
      </rPr>
      <t>现金到西班牙公司</t>
    </r>
  </si>
  <si>
    <r>
      <rPr>
        <sz val="11"/>
        <color theme="1"/>
        <rFont val="宋体"/>
        <family val="3"/>
        <charset val="134"/>
      </rPr>
      <t>西班牙现金收款</t>
    </r>
  </si>
  <si>
    <r>
      <rPr>
        <sz val="11"/>
        <color theme="1"/>
        <rFont val="宋体"/>
        <family val="3"/>
        <charset val="134"/>
      </rPr>
      <t>刘总现金到西班牙公司</t>
    </r>
  </si>
  <si>
    <r>
      <rPr>
        <sz val="11"/>
        <color theme="1"/>
        <rFont val="SimSun"/>
        <charset val="134"/>
      </rPr>
      <t>银行转账</t>
    </r>
  </si>
  <si>
    <r>
      <rPr>
        <sz val="11"/>
        <color theme="1"/>
        <rFont val="SimSun"/>
        <charset val="134"/>
      </rPr>
      <t>彬总带现金</t>
    </r>
  </si>
  <si>
    <r>
      <rPr>
        <sz val="11"/>
        <color theme="1"/>
        <rFont val="SimSun"/>
        <charset val="134"/>
      </rPr>
      <t>现金</t>
    </r>
  </si>
  <si>
    <r>
      <rPr>
        <sz val="11"/>
        <color theme="1"/>
        <rFont val="SimSun"/>
        <charset val="134"/>
      </rPr>
      <t>现金</t>
    </r>
    <phoneticPr fontId="15" type="noConversion"/>
  </si>
  <si>
    <r>
      <rPr>
        <sz val="11"/>
        <color theme="1"/>
        <rFont val="宋体"/>
        <family val="3"/>
        <charset val="134"/>
      </rPr>
      <t>折扣</t>
    </r>
    <r>
      <rPr>
        <sz val="11"/>
        <color theme="1"/>
        <rFont val="Consolas"/>
        <family val="3"/>
      </rPr>
      <t>30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宋体"/>
        <family val="3"/>
        <charset val="134"/>
      </rPr>
      <t>运</t>
    </r>
    <r>
      <rPr>
        <sz val="11"/>
        <color theme="1"/>
        <rFont val="Consolas"/>
        <family val="3"/>
      </rPr>
      <t>1</t>
    </r>
  </si>
  <si>
    <r>
      <t>2022/1/28</t>
    </r>
    <r>
      <rPr>
        <sz val="11"/>
        <color theme="1"/>
        <rFont val="宋体"/>
        <family val="3"/>
        <charset val="134"/>
      </rPr>
      <t>葡萄牙支票交款，存款行</t>
    </r>
    <r>
      <rPr>
        <sz val="11"/>
        <color theme="1"/>
        <rFont val="Consolas"/>
        <family val="3"/>
      </rPr>
      <t>IBERCAJA</t>
    </r>
    <r>
      <rPr>
        <sz val="11"/>
        <color theme="1"/>
        <rFont val="宋体"/>
        <family val="3"/>
        <charset val="134"/>
      </rPr>
      <t>规定直到</t>
    </r>
    <r>
      <rPr>
        <sz val="11"/>
        <color theme="1"/>
        <rFont val="Consolas"/>
        <family val="3"/>
      </rPr>
      <t>3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Consolas"/>
        <family val="3"/>
      </rPr>
      <t>2</t>
    </r>
    <r>
      <rPr>
        <sz val="11"/>
        <color theme="1"/>
        <rFont val="宋体"/>
        <family val="3"/>
        <charset val="134"/>
      </rPr>
      <t>日才可以使用</t>
    </r>
  </si>
  <si>
    <r>
      <t>2022.02.14</t>
    </r>
    <r>
      <rPr>
        <sz val="11"/>
        <color theme="1"/>
        <rFont val="宋体"/>
        <family val="3"/>
        <charset val="134"/>
      </rPr>
      <t>葡萄牙支票交款，存款行</t>
    </r>
    <r>
      <rPr>
        <sz val="11"/>
        <color theme="1"/>
        <rFont val="Consolas"/>
        <family val="3"/>
      </rPr>
      <t>IBERCAJA</t>
    </r>
    <r>
      <rPr>
        <sz val="11"/>
        <color theme="1"/>
        <rFont val="宋体"/>
        <family val="3"/>
        <charset val="134"/>
      </rPr>
      <t>规定直到</t>
    </r>
    <r>
      <rPr>
        <sz val="11"/>
        <color theme="1"/>
        <rFont val="Consolas"/>
        <family val="3"/>
      </rPr>
      <t>3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Consolas"/>
        <family val="3"/>
      </rPr>
      <t>18</t>
    </r>
    <r>
      <rPr>
        <sz val="11"/>
        <color theme="1"/>
        <rFont val="宋体"/>
        <family val="3"/>
        <charset val="134"/>
      </rPr>
      <t>日才可以使用</t>
    </r>
  </si>
  <si>
    <r>
      <t>2022/5/9</t>
    </r>
    <r>
      <rPr>
        <sz val="11"/>
        <color theme="1"/>
        <rFont val="宋体"/>
        <family val="3"/>
        <charset val="134"/>
      </rPr>
      <t xml:space="preserve">支票存兑；
</t>
    </r>
    <r>
      <rPr>
        <sz val="11"/>
        <color theme="1"/>
        <rFont val="Consolas"/>
        <family val="3"/>
      </rPr>
      <t>2022/5/19</t>
    </r>
    <r>
      <rPr>
        <sz val="11"/>
        <color theme="1"/>
        <rFont val="宋体"/>
        <family val="3"/>
        <charset val="134"/>
      </rPr>
      <t xml:space="preserve">退票；
</t>
    </r>
    <r>
      <rPr>
        <sz val="11"/>
        <color theme="1"/>
        <rFont val="Consolas"/>
        <family val="3"/>
      </rPr>
      <t>2022/5/25</t>
    </r>
    <r>
      <rPr>
        <sz val="11"/>
        <color theme="1"/>
        <rFont val="宋体"/>
        <family val="3"/>
        <charset val="134"/>
      </rPr>
      <t>汇款</t>
    </r>
    <phoneticPr fontId="15" type="noConversion"/>
  </si>
  <si>
    <r>
      <t>2022/5/12</t>
    </r>
    <r>
      <rPr>
        <sz val="11"/>
        <color theme="1"/>
        <rFont val="宋体"/>
        <family val="3"/>
        <charset val="134"/>
      </rPr>
      <t xml:space="preserve">支票存兑；
</t>
    </r>
    <r>
      <rPr>
        <sz val="11"/>
        <color theme="1"/>
        <rFont val="Consolas"/>
        <family val="3"/>
      </rPr>
      <t>2022/5/24</t>
    </r>
    <r>
      <rPr>
        <sz val="11"/>
        <color theme="1"/>
        <rFont val="宋体"/>
        <family val="3"/>
        <charset val="134"/>
      </rPr>
      <t xml:space="preserve">退票；
</t>
    </r>
    <r>
      <rPr>
        <sz val="11"/>
        <color theme="1"/>
        <rFont val="Consolas"/>
        <family val="3"/>
      </rPr>
      <t>2022/5/25</t>
    </r>
    <r>
      <rPr>
        <sz val="11"/>
        <color theme="1"/>
        <rFont val="宋体"/>
        <family val="3"/>
        <charset val="134"/>
      </rPr>
      <t>汇款</t>
    </r>
    <phoneticPr fontId="15" type="noConversion"/>
  </si>
  <si>
    <r>
      <rPr>
        <sz val="11"/>
        <rFont val="宋体"/>
        <family val="3"/>
        <charset val="134"/>
      </rPr>
      <t>剩余欠款</t>
    </r>
    <phoneticPr fontId="15" type="noConversion"/>
  </si>
  <si>
    <r>
      <rPr>
        <sz val="11"/>
        <color theme="1"/>
        <rFont val="宋体"/>
        <family val="3"/>
        <charset val="134"/>
      </rPr>
      <t>正负单抵扣</t>
    </r>
    <phoneticPr fontId="15" type="noConversion"/>
  </si>
  <si>
    <r>
      <rPr>
        <sz val="11"/>
        <color theme="1"/>
        <rFont val="宋体"/>
        <family val="3"/>
        <charset val="134"/>
      </rPr>
      <t>其他抵扣</t>
    </r>
    <phoneticPr fontId="63" type="noConversion"/>
  </si>
  <si>
    <r>
      <rPr>
        <sz val="11"/>
        <color theme="1"/>
        <rFont val="宋体"/>
        <family val="3"/>
        <charset val="134"/>
      </rPr>
      <t>银行</t>
    </r>
    <phoneticPr fontId="63" type="noConversion"/>
  </si>
  <si>
    <r>
      <rPr>
        <sz val="11"/>
        <color theme="1"/>
        <rFont val="宋体"/>
        <family val="3"/>
        <charset val="134"/>
      </rPr>
      <t>现金</t>
    </r>
    <phoneticPr fontId="63" type="noConversion"/>
  </si>
  <si>
    <r>
      <rPr>
        <sz val="11"/>
        <color theme="1"/>
        <rFont val="宋体"/>
        <family val="3"/>
        <charset val="134"/>
      </rPr>
      <t>正负抵扣</t>
    </r>
    <phoneticPr fontId="63" type="noConversion"/>
  </si>
  <si>
    <t>AVU22/0000412</t>
  </si>
  <si>
    <t>UE22/0002098</t>
  </si>
  <si>
    <t>UE22/0002099</t>
  </si>
  <si>
    <t>AUE22/0003198</t>
  </si>
  <si>
    <t>UE22/1738 开错含税*AA*修正</t>
  </si>
  <si>
    <t>补 6 7月份销售政策变动差价</t>
  </si>
  <si>
    <t>UE22/1738 开错含税*AA*修正</t>
    <phoneticPr fontId="15" type="noConversion"/>
  </si>
  <si>
    <t>NC 22/0000058</t>
  </si>
  <si>
    <t>FT 22/0246取消运费</t>
  </si>
  <si>
    <t>AFTS22/0000171</t>
  </si>
  <si>
    <t>AUE22/0003196</t>
  </si>
  <si>
    <t>AUE22/0003173</t>
  </si>
  <si>
    <t>UE22/0002117</t>
  </si>
  <si>
    <t>AUE22/0003168</t>
  </si>
  <si>
    <t>AUE22/0003208</t>
  </si>
  <si>
    <t>AUE22/0003221</t>
  </si>
  <si>
    <t>AUE22/0003222</t>
  </si>
  <si>
    <t>AUE22/0003227</t>
  </si>
  <si>
    <t>AUE22/0003194</t>
  </si>
  <si>
    <t>AUE22/0003189</t>
  </si>
  <si>
    <t>AUE22/0003190</t>
  </si>
  <si>
    <t>AUE22/0003195</t>
  </si>
  <si>
    <t>UE22/0002100</t>
  </si>
  <si>
    <t>AUE22/0003157</t>
  </si>
  <si>
    <t>AUE22/0003204</t>
  </si>
  <si>
    <t>AUE22/0003212</t>
  </si>
  <si>
    <t>AUE22 3027 3109 3116 3157 补5%的折扣差价</t>
  </si>
  <si>
    <t>AUE22/0003177</t>
  </si>
  <si>
    <t>AUE22/0003211</t>
  </si>
  <si>
    <t>AUE22/0003209</t>
  </si>
  <si>
    <t>AUE22/0003223</t>
  </si>
  <si>
    <t>AUE22/0003225</t>
  </si>
  <si>
    <t>AUE22/0003228</t>
  </si>
  <si>
    <t>UE22/0002112</t>
  </si>
  <si>
    <t>AUE22/0003181</t>
  </si>
  <si>
    <t>AUE22/0003184</t>
  </si>
  <si>
    <t>AUE22/0003214</t>
  </si>
  <si>
    <t>AUE22/0003220</t>
  </si>
  <si>
    <t>AUE22/0003229</t>
  </si>
  <si>
    <t>AUE22/0003230</t>
  </si>
  <si>
    <t>AUE22/0003231</t>
  </si>
  <si>
    <t>AUE22/0003213</t>
  </si>
  <si>
    <t>AUE22/0003224</t>
  </si>
  <si>
    <t>AUE22/0003153</t>
  </si>
  <si>
    <t>AUE22/0003159</t>
  </si>
  <si>
    <t>AUE22/0003164</t>
  </si>
  <si>
    <t>AUE22/0003176</t>
  </si>
  <si>
    <t>AUE22/0003180</t>
  </si>
  <si>
    <t>AUE22/3164一口价产品补差价</t>
  </si>
  <si>
    <t>AUE22/0003162</t>
  </si>
  <si>
    <t>AFTS22/0000188</t>
  </si>
  <si>
    <t>AUE22/0003163</t>
  </si>
  <si>
    <t>AUE22/0003152</t>
  </si>
  <si>
    <t>UE22/0002078</t>
  </si>
  <si>
    <t>UE22/0002081</t>
  </si>
  <si>
    <t>UE22/0002084</t>
  </si>
  <si>
    <t>UE22/0002085</t>
  </si>
  <si>
    <t>UE22/0002086</t>
  </si>
  <si>
    <t>UE22/0002101</t>
  </si>
  <si>
    <t>UE22/0002106</t>
  </si>
  <si>
    <t>AUE22/0003161</t>
  </si>
  <si>
    <t>AUE22/0003210</t>
  </si>
  <si>
    <t>AUE22/0003216</t>
  </si>
  <si>
    <t>AUE22/0003217</t>
  </si>
  <si>
    <t>AUE22/0003219</t>
  </si>
  <si>
    <t>AUE22/0003226</t>
  </si>
  <si>
    <t>客户已下单，重复下单</t>
  </si>
  <si>
    <t>银行</t>
    <phoneticPr fontId="15" type="noConversion"/>
  </si>
  <si>
    <t>银行</t>
    <phoneticPr fontId="15" type="noConversion"/>
  </si>
  <si>
    <t>现金</t>
    <phoneticPr fontId="15" type="noConversion"/>
  </si>
  <si>
    <t>现金</t>
    <phoneticPr fontId="61" type="noConversion"/>
  </si>
  <si>
    <t>银行</t>
    <phoneticPr fontId="68" type="noConversion"/>
  </si>
  <si>
    <t>现金</t>
    <phoneticPr fontId="68" type="noConversion"/>
  </si>
  <si>
    <t>盛杰现金交款</t>
    <phoneticPr fontId="68" type="noConversion"/>
  </si>
  <si>
    <t>其他抵扣</t>
    <phoneticPr fontId="15" type="noConversion"/>
  </si>
  <si>
    <t>其他抵扣</t>
    <phoneticPr fontId="15" type="noConversion"/>
  </si>
  <si>
    <t>现金</t>
    <phoneticPr fontId="15" type="noConversion"/>
  </si>
  <si>
    <t>其他抵扣</t>
    <phoneticPr fontId="15" type="noConversion"/>
  </si>
  <si>
    <t>现金</t>
    <phoneticPr fontId="22" type="noConversion"/>
  </si>
  <si>
    <t>AFTS22/0000205</t>
  </si>
  <si>
    <t>AFTS22/0134 差价单，现金</t>
    <phoneticPr fontId="15" type="noConversion"/>
  </si>
  <si>
    <t>AUE22/0003249</t>
  </si>
  <si>
    <t>AUE22/0003250</t>
  </si>
  <si>
    <t>AUE22/0003248</t>
  </si>
  <si>
    <t>AUE22/0003270</t>
  </si>
  <si>
    <t>AUE22/0003259</t>
  </si>
  <si>
    <t>AUE22/0003256</t>
  </si>
  <si>
    <t>AUE22/0003271</t>
  </si>
  <si>
    <t>AUE22/0003272</t>
  </si>
  <si>
    <t>AUE22/0003266</t>
  </si>
  <si>
    <t>AUE22/0003240</t>
  </si>
  <si>
    <t>AUE22/0003269</t>
  </si>
  <si>
    <t>AUE22/0003260</t>
  </si>
  <si>
    <t>AUE22/0003262</t>
  </si>
  <si>
    <t>AUE22/0003261</t>
  </si>
  <si>
    <t>AUE22/0003263</t>
  </si>
  <si>
    <t>UE22/0002143</t>
  </si>
  <si>
    <t>UE22/0002148</t>
  </si>
  <si>
    <t>UE22/0002149</t>
  </si>
  <si>
    <t>UE22/0002150</t>
  </si>
  <si>
    <t>UE22/0002132和UE22/0002133 运费差价</t>
  </si>
  <si>
    <t>UE22/0002130</t>
  </si>
  <si>
    <t>UE22/0002132</t>
  </si>
  <si>
    <t>UE22/0002133</t>
  </si>
  <si>
    <t>UE22/0002152</t>
  </si>
  <si>
    <t>UE22/0002159</t>
  </si>
  <si>
    <t>UE22/0002160</t>
  </si>
  <si>
    <t>UE22/0002165</t>
  </si>
  <si>
    <t>AUE22/0003279</t>
  </si>
  <si>
    <t>AUE22/0003268</t>
  </si>
  <si>
    <t>AVU22/0000420</t>
  </si>
  <si>
    <t>AUE22/0003239</t>
  </si>
  <si>
    <t>现金</t>
    <phoneticPr fontId="15" type="noConversion"/>
  </si>
  <si>
    <t>现金收款2365</t>
    <phoneticPr fontId="15" type="noConversion"/>
  </si>
  <si>
    <t>其他抵扣</t>
    <phoneticPr fontId="15" type="noConversion"/>
  </si>
  <si>
    <t>现金收款1294</t>
    <phoneticPr fontId="15" type="noConversion"/>
  </si>
  <si>
    <t>现金</t>
    <phoneticPr fontId="15" type="noConversion"/>
  </si>
  <si>
    <t>AUE22/0003322</t>
  </si>
  <si>
    <t>AUE22/0003320</t>
  </si>
  <si>
    <t>AUE22/0003281</t>
  </si>
  <si>
    <t>AUE22/0003288</t>
  </si>
  <si>
    <t>AUE22/0003303</t>
  </si>
  <si>
    <t>AFTS22/0000224</t>
  </si>
  <si>
    <t>AUE22/0003301</t>
  </si>
  <si>
    <t>AUE22/0003302</t>
  </si>
  <si>
    <t>AUE22/0003327</t>
  </si>
  <si>
    <t>UE22/0002171</t>
  </si>
  <si>
    <t>UE22/0002172</t>
  </si>
  <si>
    <t>UE22/0002173</t>
  </si>
  <si>
    <t>UE22/0002176</t>
  </si>
  <si>
    <t>UE22/0002177</t>
  </si>
  <si>
    <t>UE22/0002185</t>
  </si>
  <si>
    <t>UE22/0002187</t>
  </si>
  <si>
    <t>AUE22/0003330</t>
  </si>
  <si>
    <t>AUE22/0003331</t>
  </si>
  <si>
    <t>AUE22/0003332</t>
  </si>
  <si>
    <t>AUE22/0003333</t>
  </si>
  <si>
    <t>AVU22/0000421</t>
  </si>
  <si>
    <t>AVU22/0000425</t>
  </si>
  <si>
    <t>现金收款1810</t>
    <phoneticPr fontId="69" type="noConversion"/>
  </si>
  <si>
    <t>现金收款
12562.5</t>
    <phoneticPr fontId="15" type="noConversion"/>
  </si>
  <si>
    <t>支票存兑</t>
    <phoneticPr fontId="15" type="noConversion"/>
  </si>
  <si>
    <t>现金</t>
    <phoneticPr fontId="15" type="noConversion"/>
  </si>
  <si>
    <t>现金收款10330</t>
    <phoneticPr fontId="15" type="noConversion"/>
  </si>
  <si>
    <t>现金收款1970</t>
    <phoneticPr fontId="15" type="noConversion"/>
  </si>
  <si>
    <t>现金</t>
    <phoneticPr fontId="64" type="noConversion"/>
  </si>
  <si>
    <r>
      <rPr>
        <sz val="11"/>
        <rFont val="宋体"/>
        <family val="3"/>
        <charset val="134"/>
      </rPr>
      <t>剩余欠款</t>
    </r>
    <phoneticPr fontId="15" type="noConversion"/>
  </si>
  <si>
    <t>银行</t>
    <phoneticPr fontId="15" type="noConversion"/>
  </si>
  <si>
    <t>CASH KOLOSS S.L</t>
    <phoneticPr fontId="15" type="noConversion"/>
  </si>
  <si>
    <t>AUE22/0003284</t>
  </si>
  <si>
    <t>AUE22/0003323</t>
  </si>
  <si>
    <t>AUE22/0003324</t>
  </si>
  <si>
    <t>AUE22/0003325</t>
  </si>
  <si>
    <t>UE22/0002223</t>
  </si>
  <si>
    <t>AUE22/0003334</t>
  </si>
  <si>
    <t>AUE22/0003341</t>
  </si>
  <si>
    <t>AUE22/0003343</t>
  </si>
  <si>
    <t>AUE22/0003346</t>
  </si>
  <si>
    <t>AUE22/0003378</t>
  </si>
  <si>
    <t>AUE22/3249  足球耳机退差价</t>
  </si>
  <si>
    <t>AUE22/0003336</t>
  </si>
  <si>
    <t>AUE22/0003369</t>
  </si>
  <si>
    <t>AUE22/0003364</t>
  </si>
  <si>
    <t>AUE22/0003358</t>
  </si>
  <si>
    <t>AUE22/0003365</t>
  </si>
  <si>
    <t>AUE22/0003339</t>
  </si>
  <si>
    <t>AUE22/0003366</t>
  </si>
  <si>
    <t>AUE22/0003356</t>
  </si>
  <si>
    <t>AUE22/0003342</t>
  </si>
  <si>
    <t>AFTS22/0000237</t>
  </si>
  <si>
    <t>AUE22/0003349</t>
  </si>
  <si>
    <t>AUE22/0003352</t>
  </si>
  <si>
    <t>AUE22/0003360</t>
  </si>
  <si>
    <t>AUE22/0003370</t>
  </si>
  <si>
    <t>UE22/0002221</t>
  </si>
  <si>
    <t>UE22/0002224</t>
  </si>
  <si>
    <t>UE22/0002226</t>
  </si>
  <si>
    <t>UE22/0002230</t>
  </si>
  <si>
    <t>UE22/0002233</t>
  </si>
  <si>
    <t>UE22/0002243</t>
  </si>
  <si>
    <t>UE22/0002249</t>
  </si>
  <si>
    <t>UE22/0002251</t>
  </si>
  <si>
    <t>AUE22/0003375</t>
  </si>
  <si>
    <t>AVU22/0000428</t>
  </si>
  <si>
    <t>AVU22/0000429</t>
  </si>
  <si>
    <t>AVU22/0000430</t>
  </si>
  <si>
    <t>AVU22/0000431</t>
  </si>
  <si>
    <t>AVU22/0000432</t>
  </si>
  <si>
    <t>AVU22/0000433</t>
  </si>
  <si>
    <t>AVU22/0000434</t>
  </si>
  <si>
    <t>AVU22/0000435</t>
  </si>
  <si>
    <t>AVU22/0000436</t>
  </si>
  <si>
    <t>AVU22/0000437</t>
  </si>
  <si>
    <t>AVU22/0000438</t>
  </si>
  <si>
    <t>AVU22/0000439</t>
  </si>
  <si>
    <t>AVU22/0000441</t>
  </si>
  <si>
    <t>AVU22/0000442</t>
  </si>
  <si>
    <t>物料单</t>
    <phoneticPr fontId="15" type="noConversion"/>
  </si>
  <si>
    <t>现金</t>
    <phoneticPr fontId="15" type="noConversion"/>
  </si>
  <si>
    <t>支票存兑</t>
    <phoneticPr fontId="15" type="noConversion"/>
  </si>
  <si>
    <t>现金</t>
    <phoneticPr fontId="15" type="noConversion"/>
  </si>
  <si>
    <t>其他抵扣</t>
    <phoneticPr fontId="15" type="noConversion"/>
  </si>
  <si>
    <t>HISPANO TECNO GLOBAL S.L</t>
    <phoneticPr fontId="15" type="noConversion"/>
  </si>
  <si>
    <t>UE22/0002291</t>
  </si>
  <si>
    <t>AUE22/0003385</t>
  </si>
  <si>
    <t>AUE22/0003423</t>
  </si>
  <si>
    <t>AUE22/0003425</t>
  </si>
  <si>
    <t>AUE22/0003436</t>
  </si>
  <si>
    <t>AUE22/0003393</t>
  </si>
  <si>
    <t>AUE22/0003410</t>
  </si>
  <si>
    <t>AUE22/0003446</t>
  </si>
  <si>
    <t>AUE22/0003447</t>
  </si>
  <si>
    <t>992894和992900原价9欧变为8欧，数量各25，补差价</t>
    <phoneticPr fontId="15" type="noConversion"/>
  </si>
  <si>
    <t>AUE22/0003384</t>
  </si>
  <si>
    <t>AUE22/0003391</t>
  </si>
  <si>
    <t>AUE22/0003403</t>
  </si>
  <si>
    <t>AUE22/3209差价</t>
    <phoneticPr fontId="15" type="noConversion"/>
  </si>
  <si>
    <t>AUE22/0003392</t>
  </si>
  <si>
    <t>AUE22/0003401</t>
  </si>
  <si>
    <t>AUE22/0003394</t>
  </si>
  <si>
    <t>AUE22/0003441</t>
  </si>
  <si>
    <t>AUE22/0003387</t>
  </si>
  <si>
    <t>AUE22/0003406</t>
  </si>
  <si>
    <t>AUE22/0003442</t>
  </si>
  <si>
    <t>AUE22/0003443</t>
  </si>
  <si>
    <t>AUE22/0003449</t>
  </si>
  <si>
    <t>AUE22/0003445</t>
  </si>
  <si>
    <t>AFTS22/0000256</t>
  </si>
  <si>
    <t>AUE22/0003430</t>
  </si>
  <si>
    <t>AUE22/0003435</t>
  </si>
  <si>
    <t>AUE22/0003434</t>
  </si>
  <si>
    <t>AUE22/0003439</t>
  </si>
  <si>
    <t>AUE22/0003428</t>
  </si>
  <si>
    <t>AUE22/0003432</t>
  </si>
  <si>
    <t>AUE22/0003448</t>
  </si>
  <si>
    <t>AUE22/0003438</t>
  </si>
  <si>
    <t>AUE22/0003444</t>
  </si>
  <si>
    <t>AUE22/0003440</t>
  </si>
  <si>
    <t>AUE22/0003380</t>
  </si>
  <si>
    <t>AUE22/0003452</t>
  </si>
  <si>
    <t>AUE22/0003433</t>
  </si>
  <si>
    <t>UE22/0002255</t>
  </si>
  <si>
    <t>UE22/0002285</t>
  </si>
  <si>
    <t>UE22/0002286</t>
  </si>
  <si>
    <t>UE22/0002294</t>
  </si>
  <si>
    <t>AUE22/0003390</t>
  </si>
  <si>
    <t>AUE22/0003404</t>
  </si>
  <si>
    <t>AUE22/0003405</t>
  </si>
  <si>
    <t>现金收款1702</t>
    <phoneticPr fontId="15" type="noConversion"/>
  </si>
  <si>
    <t>现金</t>
    <phoneticPr fontId="15" type="noConversion"/>
  </si>
  <si>
    <t>现金收款4062</t>
    <phoneticPr fontId="15" type="noConversion"/>
  </si>
  <si>
    <t>2022.10.25现金收款2000</t>
    <phoneticPr fontId="15" type="noConversion"/>
  </si>
  <si>
    <t>2022.10.25现金收款2000</t>
    <phoneticPr fontId="15" type="noConversion"/>
  </si>
  <si>
    <t>支票存兑</t>
    <phoneticPr fontId="15" type="noConversion"/>
  </si>
  <si>
    <r>
      <t>现金收款2</t>
    </r>
    <r>
      <rPr>
        <sz val="12"/>
        <rFont val="宋体"/>
        <family val="3"/>
        <charset val="134"/>
      </rPr>
      <t>893</t>
    </r>
    <phoneticPr fontId="15" type="noConversion"/>
  </si>
  <si>
    <t>现金</t>
    <phoneticPr fontId="63" type="noConversion"/>
  </si>
  <si>
    <t>退款 OA审批</t>
    <phoneticPr fontId="15" type="noConversion"/>
  </si>
  <si>
    <t>现金</t>
    <phoneticPr fontId="15" type="noConversion"/>
  </si>
  <si>
    <t>现金收款1288</t>
    <phoneticPr fontId="15" type="noConversion"/>
  </si>
  <si>
    <t>现金</t>
    <phoneticPr fontId="64" type="noConversion"/>
  </si>
  <si>
    <t>现金</t>
    <phoneticPr fontId="15" type="noConversion"/>
  </si>
  <si>
    <t>银行汇款5w至中国</t>
    <phoneticPr fontId="15" type="noConversion"/>
  </si>
  <si>
    <t>人民币5w/6.7=7462.69欧</t>
    <phoneticPr fontId="15" type="noConversion"/>
  </si>
  <si>
    <t>AUE22/0003407</t>
  </si>
  <si>
    <t>AUE22/0003412</t>
  </si>
  <si>
    <t>AUE22/0003413</t>
  </si>
  <si>
    <t>AUE22/0003414</t>
  </si>
  <si>
    <t>AUE22/0003415</t>
  </si>
  <si>
    <t>AUE22/0003416</t>
  </si>
  <si>
    <t>AUE22/0003417</t>
  </si>
  <si>
    <t>物料</t>
    <phoneticPr fontId="15" type="noConversion"/>
  </si>
  <si>
    <t>其他抵扣</t>
    <phoneticPr fontId="15" type="noConversion"/>
  </si>
  <si>
    <t>预收账款</t>
    <phoneticPr fontId="15" type="noConversion"/>
  </si>
  <si>
    <t>AFTS22/0000273</t>
  </si>
  <si>
    <t>AFTS22/0000268</t>
  </si>
  <si>
    <t>AFTS22/0000269</t>
  </si>
  <si>
    <t>AUE22/0003489</t>
  </si>
  <si>
    <t>AUE22/0003504</t>
  </si>
  <si>
    <t>AUE22/0003454</t>
  </si>
  <si>
    <t>AUE22/0003453</t>
  </si>
  <si>
    <t>AFTS22/0000274</t>
  </si>
  <si>
    <t>AFTS22/0000272</t>
  </si>
  <si>
    <t>AUE22/0003490</t>
  </si>
  <si>
    <t>AUE22/0003460</t>
  </si>
  <si>
    <t>AUE22/0003464</t>
  </si>
  <si>
    <t>UE22/0002311</t>
  </si>
  <si>
    <t>AVU22/0000487</t>
  </si>
  <si>
    <t>现金收款4528</t>
    <phoneticPr fontId="15" type="noConversion"/>
  </si>
  <si>
    <t>现金收款1655</t>
    <phoneticPr fontId="15" type="noConversion"/>
  </si>
  <si>
    <t>现金收款3998</t>
    <phoneticPr fontId="15" type="noConversion"/>
  </si>
  <si>
    <t>银行</t>
    <phoneticPr fontId="15" type="noConversion"/>
  </si>
  <si>
    <t>银行</t>
    <phoneticPr fontId="68" type="noConversion"/>
  </si>
  <si>
    <t>盛杰</t>
    <phoneticPr fontId="15" type="noConversion"/>
  </si>
  <si>
    <t>JR IMPORT CANARIAS 2022 S.L</t>
    <phoneticPr fontId="15" type="noConversion"/>
  </si>
  <si>
    <t>NUSINTE,SOCIEDAD LIMITADA</t>
    <phoneticPr fontId="15" type="noConversion"/>
  </si>
  <si>
    <t>UE22/0002343</t>
  </si>
  <si>
    <t>林显斌微信退货</t>
  </si>
  <si>
    <t>AUE22/0003505</t>
  </si>
  <si>
    <t>AUE22/0003597</t>
  </si>
  <si>
    <t>AUE22/0003522</t>
  </si>
  <si>
    <t>AUE22/0003518</t>
  </si>
  <si>
    <t>AUE22/0003510</t>
  </si>
  <si>
    <t>AUE22/0003547</t>
  </si>
  <si>
    <t>AUE22/0003583</t>
  </si>
  <si>
    <t>AUE22/0003590</t>
  </si>
  <si>
    <t>AUE22/0003544</t>
  </si>
  <si>
    <t>AUE22/0003570</t>
  </si>
  <si>
    <t>AUE22/0003545</t>
  </si>
  <si>
    <t>UE22/0002366</t>
  </si>
  <si>
    <t>AUE22/0003535</t>
  </si>
  <si>
    <t>AUE22/0003538</t>
  </si>
  <si>
    <t>AUE22/0003509</t>
  </si>
  <si>
    <t>AUE22/0003572</t>
  </si>
  <si>
    <t>AUE22/0003511</t>
  </si>
  <si>
    <t>AUE22/0003524</t>
  </si>
  <si>
    <t>AUE22/0003508</t>
  </si>
  <si>
    <t>AUE22/0003526</t>
  </si>
  <si>
    <t>AUE22/0003529</t>
  </si>
  <si>
    <t>AUE22/0003537</t>
  </si>
  <si>
    <t>AFTS22/0000291</t>
  </si>
  <si>
    <t>AUE22/0003521</t>
  </si>
  <si>
    <t>AUE22/0003533</t>
  </si>
  <si>
    <t>AUE22/0003513</t>
  </si>
  <si>
    <t>AUE22/0003551</t>
  </si>
  <si>
    <t>AUE22/0003542</t>
  </si>
  <si>
    <t>UE22/0002327</t>
  </si>
  <si>
    <t>UE22/0002334</t>
  </si>
  <si>
    <t>UE22/0002335</t>
  </si>
  <si>
    <t>UE22/0002337</t>
  </si>
  <si>
    <t>UE22/0002383</t>
  </si>
  <si>
    <t>UE22/0002384</t>
  </si>
  <si>
    <t>AUE22/0003595</t>
  </si>
  <si>
    <t>AVU22/0000488</t>
  </si>
  <si>
    <t>UE22/0002382</t>
  </si>
  <si>
    <t>现金</t>
    <phoneticPr fontId="15" type="noConversion"/>
  </si>
  <si>
    <t>现金收款1916</t>
    <phoneticPr fontId="15" type="noConversion"/>
  </si>
  <si>
    <t>现金收款6035</t>
    <phoneticPr fontId="15" type="noConversion"/>
  </si>
  <si>
    <t>现金收款2131</t>
    <phoneticPr fontId="15" type="noConversion"/>
  </si>
  <si>
    <t>现金收款4550</t>
    <phoneticPr fontId="15" type="noConversion"/>
  </si>
  <si>
    <t>银行</t>
    <phoneticPr fontId="15" type="noConversion"/>
  </si>
  <si>
    <t>银行</t>
    <phoneticPr fontId="15" type="noConversion"/>
  </si>
  <si>
    <t>正负抵扣</t>
    <phoneticPr fontId="15" type="noConversion"/>
  </si>
  <si>
    <t>AUE22/0003598</t>
  </si>
  <si>
    <t>AUE22/0003599</t>
  </si>
  <si>
    <t>AUE22/0003608</t>
  </si>
  <si>
    <t>AUE22/0003610</t>
  </si>
  <si>
    <t>AUE22/0003600</t>
  </si>
  <si>
    <t>AUE22/0003612</t>
  </si>
  <si>
    <t>AUE22/0003614</t>
  </si>
  <si>
    <t>AUE22/0003617</t>
  </si>
  <si>
    <t>退货产生的差价单，为-39.26</t>
  </si>
  <si>
    <t>AUE22/0003624</t>
  </si>
  <si>
    <t>AUE22/0003625</t>
  </si>
  <si>
    <t>AUE22/0003618</t>
  </si>
  <si>
    <t>AUE22/0003635</t>
  </si>
  <si>
    <t>AUE22/0003626</t>
  </si>
  <si>
    <t>AUE22/0003620</t>
  </si>
  <si>
    <t>AUE22/0003621</t>
  </si>
  <si>
    <t>UE22/0002389</t>
  </si>
  <si>
    <t>UE22/0002390</t>
  </si>
  <si>
    <t>UE22/0002392</t>
  </si>
  <si>
    <t>UE22/0002393</t>
  </si>
  <si>
    <t>UE22/0002395</t>
  </si>
  <si>
    <t>UE22/0002413</t>
  </si>
  <si>
    <t>UE22/0002414</t>
  </si>
  <si>
    <t>UE22/0002415</t>
  </si>
  <si>
    <t>UE22/0002425</t>
  </si>
  <si>
    <t>UE22/0002426</t>
  </si>
  <si>
    <t>UE22/0002430</t>
  </si>
  <si>
    <t>AUE22/0003605</t>
  </si>
  <si>
    <t>AUE22/0003606</t>
  </si>
  <si>
    <t>UE22/0002391</t>
  </si>
  <si>
    <t>UE22/0002418</t>
  </si>
  <si>
    <t>UE22/2391 表带我们给客人1.1欧（无折扣）的特价，实际*AA*里折扣后是1.5欧，每个相差了0.4欧，总数有348个。所以有-139.2的差价</t>
  </si>
  <si>
    <t>银行</t>
    <phoneticPr fontId="15" type="noConversion"/>
  </si>
  <si>
    <t>现金</t>
    <phoneticPr fontId="15" type="noConversion"/>
  </si>
  <si>
    <t>现金收款1405</t>
    <phoneticPr fontId="15" type="noConversion"/>
  </si>
  <si>
    <t>陆夏小华填单交款，挂账田也</t>
  </si>
  <si>
    <t>陆夏小华填单交款，挂账田也</t>
    <phoneticPr fontId="15" type="noConversion"/>
  </si>
  <si>
    <t>支票存兑</t>
    <phoneticPr fontId="15" type="noConversion"/>
  </si>
  <si>
    <t>客户样品单，用作拍照/ALBARAN</t>
    <phoneticPr fontId="15" type="noConversion"/>
  </si>
  <si>
    <r>
      <t>11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Consolas"/>
        <family val="3"/>
      </rPr>
      <t>15</t>
    </r>
    <r>
      <rPr>
        <sz val="11"/>
        <color theme="1"/>
        <rFont val="宋体"/>
        <family val="3"/>
        <charset val="134"/>
      </rPr>
      <t>日现金收款</t>
    </r>
    <r>
      <rPr>
        <sz val="11"/>
        <color theme="1"/>
        <rFont val="Consolas"/>
        <family val="3"/>
      </rPr>
      <t>3w</t>
    </r>
    <phoneticPr fontId="15" type="noConversion"/>
  </si>
  <si>
    <t>11月14日银行汇款8904.83</t>
    <phoneticPr fontId="15" type="noConversion"/>
  </si>
  <si>
    <t>11月14日银行汇款8904.83</t>
    <phoneticPr fontId="15" type="noConversion"/>
  </si>
  <si>
    <t>CHOLLOS EL BARATO S.L</t>
    <phoneticPr fontId="15" type="noConversion"/>
  </si>
  <si>
    <t>样品，折扣20，运1，AA邮箱，发票可以放在箱子里，分开发</t>
  </si>
  <si>
    <t>AUE22/0003678</t>
  </si>
  <si>
    <t>AUE22/0003705</t>
  </si>
  <si>
    <t>AUE22/0003674</t>
  </si>
  <si>
    <t>AUE22/0003673</t>
  </si>
  <si>
    <t>AUE22/0003670</t>
  </si>
  <si>
    <t>AUE22/0003714</t>
  </si>
  <si>
    <t>AUE22/0003708</t>
  </si>
  <si>
    <t>AUE22/0003699</t>
  </si>
  <si>
    <t>AUE22/0003710</t>
  </si>
  <si>
    <t>AUE22/0003715</t>
  </si>
  <si>
    <t>AUE22/0003701</t>
  </si>
  <si>
    <t>AUE22/0003706</t>
  </si>
  <si>
    <t>加单，同GXSD202211240015一起发</t>
  </si>
  <si>
    <t>AUE22/0003712</t>
  </si>
  <si>
    <t>AFTS22/0000343</t>
  </si>
  <si>
    <t>AUE22/0003707</t>
  </si>
  <si>
    <t>AFTS22/0000358</t>
  </si>
  <si>
    <t>AUE22/0003640</t>
  </si>
  <si>
    <t>AUE22/0003643</t>
  </si>
  <si>
    <t>AUE22/0003654</t>
  </si>
  <si>
    <t>AUE22/0003653</t>
  </si>
  <si>
    <t>AUE22/0003647</t>
  </si>
  <si>
    <t>AUE22/0003642</t>
  </si>
  <si>
    <t>AUE22/0003700</t>
  </si>
  <si>
    <t>AUE22/0003716</t>
  </si>
  <si>
    <t>UE22/0002456</t>
  </si>
  <si>
    <t>UE22/0002457</t>
  </si>
  <si>
    <t>UE22/0002467</t>
  </si>
  <si>
    <t>UE22/0002483</t>
  </si>
  <si>
    <t>UE22/0002484</t>
  </si>
  <si>
    <t>UE22/0002486</t>
  </si>
  <si>
    <t>UE22/0002487</t>
  </si>
  <si>
    <t>AUE22/0003658</t>
  </si>
  <si>
    <t>UE22/0002455</t>
  </si>
  <si>
    <t>下单/30 我收钱。  客户不要*AA* UE22/2384改为AUE单</t>
  </si>
  <si>
    <t>GXSD202211100020 冲红生成的销退单</t>
  </si>
  <si>
    <t>AUE22/0003648</t>
  </si>
  <si>
    <t>AVU22/0000503</t>
  </si>
  <si>
    <t>AUE22/0003677</t>
  </si>
  <si>
    <t>AUE22/0003683</t>
  </si>
  <si>
    <t>AUE22/0003684</t>
  </si>
  <si>
    <t>AUE22/0003686</t>
  </si>
  <si>
    <t>AUE22/0003687</t>
  </si>
  <si>
    <t>AUE22/0003688</t>
  </si>
  <si>
    <t>AUE22/0003689</t>
  </si>
  <si>
    <t>AUE22/0003690</t>
  </si>
  <si>
    <t>AUE22/0003691</t>
  </si>
  <si>
    <t>AUE22/0003692</t>
  </si>
  <si>
    <t>AUE22/0003693</t>
  </si>
  <si>
    <t>AUE22/0003694</t>
  </si>
  <si>
    <t>AUE22/0003695</t>
  </si>
  <si>
    <t>AUE22/0003696</t>
  </si>
  <si>
    <t>AUE22/0003697</t>
  </si>
  <si>
    <t>AUE22/0003698</t>
  </si>
  <si>
    <t>AVU22/0000505</t>
  </si>
  <si>
    <t>AVU22/0000506</t>
  </si>
  <si>
    <t>AVU22/0000507</t>
  </si>
  <si>
    <t>AVU22/0000508</t>
  </si>
  <si>
    <t>AVU22/0000509</t>
  </si>
  <si>
    <t>AVU22/0000510</t>
  </si>
  <si>
    <t>AVU22/0000511</t>
  </si>
  <si>
    <t>AVU22/0000512</t>
  </si>
  <si>
    <t>AVU22/0000513</t>
  </si>
  <si>
    <t>UE22/0002440</t>
  </si>
  <si>
    <t>银行</t>
    <phoneticPr fontId="15" type="noConversion"/>
  </si>
  <si>
    <t>现金收款5413.5</t>
    <phoneticPr fontId="15" type="noConversion"/>
  </si>
  <si>
    <t>现金收款
1359.05</t>
    <phoneticPr fontId="64" type="noConversion"/>
  </si>
  <si>
    <t>正负抵扣</t>
    <phoneticPr fontId="61" type="noConversion"/>
  </si>
  <si>
    <t>物料
正负抵扣</t>
    <phoneticPr fontId="61" type="noConversion"/>
  </si>
  <si>
    <t>正负抵扣</t>
    <phoneticPr fontId="15" type="noConversion"/>
  </si>
  <si>
    <t>FTS22/0000697</t>
  </si>
  <si>
    <t>AUE22/0003746</t>
  </si>
  <si>
    <t>UE22/0002519</t>
  </si>
  <si>
    <t>UE22/0002520</t>
  </si>
  <si>
    <t>AUE22/0003743</t>
  </si>
  <si>
    <t>AUE22/0003766</t>
  </si>
  <si>
    <t>AUE22/0003745</t>
  </si>
  <si>
    <t>AUE22/0003762</t>
  </si>
  <si>
    <t>AUE22/0003750</t>
  </si>
  <si>
    <t>AUE22/0003749</t>
  </si>
  <si>
    <t>AUE22/0003776</t>
  </si>
  <si>
    <t>AUE22/0003775</t>
  </si>
  <si>
    <t>12月1日 CHEQUE NUM. 8537223  1905.96跳票费</t>
  </si>
  <si>
    <t>12月1日 CHEQUE NUM. 4362799  9750.24跳票费</t>
    <phoneticPr fontId="15" type="noConversion"/>
  </si>
  <si>
    <t>AUE22/0003724</t>
  </si>
  <si>
    <t>AUE22/0003777</t>
  </si>
  <si>
    <t>UE22/0002562</t>
  </si>
  <si>
    <t>AUE22/0003782</t>
  </si>
  <si>
    <t>AUE22/0003783</t>
  </si>
  <si>
    <t>AUE22/0003732</t>
  </si>
  <si>
    <t>AUE22/0003738</t>
  </si>
  <si>
    <t>AUE22/0003739</t>
  </si>
  <si>
    <t>AUE22/0003718</t>
  </si>
  <si>
    <t>AUE22/0003723</t>
  </si>
  <si>
    <t>AUE22/0003747</t>
  </si>
  <si>
    <t>AUE22/0003779</t>
  </si>
  <si>
    <t>AUE22/0003790</t>
  </si>
  <si>
    <t>AUE22/0003791</t>
  </si>
  <si>
    <t>AFTS22/0000383</t>
  </si>
  <si>
    <t>AUE22/0003744</t>
  </si>
  <si>
    <t>AUE22/0003765</t>
  </si>
  <si>
    <t>AUE22/0003778</t>
  </si>
  <si>
    <t>AUE22/0003786</t>
  </si>
  <si>
    <t>AUE22/0003773</t>
  </si>
  <si>
    <t>AUE22/0003781</t>
  </si>
  <si>
    <t>AUE22/0003784</t>
  </si>
  <si>
    <t>AUE22/0003780</t>
  </si>
  <si>
    <t>UE22/0002521</t>
  </si>
  <si>
    <t>UE22/0002522</t>
  </si>
  <si>
    <t>UE22/0002523</t>
  </si>
  <si>
    <t>UE22/0002528</t>
  </si>
  <si>
    <t>UE22/0002531</t>
  </si>
  <si>
    <t>UE22/0002568</t>
  </si>
  <si>
    <t>AUE22/0003741</t>
  </si>
  <si>
    <t>AUE22/3605  998568这个产品240个，改为价格0.98，原折扣不改 992962 25个产品，改为金额3.5，去掉之前的30的折扣</t>
  </si>
  <si>
    <t>AVU22/0000524</t>
  </si>
  <si>
    <t>UE22/0002563</t>
  </si>
  <si>
    <t>现金收款705</t>
    <phoneticPr fontId="15" type="noConversion"/>
  </si>
  <si>
    <t>现金收款138</t>
    <phoneticPr fontId="15" type="noConversion"/>
  </si>
  <si>
    <t>现金</t>
    <phoneticPr fontId="15" type="noConversion"/>
  </si>
  <si>
    <t>现金收款1515</t>
    <phoneticPr fontId="15" type="noConversion"/>
  </si>
  <si>
    <t>跳票</t>
    <phoneticPr fontId="15" type="noConversion"/>
  </si>
  <si>
    <t>现金</t>
    <phoneticPr fontId="15" type="noConversion"/>
  </si>
  <si>
    <t>现金收款2091.7</t>
    <phoneticPr fontId="15" type="noConversion"/>
  </si>
  <si>
    <t>2022/11/23银行汇款
2522.7</t>
    <phoneticPr fontId="15" type="noConversion"/>
  </si>
  <si>
    <t>2022/11/23银行汇款2522.7</t>
    <phoneticPr fontId="15" type="noConversion"/>
  </si>
  <si>
    <t>2022/11/28现金收款1818</t>
    <phoneticPr fontId="15" type="noConversion"/>
  </si>
  <si>
    <t>2022/11/28现金收款5000.55</t>
    <phoneticPr fontId="15" type="noConversion"/>
  </si>
  <si>
    <r>
      <rPr>
        <sz val="11"/>
        <rFont val="宋体"/>
        <family val="3"/>
        <charset val="134"/>
      </rPr>
      <t>剩余欠款</t>
    </r>
    <phoneticPr fontId="15" type="noConversion"/>
  </si>
  <si>
    <t>现金</t>
    <phoneticPr fontId="69" type="noConversion"/>
  </si>
  <si>
    <t>现金</t>
    <phoneticPr fontId="15" type="noConversion"/>
  </si>
  <si>
    <t>现金收款4639</t>
    <phoneticPr fontId="15" type="noConversion"/>
  </si>
  <si>
    <t>现金收款26711</t>
    <phoneticPr fontId="15" type="noConversion"/>
  </si>
  <si>
    <t>现金收款
5420</t>
    <phoneticPr fontId="15" type="noConversion"/>
  </si>
  <si>
    <t>支票存兑</t>
    <phoneticPr fontId="15" type="noConversion"/>
  </si>
  <si>
    <t>银行</t>
    <phoneticPr fontId="15" type="noConversion"/>
  </si>
  <si>
    <t>AUE22/0003820</t>
  </si>
  <si>
    <t>AUE22/3599补收IVA银行收款,外账*AA*UE22/2512</t>
  </si>
  <si>
    <t>AUE22/0003831</t>
  </si>
  <si>
    <t>AUE22/0003830</t>
  </si>
  <si>
    <t>AUE22/0003825</t>
  </si>
  <si>
    <t>AUE22/0003834</t>
  </si>
  <si>
    <t>AUE22/0003824</t>
  </si>
  <si>
    <t>AUE22/0003838</t>
  </si>
  <si>
    <t>AUE22/0003837</t>
  </si>
  <si>
    <t>AUE22/0003811</t>
  </si>
  <si>
    <t>AFTS22/0000391</t>
  </si>
  <si>
    <t>AUE22/0003803</t>
  </si>
  <si>
    <t>AUE22/0003832</t>
  </si>
  <si>
    <t>AUE22/0003800</t>
  </si>
  <si>
    <t>UE22/0002598</t>
  </si>
  <si>
    <t>UE22/0002599</t>
  </si>
  <si>
    <t>UE22/0002600</t>
  </si>
  <si>
    <t>现金</t>
    <phoneticPr fontId="15" type="noConversion"/>
  </si>
  <si>
    <t>现金收款
3135</t>
    <phoneticPr fontId="15" type="noConversion"/>
  </si>
  <si>
    <t>其他抵扣</t>
    <phoneticPr fontId="15" type="noConversion"/>
  </si>
  <si>
    <t>支票存兑</t>
    <phoneticPr fontId="78" type="noConversion"/>
  </si>
  <si>
    <t>银行</t>
    <phoneticPr fontId="15" type="noConversion"/>
  </si>
  <si>
    <t>AUE22/0003839</t>
    <phoneticPr fontId="15" type="noConversion"/>
  </si>
  <si>
    <t>补交IVA外账*AA*UE22/2579   开AUE单</t>
    <phoneticPr fontId="15" type="noConversion"/>
  </si>
  <si>
    <t>MARKETING PRIORITY YAN S.L 宏达-马德里</t>
  </si>
  <si>
    <t>STOCK IN SPAIN ELECTRONICS S.L 步步高</t>
  </si>
  <si>
    <t>FOLIA ERUDITA UNIPESSOAL LDA 张耀</t>
  </si>
  <si>
    <t>AUE22/0003864</t>
  </si>
  <si>
    <t>AUE22/0003911</t>
  </si>
  <si>
    <t>AUE22/0003912</t>
  </si>
  <si>
    <t>AUE22/0003913</t>
  </si>
  <si>
    <t>rock钢化膜1.08*6000*1.21=7840.8+30（运费）=7870.8欧。另开外账*AA*，对应这个rappel单金额，含税随便什么都可以</t>
  </si>
  <si>
    <t>AUE22/0003906</t>
  </si>
  <si>
    <t>AUE22/0003918</t>
  </si>
  <si>
    <t>AUE22/0003920</t>
  </si>
  <si>
    <t>UE22/0002650</t>
  </si>
  <si>
    <t>AUE22/0003905</t>
  </si>
  <si>
    <t>AUE22/0003907</t>
  </si>
  <si>
    <t>AUE22/0003908</t>
  </si>
  <si>
    <t>AUE22/0003872</t>
  </si>
  <si>
    <t>AUE22/0003874</t>
  </si>
  <si>
    <t>AUE22/0003852</t>
  </si>
  <si>
    <t>AUE22/0003923</t>
  </si>
  <si>
    <t>AUE22/0003866</t>
  </si>
  <si>
    <t>AUE22/0003851</t>
  </si>
  <si>
    <t>AFTS22/0000408</t>
  </si>
  <si>
    <t>AFTS22/0000414</t>
  </si>
  <si>
    <t>AFTS22/0000401</t>
  </si>
  <si>
    <t>AFTS22/0000413</t>
  </si>
  <si>
    <t>AUE22/0003902</t>
  </si>
  <si>
    <t>AUE22/0003871</t>
  </si>
  <si>
    <t>AUE22/0003924</t>
  </si>
  <si>
    <t>AUE22/0003844</t>
  </si>
  <si>
    <t>AUE22/0003904</t>
  </si>
  <si>
    <t>AUE22/0003842</t>
  </si>
  <si>
    <t>AUE22/0003843</t>
  </si>
  <si>
    <t>UE22/0002604</t>
  </si>
  <si>
    <t>UE22/0002606</t>
  </si>
  <si>
    <t>UE22/0002641</t>
  </si>
  <si>
    <t>UE22/0002642</t>
  </si>
  <si>
    <t>UE22/0002643</t>
  </si>
  <si>
    <t>UE22/0002648</t>
  </si>
  <si>
    <t>UE22/0002649</t>
  </si>
  <si>
    <t>AUE22/0003901</t>
  </si>
  <si>
    <t>AVU22/0000534</t>
  </si>
  <si>
    <t>AVU22/0000536</t>
  </si>
  <si>
    <t>吴建彬</t>
  </si>
  <si>
    <t>支票存兑</t>
    <phoneticPr fontId="15" type="noConversion"/>
  </si>
  <si>
    <t>现金</t>
    <phoneticPr fontId="15" type="noConversion"/>
  </si>
  <si>
    <t>现金收款1139</t>
    <phoneticPr fontId="69" type="noConversion"/>
  </si>
  <si>
    <t>银行汇款3992</t>
    <phoneticPr fontId="15" type="noConversion"/>
  </si>
  <si>
    <t>银行</t>
    <phoneticPr fontId="15" type="noConversion"/>
  </si>
  <si>
    <t>银行</t>
    <phoneticPr fontId="63" type="noConversion"/>
  </si>
  <si>
    <t>现金</t>
    <phoneticPr fontId="63" type="noConversion"/>
  </si>
  <si>
    <t>其他抵扣</t>
    <phoneticPr fontId="64" type="noConversion"/>
  </si>
  <si>
    <t>现金收款
2509</t>
    <phoneticPr fontId="64" type="noConversion"/>
  </si>
  <si>
    <t>其他抵扣</t>
    <phoneticPr fontId="15" type="noConversion"/>
  </si>
  <si>
    <t>银行</t>
    <phoneticPr fontId="15" type="noConversion"/>
  </si>
  <si>
    <t>IUNTECH GALICIA S.L 齐力分公司</t>
  </si>
  <si>
    <t>EH HOME ANDALUCIA W&amp;Y S.L 姚娇</t>
  </si>
  <si>
    <t>YCADRI 2010 S.L.U</t>
    <phoneticPr fontId="15" type="noConversion"/>
  </si>
  <si>
    <t>PEDIDOCOMUM UNIPESSOAL LDA （天和批发仓库）</t>
    <phoneticPr fontId="15" type="noConversion"/>
  </si>
  <si>
    <t>ORIGINAL&amp;EFEMERO LDA 顺意电子</t>
  </si>
  <si>
    <t>FTS22/0000836</t>
  </si>
  <si>
    <t>AFTS22/0000418</t>
  </si>
  <si>
    <t>AUE22/0003953</t>
  </si>
  <si>
    <t>UE22/0002682</t>
  </si>
  <si>
    <t>AUE22/3599原单金额开票不加IVA</t>
  </si>
  <si>
    <t>AUE22/0003931</t>
  </si>
  <si>
    <t>AUE22/0003945</t>
  </si>
  <si>
    <t>AUE22/0003959</t>
  </si>
  <si>
    <t>AUE22/0003961</t>
  </si>
  <si>
    <t>AUE22/0003964</t>
  </si>
  <si>
    <t>AUE22/0003958</t>
  </si>
  <si>
    <t>AUE22/0003965</t>
  </si>
  <si>
    <t>AUE22/0003966</t>
  </si>
  <si>
    <t>AUE22/0003967</t>
  </si>
  <si>
    <t>AUE22/0003968</t>
  </si>
  <si>
    <t>AUE22/0003969</t>
  </si>
  <si>
    <t>AUE22/0003970</t>
  </si>
  <si>
    <t>AUE22/0003971</t>
  </si>
  <si>
    <t>AUE22/0003972</t>
  </si>
  <si>
    <t>AUE22/0003973</t>
  </si>
  <si>
    <t>AUE22/0003974</t>
  </si>
  <si>
    <t>AUE22/0003975</t>
  </si>
  <si>
    <t>AUE22/0003976</t>
  </si>
  <si>
    <t>AUE22/0003977</t>
  </si>
  <si>
    <t>AUE22/0003978</t>
  </si>
  <si>
    <t>AUE22/0003983</t>
  </si>
  <si>
    <t>UE22/0002694</t>
  </si>
  <si>
    <t>UE22/0002695</t>
  </si>
  <si>
    <t>UE22/0002696</t>
  </si>
  <si>
    <t>UE22/0002697</t>
  </si>
  <si>
    <t>UE22/0002698</t>
  </si>
  <si>
    <t>UE22/0002699</t>
  </si>
  <si>
    <t>UE22/0002700</t>
  </si>
  <si>
    <t>UE22/0002657</t>
  </si>
  <si>
    <t>AUE22/0003936</t>
  </si>
  <si>
    <t>AUE22/0003932</t>
  </si>
  <si>
    <t>AUE22/0003933</t>
  </si>
  <si>
    <t>AUE22/0003942</t>
  </si>
  <si>
    <t>AUE22/0003948</t>
  </si>
  <si>
    <t>AUE22/0003962</t>
  </si>
  <si>
    <t>AUE22/3406  做5个点的返点差价单 客户仓库拓建新开门活动+货改额外支持+安抚因新开其他仓库.阳光</t>
  </si>
  <si>
    <t>AUE22/0003949</t>
  </si>
  <si>
    <t>AUE22/0003929</t>
  </si>
  <si>
    <t>AUE22/0003928</t>
  </si>
  <si>
    <t>AUE22/0003935</t>
  </si>
  <si>
    <t>AUE22/0003943</t>
  </si>
  <si>
    <t>AUE22/0003944</t>
  </si>
  <si>
    <t>AUE22/0003946</t>
  </si>
  <si>
    <t>AFTS22/0000425</t>
  </si>
  <si>
    <t>AFTS22/0000427</t>
  </si>
  <si>
    <t>AFTS22/0000429</t>
  </si>
  <si>
    <t>FTS22/0000855</t>
  </si>
  <si>
    <t>AUE22/0003934</t>
  </si>
  <si>
    <t>AUE22/0003937</t>
  </si>
  <si>
    <t>AUE22/0003941</t>
  </si>
  <si>
    <t>AUE22/0003926</t>
  </si>
  <si>
    <t>AUE22/0003938</t>
  </si>
  <si>
    <t>AUE22/0003930</t>
  </si>
  <si>
    <t>UE22/0002681</t>
  </si>
  <si>
    <t>UE22/0002686</t>
  </si>
  <si>
    <t>UE22/0002703</t>
  </si>
  <si>
    <t>UE22/0002704</t>
  </si>
  <si>
    <t>UE22/0002707</t>
  </si>
  <si>
    <t>UE22/0002665</t>
  </si>
  <si>
    <t>AUE22/0003980</t>
  </si>
  <si>
    <t>AUE22/0003927</t>
  </si>
  <si>
    <t>AUE22/0003940</t>
  </si>
  <si>
    <t>AVU22/0000544</t>
  </si>
  <si>
    <t>AVU22/0000542</t>
  </si>
  <si>
    <t>现金收款2415</t>
    <phoneticPr fontId="15" type="noConversion"/>
  </si>
  <si>
    <t>银行</t>
    <phoneticPr fontId="15" type="noConversion"/>
  </si>
  <si>
    <t>现金</t>
    <phoneticPr fontId="15" type="noConversion"/>
  </si>
  <si>
    <t>12月19日现金收款21855</t>
    <phoneticPr fontId="15" type="noConversion"/>
  </si>
  <si>
    <t>现金收款
3824</t>
    <phoneticPr fontId="15" type="noConversion"/>
  </si>
  <si>
    <t>现金收款1932.5</t>
    <phoneticPr fontId="15" type="noConversion"/>
  </si>
  <si>
    <t>现金收款5554</t>
    <phoneticPr fontId="15" type="noConversion"/>
  </si>
  <si>
    <t>AUE22/0003994</t>
  </si>
  <si>
    <t>AUE22/0004010</t>
  </si>
  <si>
    <t>AUE22/0004018</t>
  </si>
  <si>
    <t>AUE22/0003990</t>
  </si>
  <si>
    <t>AUE22/0004019</t>
  </si>
  <si>
    <t>AUE22/0004020</t>
  </si>
  <si>
    <t>AUE22/0004017</t>
  </si>
  <si>
    <t>AUE22/0004011</t>
  </si>
  <si>
    <t>AUE22/0004014</t>
  </si>
  <si>
    <t>AFTS22/0000434</t>
  </si>
  <si>
    <t>AFTS22/0000435</t>
  </si>
  <si>
    <t>AUE22/0003993</t>
  </si>
  <si>
    <t>AUE22/0004016</t>
  </si>
  <si>
    <t>AUE22/0004002</t>
  </si>
  <si>
    <t>AUE22/0004009</t>
  </si>
  <si>
    <t>UE22/0002731</t>
  </si>
  <si>
    <t>AUE22/0003989</t>
  </si>
  <si>
    <t>UE22/0002716</t>
  </si>
  <si>
    <t>UE22/0002717</t>
  </si>
  <si>
    <t>UE22/0002725</t>
  </si>
  <si>
    <t>UE22/0002732</t>
  </si>
  <si>
    <t>UE22/0002734</t>
  </si>
  <si>
    <t>UE22/0002739</t>
  </si>
  <si>
    <t>UE22/0002740</t>
  </si>
  <si>
    <t>UE22/0002741</t>
  </si>
  <si>
    <t>销售微信通知修改价格0.1，取消优惠</t>
  </si>
  <si>
    <t>现金收款2918</t>
    <phoneticPr fontId="15" type="noConversion"/>
  </si>
  <si>
    <t>支票存兑</t>
    <phoneticPr fontId="15" type="noConversion"/>
  </si>
  <si>
    <t>12月29日林总微信通知陆夏小华工资抵扣</t>
    <phoneticPr fontId="15" type="noConversion"/>
  </si>
  <si>
    <t>其他抵扣</t>
    <phoneticPr fontId="15" type="noConversion"/>
  </si>
  <si>
    <t>其他抵扣</t>
    <phoneticPr fontId="15" type="noConversion"/>
  </si>
  <si>
    <t>正负抵扣</t>
    <phoneticPr fontId="15" type="noConversion"/>
  </si>
  <si>
    <t>支票存兑</t>
    <phoneticPr fontId="15" type="noConversion"/>
  </si>
  <si>
    <t>银行</t>
    <phoneticPr fontId="15" type="noConversion"/>
  </si>
  <si>
    <t>AVU22/0000547</t>
  </si>
  <si>
    <t>AUE22/0004004</t>
  </si>
  <si>
    <t>AUE22/0004005</t>
  </si>
  <si>
    <t>AVU22/0000546</t>
  </si>
  <si>
    <t>FTS23/0000006</t>
  </si>
  <si>
    <t>AUE23/0000013</t>
  </si>
  <si>
    <t>盛杰</t>
    <phoneticPr fontId="15" type="noConversion"/>
  </si>
  <si>
    <t>AUE23/0000006</t>
  </si>
  <si>
    <t>AUE23/0000007</t>
  </si>
  <si>
    <t>AUE23/0000012</t>
  </si>
  <si>
    <t>AUE23/0000014</t>
  </si>
  <si>
    <t>UE23/0000014</t>
  </si>
  <si>
    <t>AUE23/0000004</t>
  </si>
  <si>
    <t>AUE23/0000001</t>
  </si>
  <si>
    <t>AUE23/0000008</t>
  </si>
  <si>
    <t>AUE23/0000009</t>
  </si>
  <si>
    <t>AUE23/0000010</t>
  </si>
  <si>
    <t>UE23/0000010</t>
  </si>
  <si>
    <t>AUE23/0000011</t>
  </si>
  <si>
    <t>AUE23/0000002</t>
  </si>
  <si>
    <t>AUE23/0000020</t>
  </si>
  <si>
    <t>AUE23/0000021</t>
  </si>
  <si>
    <t>UE23/0000001</t>
  </si>
  <si>
    <t>AVU23/0000004</t>
  </si>
  <si>
    <t>AVU23/0000005</t>
  </si>
  <si>
    <t>蒋敏焰</t>
    <phoneticPr fontId="15" type="noConversion"/>
  </si>
  <si>
    <t>银行</t>
    <phoneticPr fontId="15" type="noConversion"/>
  </si>
  <si>
    <t>1月4日银行汇款1137.66</t>
    <phoneticPr fontId="15" type="noConversion"/>
  </si>
  <si>
    <t>银行</t>
    <phoneticPr fontId="15" type="noConversion"/>
  </si>
  <si>
    <t>1月5日银行收款3860.47</t>
    <phoneticPr fontId="15" type="noConversion"/>
  </si>
  <si>
    <t>1月3日银行收款9175.21</t>
    <phoneticPr fontId="15" type="noConversion"/>
  </si>
  <si>
    <t>1月3日银行收款9175.21</t>
    <phoneticPr fontId="15" type="noConversion"/>
  </si>
  <si>
    <t>AUE23/0000042</t>
  </si>
  <si>
    <t>AUE23/0000068</t>
  </si>
  <si>
    <t>AUE22/0004022</t>
  </si>
  <si>
    <t>AUE23/0000065</t>
  </si>
  <si>
    <t>AUE23/0000076</t>
  </si>
  <si>
    <t>AUE23/0000069</t>
  </si>
  <si>
    <t>AUE23/0000062</t>
  </si>
  <si>
    <t>AUE23/0000055</t>
  </si>
  <si>
    <t>AUE23/0000053</t>
  </si>
  <si>
    <t>AUE23/0000054</t>
  </si>
  <si>
    <t>HC9268做62个,4.5到3.95,差价单金额34.1</t>
  </si>
  <si>
    <t>AUE23/0000079</t>
  </si>
  <si>
    <t>AUE23/0000044</t>
  </si>
  <si>
    <t>AUE23/0000038</t>
  </si>
  <si>
    <t>AFTS23/0000020</t>
  </si>
  <si>
    <t>AUE23/0000032</t>
  </si>
  <si>
    <t>AUE23/0000093</t>
  </si>
  <si>
    <t>AFTS23/0000018</t>
  </si>
  <si>
    <t>AFTS23/0000019</t>
  </si>
  <si>
    <t>AFTS23/0000022</t>
  </si>
  <si>
    <t>AUE23/0000041</t>
  </si>
  <si>
    <t>AUE23/0000070</t>
  </si>
  <si>
    <t>AUE23/0000071</t>
  </si>
  <si>
    <t>22年最后一个季度的销售额计算返1个点</t>
  </si>
  <si>
    <t>AUE23/0000063</t>
  </si>
  <si>
    <t>AUE23/0000040</t>
  </si>
  <si>
    <t>AUE23/0000048</t>
  </si>
  <si>
    <t>AUE23/0000052</t>
  </si>
  <si>
    <t>AUE23/0000045</t>
  </si>
  <si>
    <t>AUE23/0000050</t>
  </si>
  <si>
    <t>AUE23/0000024</t>
  </si>
  <si>
    <t>UE23/0000032</t>
  </si>
  <si>
    <t>UE23/0000046</t>
  </si>
  <si>
    <t>UE23/0000053</t>
  </si>
  <si>
    <t>UE23/0000076</t>
  </si>
  <si>
    <t>UE23/0000077</t>
  </si>
  <si>
    <t>UE23/0000086</t>
  </si>
  <si>
    <t>UE23/0000087</t>
  </si>
  <si>
    <t>UE23/0000088</t>
  </si>
  <si>
    <t>UE23/0000095</t>
  </si>
  <si>
    <t>UE23/0000096</t>
  </si>
  <si>
    <t>UE23/0000034</t>
  </si>
  <si>
    <t>还公司垫付的运费</t>
  </si>
  <si>
    <t>UE23/0000091</t>
  </si>
  <si>
    <t>AUE23/0000043</t>
  </si>
  <si>
    <t>AUE23/0000037</t>
  </si>
  <si>
    <t>银行</t>
    <phoneticPr fontId="15" type="noConversion"/>
  </si>
  <si>
    <t>其他抵扣</t>
    <phoneticPr fontId="15" type="noConversion"/>
  </si>
  <si>
    <t>现金</t>
    <phoneticPr fontId="15" type="noConversion"/>
  </si>
  <si>
    <t>现金收款1790</t>
    <phoneticPr fontId="15" type="noConversion"/>
  </si>
  <si>
    <t>现金</t>
    <phoneticPr fontId="69" type="noConversion"/>
  </si>
  <si>
    <t>现金收款918.2</t>
    <phoneticPr fontId="15" type="noConversion"/>
  </si>
  <si>
    <t>现金</t>
    <phoneticPr fontId="70" type="noConversion"/>
  </si>
  <si>
    <t>现金</t>
    <phoneticPr fontId="15" type="noConversion"/>
  </si>
  <si>
    <t>2022/5/14销售通知业务员挂账程思琪；
2023/1/9林总安排做公司报损处理</t>
    <phoneticPr fontId="15" type="noConversion"/>
  </si>
  <si>
    <t>2022/4/29销售通知业务员挂账程思琪；
2023/1/9林总安排做公司报损处理</t>
    <phoneticPr fontId="15" type="noConversion"/>
  </si>
  <si>
    <r>
      <t>2022/5/14</t>
    </r>
    <r>
      <rPr>
        <sz val="11"/>
        <rFont val="宋体"/>
        <family val="3"/>
        <charset val="134"/>
      </rPr>
      <t>；</t>
    </r>
    <r>
      <rPr>
        <sz val="11"/>
        <rFont val="Consolas"/>
        <family val="3"/>
      </rPr>
      <t xml:space="preserve">
2023/1/9</t>
    </r>
    <phoneticPr fontId="15" type="noConversion"/>
  </si>
  <si>
    <r>
      <t>2022/4/29</t>
    </r>
    <r>
      <rPr>
        <sz val="11"/>
        <rFont val="宋体"/>
        <family val="3"/>
        <charset val="134"/>
      </rPr>
      <t xml:space="preserve">；
</t>
    </r>
    <r>
      <rPr>
        <sz val="11"/>
        <rFont val="Consolas"/>
        <family val="3"/>
      </rPr>
      <t xml:space="preserve">2023/1/9 </t>
    </r>
    <phoneticPr fontId="15" type="noConversion"/>
  </si>
  <si>
    <t>AVU22/0000151</t>
    <phoneticPr fontId="15" type="noConversion"/>
  </si>
  <si>
    <t>1月11日现金收款1245</t>
    <phoneticPr fontId="15" type="noConversion"/>
  </si>
  <si>
    <t>AUE23/0000174</t>
  </si>
  <si>
    <t>UE23/0000159</t>
  </si>
  <si>
    <t>AUE23/0000149</t>
  </si>
  <si>
    <t>AUE23/0000155</t>
  </si>
  <si>
    <t>AUE23/0000156</t>
  </si>
  <si>
    <t>AUE23/0000160</t>
  </si>
  <si>
    <t>AUE23/0000162</t>
  </si>
  <si>
    <t>AUE22/3931 重复开单</t>
  </si>
  <si>
    <t>2022年单据返点 2%</t>
  </si>
  <si>
    <t>AUE23/0000177</t>
  </si>
  <si>
    <t>AUE23/0000187</t>
  </si>
  <si>
    <t>AUE23/0000178</t>
  </si>
  <si>
    <t>AUE23/0000181</t>
  </si>
  <si>
    <t>AUE23/0000179</t>
  </si>
  <si>
    <t>AUE23/0000185</t>
  </si>
  <si>
    <t>AUE23/0000111</t>
  </si>
  <si>
    <t>AUE23/0000143</t>
  </si>
  <si>
    <t>AUE23/0000135</t>
  </si>
  <si>
    <t>AUE23/0000110</t>
  </si>
  <si>
    <t>AUE23/0000126</t>
  </si>
  <si>
    <t>AUE23/0000138</t>
  </si>
  <si>
    <t>AUE23/0000145</t>
  </si>
  <si>
    <t>AUE23/0000158</t>
  </si>
  <si>
    <t>AUE23/0000132</t>
  </si>
  <si>
    <t>AUE23/0000128</t>
  </si>
  <si>
    <t>AUE23/0000198</t>
  </si>
  <si>
    <t>AFTS23/0000060</t>
  </si>
  <si>
    <t>AUE23/0000122</t>
  </si>
  <si>
    <t>AFTS23/0000036</t>
  </si>
  <si>
    <t>AUE23/0000141</t>
  </si>
  <si>
    <t>AUE23/0000170</t>
  </si>
  <si>
    <t>AUE23/0000200</t>
  </si>
  <si>
    <t>AUE23/0000144</t>
  </si>
  <si>
    <t>AUE23/0000171</t>
  </si>
  <si>
    <t>AUE23/0000175</t>
  </si>
  <si>
    <t>AUE23/0000176</t>
  </si>
  <si>
    <t>UE23/0000150</t>
  </si>
  <si>
    <t>AUE23/0000112</t>
  </si>
  <si>
    <t>AUE23/0000142</t>
  </si>
  <si>
    <t>AUE23/0000165</t>
  </si>
  <si>
    <t>AUE23/0000163</t>
  </si>
  <si>
    <t>UE23/0000106</t>
  </si>
  <si>
    <t>UE23/0000116</t>
  </si>
  <si>
    <t>UE23/0000123</t>
  </si>
  <si>
    <t>UE23/0000148</t>
  </si>
  <si>
    <t>UE23/0000151</t>
  </si>
  <si>
    <t>UE23/0000152</t>
  </si>
  <si>
    <t>UE23/0000157</t>
  </si>
  <si>
    <t>UE23/0000160</t>
  </si>
  <si>
    <t>UE23/0000170</t>
  </si>
  <si>
    <t>UE23/0000171</t>
  </si>
  <si>
    <t>AUE23/0000161</t>
  </si>
  <si>
    <t>UE23/0000101</t>
  </si>
  <si>
    <t>UE23/0000118</t>
  </si>
  <si>
    <t>AUE23/0000148</t>
  </si>
  <si>
    <t>AUE23/0000151</t>
  </si>
  <si>
    <t>AVU23/0000026</t>
  </si>
  <si>
    <t>AVU23/0000027</t>
  </si>
  <si>
    <t>AVU23/0000033</t>
  </si>
  <si>
    <t>AVU23/0000031</t>
  </si>
  <si>
    <t>现金</t>
    <phoneticPr fontId="15" type="noConversion"/>
  </si>
  <si>
    <t>现金收款
5668.31</t>
    <phoneticPr fontId="15" type="noConversion"/>
  </si>
  <si>
    <t>现金收款
6571.79</t>
    <phoneticPr fontId="15" type="noConversion"/>
  </si>
  <si>
    <t>1月18日
现金收款
15180</t>
    <phoneticPr fontId="15" type="noConversion"/>
  </si>
  <si>
    <t>现金收款
5770</t>
    <phoneticPr fontId="15" type="noConversion"/>
  </si>
  <si>
    <r>
      <t>现金收款
447</t>
    </r>
    <r>
      <rPr>
        <sz val="12"/>
        <rFont val="宋体"/>
        <family val="3"/>
        <charset val="134"/>
      </rPr>
      <t>2</t>
    </r>
    <phoneticPr fontId="15" type="noConversion"/>
  </si>
  <si>
    <t>银行</t>
    <phoneticPr fontId="15" type="noConversion"/>
  </si>
  <si>
    <t>发货日期</t>
    <phoneticPr fontId="15" type="noConversion"/>
  </si>
  <si>
    <t>银行</t>
    <phoneticPr fontId="15" type="noConversion"/>
  </si>
  <si>
    <t>现金收款
2353</t>
    <phoneticPr fontId="15" type="noConversion"/>
  </si>
  <si>
    <t>现金收款20800</t>
    <phoneticPr fontId="15" type="noConversion"/>
  </si>
  <si>
    <t>现金</t>
    <phoneticPr fontId="22" type="noConversion"/>
  </si>
  <si>
    <t>银行</t>
    <phoneticPr fontId="15" type="noConversion"/>
  </si>
  <si>
    <t>支票存兑</t>
    <phoneticPr fontId="15" type="noConversion"/>
  </si>
  <si>
    <t>AUE22/0004023</t>
  </si>
  <si>
    <t>AUE22/0003844 足球耳机活动20个返点 20*7.2</t>
    <phoneticPr fontId="63" type="noConversion"/>
  </si>
  <si>
    <t>支票可兑日期</t>
    <phoneticPr fontId="15" type="noConversion"/>
  </si>
  <si>
    <t>其他抵扣</t>
    <phoneticPr fontId="15" type="noConversion"/>
  </si>
  <si>
    <t>其他抵扣</t>
    <phoneticPr fontId="15" type="noConversion"/>
  </si>
  <si>
    <t>FANGZHENG S.L 方正电子</t>
  </si>
  <si>
    <t>TENG FEI DECORACION MULTIPRECIO XIONG XING,S.L. 腾飞贸易</t>
  </si>
  <si>
    <t>UNIFORZ TRADE S.L 齐力</t>
  </si>
  <si>
    <t>ORIENTAL QIU S.L 东方贸易</t>
  </si>
  <si>
    <t>XIN SHI JI TRADE CENTER S.L 新世纪</t>
  </si>
  <si>
    <t>AUE23/0000225</t>
  </si>
  <si>
    <t>AUE23/0000201</t>
  </si>
  <si>
    <t>AUE23/0000204</t>
  </si>
  <si>
    <t>AUE23/0000205</t>
  </si>
  <si>
    <t>AUE23/0000217</t>
  </si>
  <si>
    <t>AUE23/0000229</t>
  </si>
  <si>
    <t>AUE23/0000220</t>
  </si>
  <si>
    <t>AFTS23/0000077</t>
  </si>
  <si>
    <t>AUE23/0000221</t>
  </si>
  <si>
    <t>AUE23/0000222</t>
  </si>
  <si>
    <t>AUE23/0000227</t>
  </si>
  <si>
    <t>AUE23/0000228</t>
  </si>
  <si>
    <t>UE23/0000193</t>
  </si>
  <si>
    <t>UE23/0000200</t>
  </si>
  <si>
    <t>UE23/0000201</t>
  </si>
  <si>
    <t>UE23/0000205</t>
  </si>
  <si>
    <t>UE23/0000206</t>
  </si>
  <si>
    <t>支票存兑</t>
    <phoneticPr fontId="15" type="noConversion"/>
  </si>
  <si>
    <t>其他抵扣</t>
    <phoneticPr fontId="15" type="noConversion"/>
  </si>
  <si>
    <t>AFTS23/0000096</t>
  </si>
  <si>
    <t>AFTS23/0000097</t>
  </si>
  <si>
    <t>AFTS23/0000099</t>
  </si>
  <si>
    <t>AFTS23/0000104</t>
  </si>
  <si>
    <t>FTS23/0000183</t>
  </si>
  <si>
    <t>FTS23/0000185</t>
  </si>
  <si>
    <t>FTS23/0000188</t>
  </si>
  <si>
    <t>UE23/0000254</t>
  </si>
  <si>
    <t>UE23/0000255</t>
  </si>
  <si>
    <t>UE23/0254付款到FUTURE换*AA*</t>
  </si>
  <si>
    <t>UE23/0000227</t>
  </si>
  <si>
    <t>AUE23/0000258</t>
  </si>
  <si>
    <t>AUE23/0000246</t>
  </si>
  <si>
    <t>AUE23/0000248</t>
  </si>
  <si>
    <t>AUE23/0000268</t>
  </si>
  <si>
    <t>AFTS23/0000098</t>
  </si>
  <si>
    <t>AUE23/0000263</t>
  </si>
  <si>
    <t>AUE23/0000247</t>
  </si>
  <si>
    <t>AUE23/0000253</t>
  </si>
  <si>
    <t>AUE23/0000259</t>
  </si>
  <si>
    <t>UE23/0000233</t>
  </si>
  <si>
    <t>UE23/0000236</t>
  </si>
  <si>
    <t>UE23/0000237</t>
  </si>
  <si>
    <t>UE23/0000249</t>
  </si>
  <si>
    <t>AUE23/0000249</t>
  </si>
  <si>
    <t>AUE23/0000266</t>
  </si>
  <si>
    <t>AUE23/0000267</t>
  </si>
  <si>
    <t>AUE23/0000252</t>
  </si>
  <si>
    <t>AUE23/0000256</t>
  </si>
  <si>
    <t>AVU23/0000045</t>
  </si>
  <si>
    <t>正负抵扣</t>
    <phoneticPr fontId="15" type="noConversion"/>
  </si>
  <si>
    <t>现金</t>
    <phoneticPr fontId="15" type="noConversion"/>
  </si>
  <si>
    <t>AUE23/0000239</t>
  </si>
  <si>
    <t>AUE23/0000240</t>
  </si>
  <si>
    <t>AUE23/0000241</t>
  </si>
  <si>
    <t>AUE23/0000234</t>
  </si>
  <si>
    <t>AUE23/0000237</t>
  </si>
  <si>
    <t>UE23/0000223</t>
  </si>
  <si>
    <t>AUE22/3404   AUE22/3605这两张单子做5个点的返点</t>
  </si>
  <si>
    <t>AUE23/0000242</t>
  </si>
  <si>
    <t>AUE23/0000233</t>
  </si>
  <si>
    <t>AUE23/0000244</t>
  </si>
  <si>
    <t>AUE23/0000245</t>
  </si>
  <si>
    <t>UE23/0000226</t>
  </si>
  <si>
    <t>UE23/0000208</t>
  </si>
  <si>
    <t>银行</t>
    <phoneticPr fontId="68" type="noConversion"/>
  </si>
  <si>
    <t>现金</t>
    <phoneticPr fontId="15" type="noConversion"/>
  </si>
  <si>
    <t>银行</t>
    <phoneticPr fontId="15" type="noConversion"/>
  </si>
  <si>
    <t>现金收款
987</t>
    <phoneticPr fontId="15" type="noConversion"/>
  </si>
  <si>
    <t>现金收款
3000</t>
    <phoneticPr fontId="64" type="noConversion"/>
  </si>
  <si>
    <r>
      <t>11</t>
    </r>
    <r>
      <rPr>
        <sz val="11"/>
        <rFont val="宋体"/>
        <family val="3"/>
        <charset val="134"/>
      </rPr>
      <t>月</t>
    </r>
    <r>
      <rPr>
        <sz val="11"/>
        <rFont val="Consolas"/>
        <family val="3"/>
      </rPr>
      <t>15</t>
    </r>
    <r>
      <rPr>
        <sz val="11"/>
        <rFont val="宋体"/>
        <family val="3"/>
        <charset val="134"/>
      </rPr>
      <t>日现金收款</t>
    </r>
    <r>
      <rPr>
        <sz val="11"/>
        <rFont val="Consolas"/>
        <family val="3"/>
      </rPr>
      <t>3w</t>
    </r>
    <phoneticPr fontId="15" type="noConversion"/>
  </si>
  <si>
    <r>
      <rPr>
        <sz val="11"/>
        <rFont val="宋体"/>
        <family val="3"/>
        <charset val="134"/>
      </rPr>
      <t xml:space="preserve">现金收款
</t>
    </r>
    <r>
      <rPr>
        <sz val="11"/>
        <rFont val="Consolas"/>
        <family val="3"/>
      </rPr>
      <t>20073</t>
    </r>
    <phoneticPr fontId="15" type="noConversion"/>
  </si>
  <si>
    <r>
      <rPr>
        <sz val="11"/>
        <rFont val="宋体"/>
        <family val="3"/>
        <charset val="134"/>
      </rPr>
      <t xml:space="preserve">现金收款
</t>
    </r>
    <r>
      <rPr>
        <sz val="11"/>
        <rFont val="Consolas"/>
        <family val="3"/>
      </rPr>
      <t>13224</t>
    </r>
    <phoneticPr fontId="15" type="noConversion"/>
  </si>
  <si>
    <t>地区</t>
    <phoneticPr fontId="15" type="noConversion"/>
  </si>
  <si>
    <t>REY MARKET 2021 S.L.</t>
  </si>
  <si>
    <t>MEC NET ELECTRONICS S.L</t>
  </si>
  <si>
    <t>XINHE EUROPE S.L</t>
  </si>
  <si>
    <t>HIPER MARKET IMPORT, S.L-鸿信</t>
    <phoneticPr fontId="15" type="noConversion"/>
  </si>
  <si>
    <t>预计收款日期</t>
  </si>
  <si>
    <t>收款日期</t>
  </si>
  <si>
    <t>单据金额</t>
    <phoneticPr fontId="15" type="noConversion"/>
  </si>
  <si>
    <t>25-30折扣，一个月账期，汇款/过来拿/中国3.5水</t>
    <phoneticPr fontId="15" type="noConversion"/>
  </si>
  <si>
    <t>25-30折扣，2个月账期，补货一个月账期。西班牙30%fp</t>
    <phoneticPr fontId="15" type="noConversion"/>
  </si>
  <si>
    <t>SANSHENG TECNOLOGIA S.L</t>
  </si>
  <si>
    <t>YCADRI 2010 S.L.U</t>
  </si>
  <si>
    <t>NUSINTE,SOCIEDAD LIMITADA</t>
  </si>
  <si>
    <t>刘晓阳</t>
  </si>
  <si>
    <t>HISPANO TECNO GLOBAL S.L</t>
  </si>
  <si>
    <t>CASH KOLOSS S.L</t>
  </si>
  <si>
    <t>CHOLLOS EL BARATO S.L</t>
  </si>
  <si>
    <t>NUVEM FELIZ IMPORTACAO UNIPESSOAL,LDA</t>
  </si>
  <si>
    <t>PHONEFANS S.L</t>
  </si>
  <si>
    <t>JR IMPORT CANARIAS 2022 S.L</t>
  </si>
  <si>
    <t>DOKI 168 S.L</t>
  </si>
  <si>
    <t>SU NING IMPORT Y EXPORT S.L</t>
  </si>
  <si>
    <t>田也</t>
  </si>
  <si>
    <t>XIAODIE YE</t>
  </si>
  <si>
    <t>MANAELECTRONICO S.L</t>
  </si>
  <si>
    <t>张微</t>
  </si>
  <si>
    <t>DEEP SMILE UNIPESSOAL LDA 小鱼电子</t>
  </si>
  <si>
    <t>林凯</t>
  </si>
  <si>
    <t>贾宏宇</t>
  </si>
  <si>
    <t>PEDIDOCOMUM UNIPESSOAL LDA （天和批发仓库）</t>
  </si>
  <si>
    <t>张弛</t>
  </si>
  <si>
    <t>陈姿彩</t>
  </si>
  <si>
    <t>黄炳臻</t>
  </si>
  <si>
    <t>万浩毅</t>
  </si>
  <si>
    <t>于盛阳</t>
  </si>
  <si>
    <t>金毅杰</t>
  </si>
  <si>
    <t>范李兵</t>
  </si>
  <si>
    <t>MIDBOX MARKET S.L</t>
  </si>
  <si>
    <t>张智辉</t>
  </si>
  <si>
    <t>杨小羊</t>
  </si>
  <si>
    <t>程思琪</t>
  </si>
  <si>
    <t>ROSA ROJO 2014 S.L</t>
  </si>
  <si>
    <t>陈俊海</t>
  </si>
  <si>
    <t>ASJEYU S.L. 安信科技</t>
  </si>
  <si>
    <t>陈辉</t>
  </si>
  <si>
    <t>董旺</t>
  </si>
  <si>
    <t>ZHONGZHONG2022 S.L</t>
  </si>
  <si>
    <t>庄效权</t>
  </si>
  <si>
    <t>韩兆印(JACK)</t>
  </si>
  <si>
    <t>NEW SKYWAY S.L</t>
  </si>
  <si>
    <t>NIPPON GLOBAL S.L</t>
  </si>
  <si>
    <t>EURO COMPLEMENTOS ASIA S.L</t>
  </si>
  <si>
    <t>丁森辉</t>
  </si>
  <si>
    <t>蒋敏焰</t>
  </si>
  <si>
    <t>SUPER PROXI S.L</t>
  </si>
  <si>
    <t>正负抵扣</t>
    <phoneticPr fontId="15" type="noConversion"/>
  </si>
  <si>
    <t>UE23/0000280</t>
  </si>
  <si>
    <t>AUE23/0000274</t>
  </si>
  <si>
    <t>AUE23/0000292</t>
  </si>
  <si>
    <t>AUE23/0000299</t>
  </si>
  <si>
    <t>AUE23/0000318</t>
  </si>
  <si>
    <t>AUE23/0000319</t>
  </si>
  <si>
    <t>AUE23/0000325</t>
  </si>
  <si>
    <t>22年cp</t>
  </si>
  <si>
    <t>AUE23/0000297</t>
  </si>
  <si>
    <t>AUE23/0000300</t>
  </si>
  <si>
    <t>AUE23/0000298</t>
  </si>
  <si>
    <t>AUE23/0000272</t>
  </si>
  <si>
    <t>AUE23/0000336</t>
  </si>
  <si>
    <t>AUE23/0000285</t>
  </si>
  <si>
    <t>AUE23/0000312</t>
  </si>
  <si>
    <t>AUE23/0000331</t>
  </si>
  <si>
    <t>AUE23/0000332</t>
  </si>
  <si>
    <t>HC9383白色 1.89*40-1.6*40=75.6-64=11.6 HC9383黑色 1.89*40-1.6*40=75.6-64=11.6 CB1807白色 0.98*29-0.65*29=28.42-18.85=9.57  共计差价 11.6+11.6+9.57=32.77</t>
  </si>
  <si>
    <t>AUE23/0000337</t>
  </si>
  <si>
    <t>AUE23/0000301</t>
  </si>
  <si>
    <t>AUE23/0000305</t>
  </si>
  <si>
    <t>AUE23/0000313</t>
  </si>
  <si>
    <t>AUE23/0000342</t>
  </si>
  <si>
    <t>AUE23/0000343</t>
  </si>
  <si>
    <t>AUE23/0000277</t>
  </si>
  <si>
    <t>AUE23/0000288</t>
  </si>
  <si>
    <t>AUE23/0000328</t>
  </si>
  <si>
    <t>AUE23/0000278</t>
  </si>
  <si>
    <t>AUE23/0000327</t>
  </si>
  <si>
    <t>AUE23/0000330</t>
  </si>
  <si>
    <t>AUE23/0000338</t>
  </si>
  <si>
    <t>AUE23/0000333</t>
  </si>
  <si>
    <t>AUE23/0000334</t>
  </si>
  <si>
    <t>AUE23/0000335</t>
  </si>
  <si>
    <t>AUE23/0000275</t>
  </si>
  <si>
    <t>UE23/0000273</t>
  </si>
  <si>
    <t>UE23/0000295</t>
  </si>
  <si>
    <t>UE23/0000281</t>
  </si>
  <si>
    <t>AUE23/0000283</t>
  </si>
  <si>
    <t>AUE23/0000284</t>
  </si>
  <si>
    <t>AUE23/0283补7%的折扣</t>
  </si>
  <si>
    <t>AUE23/0000308</t>
  </si>
  <si>
    <t>AVU23/0000072</t>
  </si>
  <si>
    <t>其他抵扣</t>
    <phoneticPr fontId="15" type="noConversion"/>
  </si>
  <si>
    <t>银行</t>
    <phoneticPr fontId="15" type="noConversion"/>
  </si>
  <si>
    <t>现金</t>
    <phoneticPr fontId="15" type="noConversion"/>
  </si>
  <si>
    <t>现金收款7073</t>
    <phoneticPr fontId="15" type="noConversion"/>
  </si>
  <si>
    <t>正负抵扣</t>
    <phoneticPr fontId="15" type="noConversion"/>
  </si>
  <si>
    <t>银行</t>
    <phoneticPr fontId="15" type="noConversion"/>
  </si>
  <si>
    <t>已收未兑支票金额</t>
    <phoneticPr fontId="15" type="noConversion"/>
  </si>
  <si>
    <t>AFTS23/0000124</t>
  </si>
  <si>
    <t>AFTS23/0000126</t>
  </si>
  <si>
    <t>AUE23/0000390</t>
  </si>
  <si>
    <t>AUE23/0000362</t>
  </si>
  <si>
    <t>AUE23/0000384</t>
  </si>
  <si>
    <t>AUE23/0000385</t>
  </si>
  <si>
    <t>AUE23/0000389</t>
  </si>
  <si>
    <t>AUE22 2796不收客户退货运费</t>
  </si>
  <si>
    <t>AUE23/0000383</t>
  </si>
  <si>
    <t>AUE23/0000386</t>
  </si>
  <si>
    <t>AUE23/0000392</t>
  </si>
  <si>
    <t>UE23/0000335</t>
  </si>
  <si>
    <t>AUE23/0000388</t>
  </si>
  <si>
    <t>AUE23/0000370</t>
  </si>
  <si>
    <t>AUE23/0000347</t>
  </si>
  <si>
    <t>AUE23/0000349</t>
  </si>
  <si>
    <t>AUE23/0000407</t>
  </si>
  <si>
    <t>AUE23/0000344</t>
  </si>
  <si>
    <t>AUE23/0000395</t>
  </si>
  <si>
    <t>AUE23/0000408</t>
  </si>
  <si>
    <t>微信通知AUE23/0395的030300EGZ一口价18.45改为10.00</t>
  </si>
  <si>
    <t>AUE23/0000366</t>
  </si>
  <si>
    <t>AUE23/0000376</t>
  </si>
  <si>
    <t>AUE23/0000394</t>
  </si>
  <si>
    <t>AUE23/0000377</t>
  </si>
  <si>
    <t>AUE23/0000382</t>
  </si>
  <si>
    <t>AUE23/0000373</t>
  </si>
  <si>
    <t>AUE23/0000374</t>
  </si>
  <si>
    <t>AUE23/0000405</t>
  </si>
  <si>
    <t>AUE23/0000409</t>
  </si>
  <si>
    <t>AUE23/0000368</t>
  </si>
  <si>
    <t>AUE23/0000381</t>
  </si>
  <si>
    <t>AUE23/0000375</t>
  </si>
  <si>
    <t>AUE23/0000369</t>
  </si>
  <si>
    <t>AUE23/0000367</t>
  </si>
  <si>
    <t>UE23/0000319</t>
  </si>
  <si>
    <t>AUE23/0000396</t>
  </si>
  <si>
    <t>AUE23/0000397</t>
  </si>
  <si>
    <t>AUE23/0000398</t>
  </si>
  <si>
    <t>AUE23/0000399</t>
  </si>
  <si>
    <t>AUE23/0000400</t>
  </si>
  <si>
    <t>AVU23/0000081</t>
  </si>
  <si>
    <t>AVU23/0000082</t>
  </si>
  <si>
    <t>FTS23/0000275</t>
  </si>
  <si>
    <t>FTS23/0000276</t>
  </si>
  <si>
    <t>现金</t>
    <phoneticPr fontId="15" type="noConversion"/>
  </si>
  <si>
    <t>现金</t>
    <phoneticPr fontId="15" type="noConversion"/>
  </si>
  <si>
    <t>现金收款
7779</t>
    <phoneticPr fontId="15" type="noConversion"/>
  </si>
  <si>
    <t>现金收款
3040</t>
    <phoneticPr fontId="15" type="noConversion"/>
  </si>
  <si>
    <t>现金收款1835</t>
    <phoneticPr fontId="15" type="noConversion"/>
  </si>
  <si>
    <t>客户编码</t>
    <phoneticPr fontId="15" type="noConversion"/>
  </si>
  <si>
    <t>B06798052</t>
  </si>
  <si>
    <t>B05390505</t>
  </si>
  <si>
    <t>B88267703</t>
  </si>
  <si>
    <t>B01721935</t>
  </si>
  <si>
    <t>B85280055</t>
  </si>
  <si>
    <t>B86619467</t>
  </si>
  <si>
    <t>B98702772</t>
  </si>
  <si>
    <t>B02751113</t>
  </si>
  <si>
    <t>B66060914</t>
  </si>
  <si>
    <t>B90438441</t>
  </si>
  <si>
    <t>B90044215</t>
  </si>
  <si>
    <t>B93721686</t>
  </si>
  <si>
    <t>B05488338</t>
  </si>
  <si>
    <t>B27806603</t>
  </si>
  <si>
    <t>B27762756</t>
  </si>
  <si>
    <t>B27811553</t>
  </si>
  <si>
    <t>B09652157</t>
  </si>
  <si>
    <t>B95714788</t>
  </si>
  <si>
    <t>516211056</t>
  </si>
  <si>
    <t>514817208</t>
  </si>
  <si>
    <t>514185198</t>
  </si>
  <si>
    <t>B76825132</t>
    <phoneticPr fontId="15" type="noConversion"/>
  </si>
  <si>
    <t>B10798189</t>
    <phoneticPr fontId="15" type="noConversion"/>
  </si>
  <si>
    <t>B16556920</t>
    <phoneticPr fontId="15" type="noConversion"/>
  </si>
  <si>
    <t>B16552770</t>
    <phoneticPr fontId="15" type="noConversion"/>
  </si>
  <si>
    <t>B86592862</t>
    <phoneticPr fontId="15" type="noConversion"/>
  </si>
  <si>
    <t>B87650891</t>
    <phoneticPr fontId="15" type="noConversion"/>
  </si>
  <si>
    <t>B87710786</t>
    <phoneticPr fontId="15" type="noConversion"/>
  </si>
  <si>
    <t>B84221472</t>
    <phoneticPr fontId="15" type="noConversion"/>
  </si>
  <si>
    <t>B87358818</t>
    <phoneticPr fontId="15" type="noConversion"/>
  </si>
  <si>
    <t>B88264395</t>
    <phoneticPr fontId="15" type="noConversion"/>
  </si>
  <si>
    <t>B87165064</t>
    <phoneticPr fontId="15" type="noConversion"/>
  </si>
  <si>
    <t>B98661655</t>
    <phoneticPr fontId="15" type="noConversion"/>
  </si>
  <si>
    <t>B98614472</t>
    <phoneticPr fontId="15" type="noConversion"/>
  </si>
  <si>
    <t>B97353015</t>
    <phoneticPr fontId="15" type="noConversion"/>
  </si>
  <si>
    <t>B98826100</t>
    <phoneticPr fontId="15" type="noConversion"/>
  </si>
  <si>
    <t>B40512675</t>
    <phoneticPr fontId="15" type="noConversion"/>
  </si>
  <si>
    <t>B40537474</t>
    <phoneticPr fontId="15" type="noConversion"/>
  </si>
  <si>
    <t>B42847392</t>
    <phoneticPr fontId="15" type="noConversion"/>
  </si>
  <si>
    <t>B54452578</t>
    <phoneticPr fontId="15" type="noConversion"/>
  </si>
  <si>
    <t>X4685100T</t>
    <phoneticPr fontId="15" type="noConversion"/>
  </si>
  <si>
    <t>B96896667</t>
    <phoneticPr fontId="15" type="noConversion"/>
  </si>
  <si>
    <t>B42667980</t>
    <phoneticPr fontId="15" type="noConversion"/>
  </si>
  <si>
    <t>B54890918</t>
    <phoneticPr fontId="15" type="noConversion"/>
  </si>
  <si>
    <t>B73723058</t>
    <phoneticPr fontId="15" type="noConversion"/>
  </si>
  <si>
    <t>B73792384</t>
    <phoneticPr fontId="15" type="noConversion"/>
  </si>
  <si>
    <t>B05531942</t>
    <phoneticPr fontId="15" type="noConversion"/>
  </si>
  <si>
    <t>B73278269</t>
    <phoneticPr fontId="15" type="noConversion"/>
  </si>
  <si>
    <t>X9320293A</t>
    <phoneticPr fontId="15" type="noConversion"/>
  </si>
  <si>
    <t>B01918168</t>
    <phoneticPr fontId="15" type="noConversion"/>
  </si>
  <si>
    <t>B42966267</t>
    <phoneticPr fontId="15" type="noConversion"/>
  </si>
  <si>
    <t>B67040634</t>
    <phoneticPr fontId="15" type="noConversion"/>
  </si>
  <si>
    <t>B66544321</t>
    <phoneticPr fontId="15" type="noConversion"/>
  </si>
  <si>
    <t>B66412438</t>
    <phoneticPr fontId="15" type="noConversion"/>
  </si>
  <si>
    <t>B09813403</t>
    <phoneticPr fontId="15" type="noConversion"/>
  </si>
  <si>
    <t>B04975033</t>
    <phoneticPr fontId="15" type="noConversion"/>
  </si>
  <si>
    <t>B42831438</t>
    <phoneticPr fontId="15" type="noConversion"/>
  </si>
  <si>
    <t>B66884313</t>
    <phoneticPr fontId="15" type="noConversion"/>
  </si>
  <si>
    <t>B66776782</t>
    <phoneticPr fontId="15" type="noConversion"/>
  </si>
  <si>
    <t>B09967043</t>
    <phoneticPr fontId="15" type="noConversion"/>
  </si>
  <si>
    <t>B65862229</t>
    <phoneticPr fontId="15" type="noConversion"/>
  </si>
  <si>
    <t>B99378499</t>
    <phoneticPr fontId="15" type="noConversion"/>
  </si>
  <si>
    <t>B10914687</t>
    <phoneticPr fontId="15" type="noConversion"/>
  </si>
  <si>
    <t>B90151168</t>
    <phoneticPr fontId="15" type="noConversion"/>
  </si>
  <si>
    <t>B02646453</t>
    <phoneticPr fontId="15" type="noConversion"/>
  </si>
  <si>
    <t>B90228958</t>
    <phoneticPr fontId="15" type="noConversion"/>
  </si>
  <si>
    <t>B90296666</t>
    <phoneticPr fontId="15" type="noConversion"/>
  </si>
  <si>
    <t>B21591185/02</t>
    <phoneticPr fontId="15" type="noConversion"/>
  </si>
  <si>
    <t>B90121336</t>
    <phoneticPr fontId="15" type="noConversion"/>
  </si>
  <si>
    <t>B93588374</t>
    <phoneticPr fontId="15" type="noConversion"/>
  </si>
  <si>
    <t>B93048569</t>
    <phoneticPr fontId="15" type="noConversion"/>
  </si>
  <si>
    <t>B93741288</t>
    <phoneticPr fontId="15" type="noConversion"/>
  </si>
  <si>
    <t>B93254126</t>
    <phoneticPr fontId="15" type="noConversion"/>
  </si>
  <si>
    <t>B18958280</t>
    <phoneticPr fontId="15" type="noConversion"/>
  </si>
  <si>
    <t>X1318339W</t>
    <phoneticPr fontId="15" type="noConversion"/>
  </si>
  <si>
    <t>X2350253K</t>
    <phoneticPr fontId="15" type="noConversion"/>
  </si>
  <si>
    <t>B27879311</t>
    <phoneticPr fontId="15" type="noConversion"/>
  </si>
  <si>
    <t>B27735984</t>
    <phoneticPr fontId="15" type="noConversion"/>
  </si>
  <si>
    <t>B01891175</t>
    <phoneticPr fontId="15" type="noConversion"/>
  </si>
  <si>
    <t>B47772611</t>
    <phoneticPr fontId="15" type="noConversion"/>
  </si>
  <si>
    <t>E74242900</t>
    <phoneticPr fontId="15" type="noConversion"/>
  </si>
  <si>
    <t>510786308</t>
    <phoneticPr fontId="15" type="noConversion"/>
  </si>
  <si>
    <t>515454532</t>
    <phoneticPr fontId="15" type="noConversion"/>
  </si>
  <si>
    <t>509799868</t>
    <phoneticPr fontId="15" type="noConversion"/>
  </si>
  <si>
    <t>510413943</t>
    <phoneticPr fontId="15" type="noConversion"/>
  </si>
  <si>
    <t>FTS23/0000295</t>
  </si>
  <si>
    <t>UE23/0000396</t>
  </si>
  <si>
    <t>UE23/0000402</t>
  </si>
  <si>
    <t>AUE23/0000437</t>
  </si>
  <si>
    <t>AUE23/0000450</t>
  </si>
  <si>
    <t>AUE23/0000489</t>
  </si>
  <si>
    <t>AUE23/0000490</t>
  </si>
  <si>
    <t>AUE23/0000493</t>
  </si>
  <si>
    <t>AUE23/0000494</t>
  </si>
  <si>
    <t>AUE23/0000451</t>
  </si>
  <si>
    <t>AUE23/0000411</t>
  </si>
  <si>
    <t>AUE23/0000417</t>
  </si>
  <si>
    <t>AUE23/0000492</t>
  </si>
  <si>
    <t>AUE23/0000439</t>
  </si>
  <si>
    <t>退货出入，陆夏小华02.28微信通知，</t>
  </si>
  <si>
    <t>AUE23/0000484</t>
  </si>
  <si>
    <t>AUE23/0000485</t>
  </si>
  <si>
    <t>AUE23/0000486</t>
  </si>
  <si>
    <t>AUE23/0000487</t>
  </si>
  <si>
    <t>AUE23/0000488</t>
  </si>
  <si>
    <t>物料单</t>
    <phoneticPr fontId="15" type="noConversion"/>
  </si>
  <si>
    <t>其他抵扣</t>
    <phoneticPr fontId="15" type="noConversion"/>
  </si>
  <si>
    <t>AUE23/0000440</t>
  </si>
  <si>
    <t>AUE23/0000483</t>
  </si>
  <si>
    <t>AUE23/0000413</t>
  </si>
  <si>
    <t>AUE23/0000478</t>
  </si>
  <si>
    <t>AUE23/0000481</t>
  </si>
  <si>
    <t>客户少货补发不收款 AUE22/3443</t>
  </si>
  <si>
    <t>AUE23/0000460</t>
  </si>
  <si>
    <t>AUE23/0000420</t>
  </si>
  <si>
    <t>AUE23/0000421</t>
  </si>
  <si>
    <t>AUE23/0000463</t>
  </si>
  <si>
    <t>AUE23/0420退运费金额232现金</t>
  </si>
  <si>
    <t>AUE23/0000414</t>
  </si>
  <si>
    <t>AUE23/0000415</t>
  </si>
  <si>
    <t>AFTS23/0000134</t>
  </si>
  <si>
    <t>AUE23/0000416</t>
  </si>
  <si>
    <t>AUE23/0000418</t>
  </si>
  <si>
    <t>AUE23/0000423</t>
  </si>
  <si>
    <t>UE23/0000361</t>
  </si>
  <si>
    <t>AUE23/0000412</t>
  </si>
  <si>
    <t>AUE23/0000419</t>
  </si>
  <si>
    <t>UE23/0000400</t>
  </si>
  <si>
    <t>UE23/0000412</t>
  </si>
  <si>
    <t>UE23/0000384</t>
  </si>
  <si>
    <t>AUE23/0000472</t>
  </si>
  <si>
    <t>AUE23/0000473</t>
  </si>
  <si>
    <t>AVU23/0000084</t>
  </si>
  <si>
    <t>AVU23/0000085</t>
  </si>
  <si>
    <t>AVU23/0000086</t>
  </si>
  <si>
    <t>AVU23/0000089</t>
  </si>
  <si>
    <t>小华客户，葡萄牙二手批 小鱼电子，免运费，子航特批，因此需将已收运费合计15欧元退回，做负单RAPPEL</t>
  </si>
  <si>
    <t>现金</t>
    <phoneticPr fontId="15" type="noConversion"/>
  </si>
  <si>
    <t>正负抵扣</t>
    <phoneticPr fontId="15" type="noConversion"/>
  </si>
  <si>
    <t>现金</t>
    <phoneticPr fontId="15" type="noConversion"/>
  </si>
  <si>
    <t>NEW BEST S.L 新东方</t>
  </si>
  <si>
    <t>NEW IMPORT HOUSE S.L 豪迈</t>
  </si>
  <si>
    <t>GRAN FAMILIA 2016 S.L 永顺</t>
  </si>
  <si>
    <t>WE PHONE 2016 S.L 威锋电子</t>
  </si>
  <si>
    <t>ARBOL DE GINKGO S.L 李姐 威力百货</t>
  </si>
  <si>
    <t>FENGHUO COMERCIO S.L 烽火</t>
  </si>
  <si>
    <t>J&amp;C REPARACIONES Y ACCEORIO DE MOVILES S.L 超能</t>
  </si>
  <si>
    <t>SANSHENG TECNOLOGIA S.L 三盛电子</t>
  </si>
  <si>
    <t>AUTOWEY168 S.L 一米百货</t>
  </si>
  <si>
    <t>CHANGDA 2018 S.L 大世界百货</t>
  </si>
  <si>
    <t>TECCOVA 67-A S.L 巴基斯坦人</t>
  </si>
  <si>
    <t>NUEVA &amp; EUROPA 2015 S.L 海豪贸易</t>
  </si>
  <si>
    <t>XHC BRICO 2019 S.L 枫叶</t>
  </si>
  <si>
    <t>CASA DEL SURESTE S.L 万泰</t>
  </si>
  <si>
    <t>HUANG JIA 88 S.L.U 皇家</t>
  </si>
  <si>
    <t>AVIVO DREAMSKY S.L 中国龙门市</t>
  </si>
  <si>
    <t>ANISOAR CLOUDS S.L 中国龙仓库</t>
  </si>
  <si>
    <t>AMERICA YUAN S.L.U 上海人</t>
  </si>
  <si>
    <t>ALMA SIMON S.L 伟业</t>
  </si>
  <si>
    <t>COMERCIO IDEAL 2015 S.L 兄弟</t>
  </si>
  <si>
    <t>UNIBLE FAMILIA S.L 好运来</t>
  </si>
  <si>
    <t>THE TELEPHONE WORLD ONE PLUS ONE S.L 联通</t>
  </si>
  <si>
    <t>DOS HERMANAS STYLE SOL S.L 润达</t>
  </si>
  <si>
    <t>QIAN FENG 2011 S.L 千丰</t>
  </si>
  <si>
    <t>YIMING WANG 王一明</t>
  </si>
  <si>
    <t>XIN OU IMPORT S.L 新欧</t>
  </si>
  <si>
    <t>YIMING WANG 王一明</t>
    <phoneticPr fontId="15" type="noConversion"/>
  </si>
  <si>
    <t>AUE23/0000505</t>
  </si>
  <si>
    <t>AUE23/0000506</t>
  </si>
  <si>
    <t>AUE23/0000555</t>
  </si>
  <si>
    <t>AUE23/0000559</t>
  </si>
  <si>
    <t>AUE23/0000511</t>
  </si>
  <si>
    <t>AUE23/0000522</t>
  </si>
  <si>
    <t>AUE23/0000523</t>
  </si>
  <si>
    <t>418095 418101 418088 418071 补差价</t>
  </si>
  <si>
    <t>AUE23/0000513</t>
  </si>
  <si>
    <t>AUE23/0000521</t>
  </si>
  <si>
    <t>AUE23/0000526</t>
  </si>
  <si>
    <t>AUE23/0000532</t>
  </si>
  <si>
    <t>AUE23/0000533</t>
  </si>
  <si>
    <t>AUE23/0000553</t>
  </si>
  <si>
    <t>AUE23/0000499</t>
  </si>
  <si>
    <t>AUE23/0000530</t>
  </si>
  <si>
    <t>AUE23/0000531</t>
  </si>
  <si>
    <t>AUE23/0000515</t>
  </si>
  <si>
    <t>AUE23/0000516</t>
  </si>
  <si>
    <t>AUE23/0000527</t>
  </si>
  <si>
    <t>AUE23/0000520</t>
  </si>
  <si>
    <t>AUE23/0000512</t>
  </si>
  <si>
    <t>AUE23/0000504</t>
  </si>
  <si>
    <t>AUE23/0000519</t>
  </si>
  <si>
    <t>AUE23/0000524</t>
  </si>
  <si>
    <t>HC9308 折扣66个1.505和HC9343折扣72个含税1.575售价1.15</t>
  </si>
  <si>
    <t>AFTS23/0000145</t>
  </si>
  <si>
    <t>AFTS23/0000148</t>
  </si>
  <si>
    <t>AUE23/0000517</t>
  </si>
  <si>
    <t>AUE23/0000552</t>
  </si>
  <si>
    <t>AUE23/0000567</t>
  </si>
  <si>
    <t>AUE23/0000568</t>
  </si>
  <si>
    <t>AUE23/0000525</t>
  </si>
  <si>
    <t>AUE23/0000529</t>
  </si>
  <si>
    <t>UE23/0000433</t>
  </si>
  <si>
    <t>UE23/0000434</t>
  </si>
  <si>
    <t>UE23/0000435</t>
  </si>
  <si>
    <t>UE23/0000442</t>
  </si>
  <si>
    <t>AUE23/0000563</t>
  </si>
  <si>
    <t>AUE23/0000534</t>
  </si>
  <si>
    <t>AUE23/0000535</t>
  </si>
  <si>
    <t>AUE23/0000536</t>
  </si>
  <si>
    <t>AUE23/0000537</t>
  </si>
  <si>
    <t>AUE23/0000538</t>
  </si>
  <si>
    <t>AUE23/0000539</t>
  </si>
  <si>
    <t>AUE23/0000540</t>
  </si>
  <si>
    <t>AUE23/0000541</t>
  </si>
  <si>
    <t>AUE23/0000542</t>
  </si>
  <si>
    <t>AUE23/0000543</t>
  </si>
  <si>
    <t>AUE23/0000544</t>
  </si>
  <si>
    <t>AUE23/0000545</t>
  </si>
  <si>
    <t>AUE23/0000546</t>
  </si>
  <si>
    <t>AUE23/0000547</t>
  </si>
  <si>
    <t>AUE23/0000548</t>
  </si>
  <si>
    <t>AUE23/0000549</t>
  </si>
  <si>
    <t>AUE23/0000550</t>
  </si>
  <si>
    <t>AVU23/0000091</t>
  </si>
  <si>
    <t>现金</t>
    <phoneticPr fontId="15" type="noConversion"/>
  </si>
  <si>
    <t>3月8日现金收款10000</t>
    <phoneticPr fontId="15" type="noConversion"/>
  </si>
  <si>
    <t>现金收款
890</t>
    <phoneticPr fontId="15" type="noConversion"/>
  </si>
  <si>
    <t>银行</t>
    <phoneticPr fontId="15" type="noConversion"/>
  </si>
  <si>
    <t>B72990039</t>
    <phoneticPr fontId="15" type="noConversion"/>
  </si>
  <si>
    <t>SALAMANCA</t>
    <phoneticPr fontId="15" type="noConversion"/>
  </si>
  <si>
    <t>10 TELECOM 3.0 S.L.U</t>
    <phoneticPr fontId="15" type="noConversion"/>
  </si>
  <si>
    <t>AFTS23/0000167</t>
  </si>
  <si>
    <t>UE23/0000453</t>
  </si>
  <si>
    <t>UE23/0000510</t>
  </si>
  <si>
    <t>UE23/0000511</t>
  </si>
  <si>
    <t>AUE23/0000587</t>
  </si>
  <si>
    <t>AUE23/0000608</t>
  </si>
  <si>
    <t>AUE23/0000574</t>
  </si>
  <si>
    <t>AUE23/0000609</t>
  </si>
  <si>
    <t>降价给客人，做差价单AUE22/0000160 BR1188 M 3种52个差价单</t>
  </si>
  <si>
    <t>AUE23/0000624</t>
  </si>
  <si>
    <t>AUE23/0000611</t>
  </si>
  <si>
    <t>AUE23/0000612</t>
  </si>
  <si>
    <t>AUE23/0000610</t>
  </si>
  <si>
    <t>AUE23/0000576</t>
  </si>
  <si>
    <t>AUE23/0000622</t>
  </si>
  <si>
    <t>10 TELECOM 3.0 S.L.U</t>
  </si>
  <si>
    <t>UE23/0000472</t>
  </si>
  <si>
    <t>AUE23/0000618</t>
  </si>
  <si>
    <t>二批/华/10Telecom/首单20zk/预付款/全票/之后25zk半票客户汇款，其余部分收现金</t>
  </si>
  <si>
    <t>AUE23/0000573</t>
  </si>
  <si>
    <t>AUE23/0000577</t>
  </si>
  <si>
    <t>AUE23/0000616</t>
  </si>
  <si>
    <t>AUE23/0000623</t>
  </si>
  <si>
    <t>AUE23/0000605</t>
  </si>
  <si>
    <t>AUE23/0000621</t>
  </si>
  <si>
    <t>AUE23/0000607</t>
  </si>
  <si>
    <t>AUE23/0000620</t>
  </si>
  <si>
    <t>UE23/0000468</t>
  </si>
  <si>
    <t>UE23/0000471</t>
  </si>
  <si>
    <t>UE23/0000475</t>
  </si>
  <si>
    <t>UE23/0000477</t>
  </si>
  <si>
    <t>UE23/0000478</t>
  </si>
  <si>
    <t>UE23/0000499</t>
  </si>
  <si>
    <t>AUE23/0000598</t>
  </si>
  <si>
    <t>AUE23/0000613</t>
  </si>
  <si>
    <t>AUE23/0000596</t>
  </si>
  <si>
    <t>AVU23/0000096</t>
  </si>
  <si>
    <t>AVU23/0000097</t>
  </si>
  <si>
    <t>AVU23/0000102</t>
  </si>
  <si>
    <t>2023/3/13
现金收款10000</t>
    <phoneticPr fontId="15" type="noConversion"/>
  </si>
  <si>
    <t>2023/3/13
现金收款
10000</t>
    <phoneticPr fontId="15" type="noConversion"/>
  </si>
  <si>
    <t>现金</t>
    <phoneticPr fontId="15" type="noConversion"/>
  </si>
  <si>
    <t>现金收款4721</t>
    <phoneticPr fontId="15" type="noConversion"/>
  </si>
  <si>
    <t>银行</t>
    <phoneticPr fontId="15" type="noConversion"/>
  </si>
  <si>
    <t>YCADRI 2010 S.L.U</t>
    <phoneticPr fontId="15" type="noConversion"/>
  </si>
  <si>
    <t>B87151197</t>
  </si>
  <si>
    <t>陆夏小华</t>
    <phoneticPr fontId="15" type="noConversion"/>
  </si>
  <si>
    <t>BEST LICENCIAS S.L</t>
    <phoneticPr fontId="15" type="noConversion"/>
  </si>
  <si>
    <t>FTS23/0000476</t>
  </si>
  <si>
    <t>FTS23/0000477</t>
  </si>
  <si>
    <t>UE23/0000528</t>
  </si>
  <si>
    <t>AUE23/0000634</t>
  </si>
  <si>
    <t>AUE23/0000642</t>
  </si>
  <si>
    <t>AUE23/0000633</t>
  </si>
  <si>
    <t>AUE23/0000643</t>
  </si>
  <si>
    <t>BEST LICENCIAS S.L</t>
  </si>
  <si>
    <t>UE23/0000537</t>
  </si>
  <si>
    <t>二手批//25zk，全票，2个月账期，客户汇款，自配送</t>
  </si>
  <si>
    <t>AUE23/0000630</t>
  </si>
  <si>
    <t>AUE23/0000649</t>
  </si>
  <si>
    <t>AUE23/0000637</t>
  </si>
  <si>
    <t>UE23/0000521</t>
  </si>
  <si>
    <t>AUE23/0000641</t>
  </si>
  <si>
    <t>AUE23/0000647</t>
  </si>
  <si>
    <t>AUE23/0000644</t>
  </si>
  <si>
    <t>AUE23/0000684</t>
  </si>
  <si>
    <t>AUE23/0000683</t>
  </si>
  <si>
    <t>AFTS23/0000176</t>
  </si>
  <si>
    <t>AUE23/0000635</t>
  </si>
  <si>
    <t>AUE23/0000639</t>
  </si>
  <si>
    <t>AUE23/0000640</t>
  </si>
  <si>
    <t>AUE23/0000680</t>
  </si>
  <si>
    <t>AUE23/0000681</t>
  </si>
  <si>
    <t>AUE23/0000626</t>
  </si>
  <si>
    <t>AUE23/0000628</t>
  </si>
  <si>
    <t>AUE23/0000629</t>
  </si>
  <si>
    <t>AUE23/0000670</t>
  </si>
  <si>
    <t>AUE23/0000636</t>
  </si>
  <si>
    <t>AUE23/0000645</t>
  </si>
  <si>
    <t>AUE23/0000646</t>
  </si>
  <si>
    <t>AUE23/0000667</t>
  </si>
  <si>
    <t>AUE23/0000669</t>
  </si>
  <si>
    <t>UE23/0000526</t>
  </si>
  <si>
    <t>UE23/0000527</t>
  </si>
  <si>
    <t>UE23/0000540</t>
  </si>
  <si>
    <t>UE23/0000546</t>
  </si>
  <si>
    <t>UE23/0000562</t>
  </si>
  <si>
    <t>UE23/0000581</t>
  </si>
  <si>
    <t>AUE23/0000627</t>
  </si>
  <si>
    <t>AUE23/0000662</t>
  </si>
  <si>
    <t>Aue23/0491的5个点差价</t>
  </si>
  <si>
    <t>YONHOO ASTUR C.B 永和</t>
  </si>
  <si>
    <t>AUE23/0000673</t>
  </si>
  <si>
    <t>AUE23/0000674</t>
  </si>
  <si>
    <t>AVU23/0000105</t>
  </si>
  <si>
    <t>AVU23/0000106</t>
  </si>
  <si>
    <t>现金收款
1005</t>
    <phoneticPr fontId="15" type="noConversion"/>
  </si>
  <si>
    <t>现金收款1726</t>
    <phoneticPr fontId="15" type="noConversion"/>
  </si>
  <si>
    <t>2023/3/21现金收款4426</t>
    <phoneticPr fontId="15" type="noConversion"/>
  </si>
  <si>
    <t>现金收款
3135</t>
    <phoneticPr fontId="69" type="noConversion"/>
  </si>
  <si>
    <r>
      <t xml:space="preserve">SANSHENG TECNOLOGIA S.L </t>
    </r>
    <r>
      <rPr>
        <sz val="11"/>
        <color theme="1"/>
        <rFont val="宋体"/>
        <family val="3"/>
        <charset val="134"/>
      </rPr>
      <t>三盛电子</t>
    </r>
    <phoneticPr fontId="15" type="noConversion"/>
  </si>
  <si>
    <r>
      <t xml:space="preserve">SANSHENG TECNOLOGIA S.L </t>
    </r>
    <r>
      <rPr>
        <sz val="11"/>
        <color rgb="FFFF0000"/>
        <rFont val="宋体"/>
        <family val="3"/>
        <charset val="134"/>
      </rPr>
      <t>三盛电子</t>
    </r>
    <phoneticPr fontId="15" type="noConversion"/>
  </si>
  <si>
    <r>
      <t xml:space="preserve">TECCOVA 67-A S.L </t>
    </r>
    <r>
      <rPr>
        <sz val="11"/>
        <rFont val="宋体"/>
        <family val="3"/>
        <charset val="134"/>
      </rPr>
      <t>巴基斯坦人</t>
    </r>
    <phoneticPr fontId="15" type="noConversion"/>
  </si>
  <si>
    <r>
      <t xml:space="preserve">XHC BRICO 2019 S.L </t>
    </r>
    <r>
      <rPr>
        <sz val="11"/>
        <color theme="1"/>
        <rFont val="宋体"/>
        <family val="3"/>
        <charset val="134"/>
      </rPr>
      <t>枫叶</t>
    </r>
    <phoneticPr fontId="15" type="noConversion"/>
  </si>
  <si>
    <t>现金</t>
    <phoneticPr fontId="15" type="noConversion"/>
  </si>
  <si>
    <t>2023/3/22
现金收款
20000</t>
    <phoneticPr fontId="15" type="noConversion"/>
  </si>
  <si>
    <t>现金</t>
    <phoneticPr fontId="15" type="noConversion"/>
  </si>
  <si>
    <t>现金</t>
    <phoneticPr fontId="15" type="noConversion"/>
  </si>
  <si>
    <t>其他抵扣</t>
    <phoneticPr fontId="15" type="noConversion"/>
  </si>
  <si>
    <t>现金收款
1970</t>
    <phoneticPr fontId="64" type="noConversion"/>
  </si>
  <si>
    <t>银行</t>
    <phoneticPr fontId="15" type="noConversion"/>
  </si>
  <si>
    <t>ARBOL DE GINKGO S.L 李姐 威力百货</t>
    <phoneticPr fontId="15" type="noConversion"/>
  </si>
  <si>
    <t>GANGS1999 S.L 裘氏集团</t>
  </si>
  <si>
    <r>
      <t xml:space="preserve">GANGS1999 S.L </t>
    </r>
    <r>
      <rPr>
        <sz val="11"/>
        <color theme="1"/>
        <rFont val="宋体"/>
        <family val="3"/>
        <charset val="134"/>
      </rPr>
      <t>裘氏集团</t>
    </r>
    <phoneticPr fontId="15" type="noConversion"/>
  </si>
  <si>
    <t>IMPORTACION ORIENTAL EN VALENCIA S.L 东贸百货</t>
  </si>
  <si>
    <t>HAOHAO 2015 S.L 好好电子</t>
  </si>
  <si>
    <t>LINDU TECNOLOGY S.L 零度</t>
  </si>
  <si>
    <t>XINGFEI IMPORT S.L.U 欧宝</t>
  </si>
  <si>
    <t>SKYHE 2013 UNIPESSOAL LDA 天和</t>
  </si>
  <si>
    <t>DISTINTESTREIA LDA 小北京</t>
  </si>
  <si>
    <r>
      <t xml:space="preserve">SHIXIN TECHNOLOGY S.L.U </t>
    </r>
    <r>
      <rPr>
        <sz val="11"/>
        <color theme="1"/>
        <rFont val="宋体"/>
        <family val="3"/>
        <charset val="134"/>
      </rPr>
      <t>海威特</t>
    </r>
    <phoneticPr fontId="68" type="noConversion"/>
  </si>
  <si>
    <r>
      <t xml:space="preserve">IMPORTACION ORIENTAL EN VALENCIA S.L </t>
    </r>
    <r>
      <rPr>
        <sz val="11"/>
        <rFont val="宋体"/>
        <family val="3"/>
        <charset val="134"/>
      </rPr>
      <t>东贸百货</t>
    </r>
    <phoneticPr fontId="15" type="noConversion"/>
  </si>
  <si>
    <r>
      <t xml:space="preserve">EVE MON CROIS S.L. </t>
    </r>
    <r>
      <rPr>
        <sz val="11"/>
        <color theme="1"/>
        <rFont val="宋体"/>
        <family val="3"/>
        <charset val="134"/>
      </rPr>
      <t>欧玛特</t>
    </r>
    <phoneticPr fontId="15" type="noConversion"/>
  </si>
  <si>
    <r>
      <t xml:space="preserve">XHC BRICO 2019 S.L </t>
    </r>
    <r>
      <rPr>
        <sz val="11"/>
        <color theme="1"/>
        <rFont val="宋体"/>
        <family val="3"/>
        <charset val="134"/>
      </rPr>
      <t>枫叶</t>
    </r>
    <phoneticPr fontId="15" type="noConversion"/>
  </si>
  <si>
    <r>
      <t xml:space="preserve">AMERICA YUAN S.L.U </t>
    </r>
    <r>
      <rPr>
        <sz val="11"/>
        <rFont val="宋体"/>
        <family val="3"/>
        <charset val="134"/>
      </rPr>
      <t>上海人</t>
    </r>
    <phoneticPr fontId="15" type="noConversion"/>
  </si>
  <si>
    <r>
      <t xml:space="preserve">AMERICA YUAN S.L.U </t>
    </r>
    <r>
      <rPr>
        <sz val="11"/>
        <rFont val="宋体"/>
        <family val="3"/>
        <charset val="134"/>
      </rPr>
      <t>上海人</t>
    </r>
    <phoneticPr fontId="15" type="noConversion"/>
  </si>
  <si>
    <r>
      <t xml:space="preserve">AMERICA YUAN S.L.U </t>
    </r>
    <r>
      <rPr>
        <sz val="11"/>
        <rFont val="宋体"/>
        <family val="3"/>
        <charset val="134"/>
      </rPr>
      <t>上海人</t>
    </r>
    <phoneticPr fontId="15" type="noConversion"/>
  </si>
  <si>
    <r>
      <t xml:space="preserve">SHENGBAO S.L.U </t>
    </r>
    <r>
      <rPr>
        <sz val="11"/>
        <color theme="1"/>
        <rFont val="宋体"/>
        <family val="3"/>
        <charset val="134"/>
      </rPr>
      <t>盛宝百货</t>
    </r>
    <phoneticPr fontId="15" type="noConversion"/>
  </si>
  <si>
    <t>BAO LI DE S.L 宝力得</t>
  </si>
  <si>
    <r>
      <t xml:space="preserve">BAO LI DE S.L </t>
    </r>
    <r>
      <rPr>
        <sz val="11"/>
        <color theme="1"/>
        <rFont val="宋体"/>
        <family val="3"/>
        <charset val="134"/>
      </rPr>
      <t>宝力得</t>
    </r>
    <phoneticPr fontId="15" type="noConversion"/>
  </si>
  <si>
    <r>
      <t xml:space="preserve">LINDU TECNOLOGY S.L </t>
    </r>
    <r>
      <rPr>
        <sz val="11"/>
        <color theme="1"/>
        <rFont val="宋体"/>
        <family val="3"/>
        <charset val="134"/>
      </rPr>
      <t>零度</t>
    </r>
    <phoneticPr fontId="15" type="noConversion"/>
  </si>
  <si>
    <r>
      <t xml:space="preserve">SHU LING YANG </t>
    </r>
    <r>
      <rPr>
        <sz val="11"/>
        <color theme="1"/>
        <rFont val="宋体"/>
        <family val="3"/>
        <charset val="134"/>
      </rPr>
      <t>欧之星</t>
    </r>
    <phoneticPr fontId="15" type="noConversion"/>
  </si>
  <si>
    <t>SHU LING YANG 欧之星</t>
  </si>
  <si>
    <t xml:space="preserve">COMERCIO GRAN TIERRA S.L  大地 </t>
  </si>
  <si>
    <t>AVIVO DREAMSKY S.L 中国龙门市</t>
    <phoneticPr fontId="15" type="noConversion"/>
  </si>
  <si>
    <t>AUE23/0000711</t>
  </si>
  <si>
    <t>AUE23/0000744</t>
  </si>
  <si>
    <t>UE23/0000651</t>
  </si>
  <si>
    <t>UE23/0000653</t>
  </si>
  <si>
    <t>AUE23/0000703</t>
  </si>
  <si>
    <t>AUE23/0000778</t>
  </si>
  <si>
    <t>AUE23/0000694</t>
  </si>
  <si>
    <t>AUE23/0000743</t>
  </si>
  <si>
    <t>AUE23/0000714</t>
  </si>
  <si>
    <t>AUE23/0000766</t>
  </si>
  <si>
    <t>AUE23/0000729</t>
  </si>
  <si>
    <t>AUE23/0000690</t>
  </si>
  <si>
    <t>AUE23/0000725</t>
  </si>
  <si>
    <t>AUE23/0000775</t>
  </si>
  <si>
    <t>产品差价,具体见开单附件</t>
  </si>
  <si>
    <t>AUE23/0000701</t>
  </si>
  <si>
    <t>AUE23/0000713</t>
  </si>
  <si>
    <t>AUE23/0000610 这个单子的HC1945这个产品开一下差价单 原来产品价格：18.45*25%*29=401.29 现在更改价格为：10*29=290 差额：401.29-290=111.29</t>
  </si>
  <si>
    <t>AUE23/0000716</t>
  </si>
  <si>
    <t>AUE23/0000688</t>
  </si>
  <si>
    <t>AUE23/0000717</t>
  </si>
  <si>
    <t>AUE23/0000761</t>
  </si>
  <si>
    <t>AUE23/0000692</t>
  </si>
  <si>
    <t>AUE23/0000693</t>
  </si>
  <si>
    <t>AUE23/0000699</t>
  </si>
  <si>
    <t>AUE23/0000695</t>
  </si>
  <si>
    <t>AUE23/0000697</t>
  </si>
  <si>
    <t>AUE23/0000760</t>
  </si>
  <si>
    <t>AUE23/0000689</t>
  </si>
  <si>
    <t>AUE23/0000691</t>
  </si>
  <si>
    <t>AUE23/0000741</t>
  </si>
  <si>
    <t>AUE23/0000696</t>
  </si>
  <si>
    <t>UE23/0000606</t>
  </si>
  <si>
    <t>UE23/0000644</t>
  </si>
  <si>
    <t>UE23/0000633</t>
  </si>
  <si>
    <t>AUE23/0000738</t>
  </si>
  <si>
    <t>AUE23/0000732</t>
  </si>
  <si>
    <t>AUE23/0000726</t>
  </si>
  <si>
    <t>AVU23/0000108</t>
  </si>
  <si>
    <t>AVU23/0000109</t>
  </si>
  <si>
    <t>AVU23/0000107</t>
  </si>
  <si>
    <t>陆夏小华
现金收款</t>
    <phoneticPr fontId="15" type="noConversion"/>
  </si>
  <si>
    <t>陆夏小华
现金收款</t>
    <phoneticPr fontId="70" type="noConversion"/>
  </si>
  <si>
    <t>AUE23/0000715</t>
  </si>
  <si>
    <t>运输贴专用，只发CB1807的货物</t>
    <phoneticPr fontId="15" type="noConversion"/>
  </si>
  <si>
    <t>AUE23/0000755</t>
  </si>
  <si>
    <t>运输贴纸</t>
  </si>
  <si>
    <t>陆夏小华
现金收款</t>
    <phoneticPr fontId="15" type="noConversion"/>
  </si>
  <si>
    <t>J&amp;C REPARACIONES Y ACCEORIO DE MOVILES S.L 超能</t>
    <phoneticPr fontId="15" type="noConversion"/>
  </si>
  <si>
    <t>ANISOAR CLOUDS S.L 中国龙仓库</t>
    <phoneticPr fontId="15" type="noConversion"/>
  </si>
  <si>
    <t>AFTS23/0000231</t>
  </si>
  <si>
    <t>UE23/0000705</t>
  </si>
  <si>
    <t>AUE23/0000786</t>
  </si>
  <si>
    <t>AUE23/0000805</t>
  </si>
  <si>
    <t>AUE23/0000820</t>
  </si>
  <si>
    <t>AUE23/0000784</t>
  </si>
  <si>
    <t>AUE23/0000806</t>
  </si>
  <si>
    <t>AUE23/0000780</t>
  </si>
  <si>
    <t>AUE23/0000804</t>
  </si>
  <si>
    <t>AUE23/0000817</t>
  </si>
  <si>
    <t>AUE23/0000821</t>
  </si>
  <si>
    <t>AUE23/0000822</t>
  </si>
  <si>
    <t>AUE23/0000825</t>
  </si>
  <si>
    <t>FANGZHENG 差价单 998780--原售价1.365--现价1.1--数量90 =1.365*90-1.1*90=122.85-99=23.85</t>
  </si>
  <si>
    <t>AUE23/0000809</t>
  </si>
  <si>
    <t>AUE23/0000813</t>
  </si>
  <si>
    <t>AUE23/0000794</t>
  </si>
  <si>
    <t>AUE23/0000807</t>
  </si>
  <si>
    <t>AUE23/0000803</t>
  </si>
  <si>
    <t>AUE23/0000795</t>
  </si>
  <si>
    <t>AUE23/0000796</t>
  </si>
  <si>
    <t>AUE23/0000797</t>
  </si>
  <si>
    <t>AUE23/0000802</t>
  </si>
  <si>
    <t>AVU23/0000113</t>
  </si>
  <si>
    <t>B19644186</t>
  </si>
  <si>
    <t>ALIMENTACION GRAN MURALLA S.L 长城</t>
  </si>
  <si>
    <t>ALIMENTACION GRAN MURALLA S.L 长城</t>
    <phoneticPr fontId="15" type="noConversion"/>
  </si>
  <si>
    <t>AFTS23/0000250</t>
  </si>
  <si>
    <t>AFTS23/0000251</t>
  </si>
  <si>
    <t>AFTS23/0000270</t>
  </si>
  <si>
    <t>FTS23/0000729</t>
  </si>
  <si>
    <t>UE23/0000764</t>
  </si>
  <si>
    <t>AFTS23/0000246</t>
  </si>
  <si>
    <t>AUE23/0000865</t>
  </si>
  <si>
    <t>AUE23/0000875</t>
  </si>
  <si>
    <t>AUE23/0000877</t>
  </si>
  <si>
    <t>AUE23/0000891</t>
  </si>
  <si>
    <t>AUE23/0000892</t>
  </si>
  <si>
    <t>AUE23/0000889</t>
  </si>
  <si>
    <t>AUE23/0000907</t>
  </si>
  <si>
    <t>AUE23/0000873</t>
  </si>
  <si>
    <t>AUE23/0000850</t>
  </si>
  <si>
    <t>FTS23/0000730</t>
  </si>
  <si>
    <t>AUE23/0000910</t>
  </si>
  <si>
    <t>AUE23/0000911</t>
  </si>
  <si>
    <t>AUE23/0000901</t>
  </si>
  <si>
    <t>AFTS23/0000271</t>
  </si>
  <si>
    <t>FTS23/0000717</t>
  </si>
  <si>
    <t>FTS23/0000720</t>
  </si>
  <si>
    <t>AUE23/0000851</t>
  </si>
  <si>
    <t>AUE23/0000909</t>
  </si>
  <si>
    <t>AUE23/0000837</t>
  </si>
  <si>
    <t>AFTS23/0000248</t>
  </si>
  <si>
    <t>AUE23/0000880</t>
  </si>
  <si>
    <t>AUE23/0000881</t>
  </si>
  <si>
    <t>AUE23/0000838</t>
  </si>
  <si>
    <t>AUE23/0000846</t>
  </si>
  <si>
    <t>AUE23/0000852</t>
  </si>
  <si>
    <t>AUE23/0000906</t>
  </si>
  <si>
    <t>AUE23/0000896</t>
  </si>
  <si>
    <t>AUE23/0000904</t>
  </si>
  <si>
    <t>AUE23/0000908</t>
  </si>
  <si>
    <t>AFTS23/0000267</t>
  </si>
  <si>
    <t>AFTS23/0000269</t>
  </si>
  <si>
    <t>UE23/0000728</t>
  </si>
  <si>
    <t>UE23/0000729</t>
  </si>
  <si>
    <t>UE23/0000740</t>
  </si>
  <si>
    <t>AUE23/0000831</t>
  </si>
  <si>
    <t>AUE23/0000839</t>
  </si>
  <si>
    <t>AUE23/0000840</t>
  </si>
  <si>
    <t>AUE23/0000841</t>
  </si>
  <si>
    <t>AUE23/0000842</t>
  </si>
  <si>
    <t>AUE23/0000843</t>
  </si>
  <si>
    <t>AUE23/0000872</t>
  </si>
  <si>
    <t>AUE23/0000888</t>
  </si>
  <si>
    <t>AUE23/0000898</t>
  </si>
  <si>
    <t>XIN OU 缺货单，发错货后的缺货单</t>
  </si>
  <si>
    <t>AUE23 623正负抵消补差额</t>
  </si>
  <si>
    <t>AUE23/0000847</t>
  </si>
  <si>
    <t>AUE23/0000857</t>
  </si>
  <si>
    <t>AUE23/0000866</t>
  </si>
  <si>
    <t>AUE23/0000890</t>
  </si>
  <si>
    <t>AVU23/0000125</t>
  </si>
  <si>
    <t>AVU23/0000127</t>
  </si>
  <si>
    <t>AVU23/0000128</t>
  </si>
  <si>
    <t>支票存兑</t>
    <phoneticPr fontId="15" type="noConversion"/>
  </si>
  <si>
    <t>盛杰
现金收款</t>
    <phoneticPr fontId="15" type="noConversion"/>
  </si>
  <si>
    <r>
      <t xml:space="preserve">IBERMAYORISTA 2020 S.L </t>
    </r>
    <r>
      <rPr>
        <sz val="11"/>
        <rFont val="宋体"/>
        <family val="3"/>
        <charset val="134"/>
      </rPr>
      <t>顺丰集团</t>
    </r>
    <phoneticPr fontId="15" type="noConversion"/>
  </si>
  <si>
    <t>现金</t>
    <phoneticPr fontId="15" type="noConversion"/>
  </si>
  <si>
    <t>DOKI 168 S.L</t>
    <phoneticPr fontId="15" type="noConversion"/>
  </si>
  <si>
    <t>银行</t>
    <phoneticPr fontId="15" type="noConversion"/>
  </si>
  <si>
    <t>银行</t>
    <phoneticPr fontId="15" type="noConversion"/>
  </si>
  <si>
    <t>其他抵扣</t>
    <phoneticPr fontId="15" type="noConversion"/>
  </si>
  <si>
    <t>B76582345</t>
  </si>
  <si>
    <t>RALFY IMPOEX S.L</t>
  </si>
  <si>
    <t>RALFY IMPOEX S.L</t>
    <phoneticPr fontId="15" type="noConversion"/>
  </si>
  <si>
    <t>UE21/0000842</t>
  </si>
  <si>
    <t>UE21/0000872</t>
  </si>
  <si>
    <t>FTS23/0000692</t>
  </si>
  <si>
    <t>FTS23/0000773</t>
  </si>
  <si>
    <t>FTS23/0000772</t>
  </si>
  <si>
    <t>其他抵扣</t>
    <phoneticPr fontId="15" type="noConversion"/>
  </si>
  <si>
    <t>B02636579</t>
  </si>
  <si>
    <t>FTS23/0000752</t>
  </si>
  <si>
    <t>FTS23/0000786</t>
  </si>
  <si>
    <t>UE23/0000788</t>
  </si>
  <si>
    <t>UE23/0000764 汇款FUTURE 开*AA*</t>
  </si>
  <si>
    <t>AFTS23/0000272</t>
  </si>
  <si>
    <t>AFTS23/0000273</t>
  </si>
  <si>
    <t>AFTS23/0000277</t>
  </si>
  <si>
    <t>AUE23/0000935</t>
  </si>
  <si>
    <t>FTS23/0000749</t>
  </si>
  <si>
    <t>FTS23/0000766</t>
  </si>
  <si>
    <t>AUE23/0000951</t>
  </si>
  <si>
    <t>AUE23/0000959</t>
  </si>
  <si>
    <t>AUE23/0000961</t>
  </si>
  <si>
    <t>AUE23/0000970</t>
  </si>
  <si>
    <t>AUE23/0000974</t>
  </si>
  <si>
    <t>AUE23/0000934</t>
  </si>
  <si>
    <t>AUE23/0000957</t>
  </si>
  <si>
    <t>AUE23/0000958</t>
  </si>
  <si>
    <t>AUE23/0000919</t>
  </si>
  <si>
    <t>AUE23/0000973</t>
  </si>
  <si>
    <t>AUE23/0000918</t>
  </si>
  <si>
    <t>AUE23/0000955</t>
  </si>
  <si>
    <t>AUE23/0000960</t>
  </si>
  <si>
    <t>AUE23/0000913</t>
  </si>
  <si>
    <t>AUE23/0000962</t>
  </si>
  <si>
    <t>AUE23/0000963</t>
  </si>
  <si>
    <t>AUE23/0000920</t>
  </si>
  <si>
    <t>AUE23/0000921</t>
  </si>
  <si>
    <t>UE23/0000775</t>
  </si>
  <si>
    <t>FTS23/0000733</t>
  </si>
  <si>
    <t>KASANA SYSTEM SUNSHINE S.L</t>
  </si>
  <si>
    <t>AFTS23/0000293</t>
  </si>
  <si>
    <t>AUE23/0000912</t>
  </si>
  <si>
    <t>AUE23/0000938</t>
  </si>
  <si>
    <t>UE23/0000777</t>
  </si>
  <si>
    <t>UE22/2562 UE23/0010 收FUTURE支票，FUTURE外账*AA*FTS23/0748</t>
  </si>
  <si>
    <t>UE22/2562  UE23/0010 收FUTURE支票，FUTURE外账*AA*FTS23/0748</t>
  </si>
  <si>
    <t>AFTS23/0000296</t>
  </si>
  <si>
    <t>AUE23/0000972</t>
  </si>
  <si>
    <t>AUE23/0000969</t>
  </si>
  <si>
    <t>AUE23/0000978</t>
  </si>
  <si>
    <t>AUE23/0000954</t>
  </si>
  <si>
    <t>AFTS23/0000286</t>
  </si>
  <si>
    <t>AFTS23/0000290</t>
  </si>
  <si>
    <t>AUE23/0000967</t>
  </si>
  <si>
    <t>AUE23/0000944</t>
  </si>
  <si>
    <t>AUE23/0000977</t>
  </si>
  <si>
    <t>AUE23/0000979</t>
  </si>
  <si>
    <t>AUE23/0000971</t>
  </si>
  <si>
    <t>AUE23/0000946</t>
  </si>
  <si>
    <t>AUE23/0000949</t>
  </si>
  <si>
    <t>AUE23/0000966</t>
  </si>
  <si>
    <t>AUE23/0000964</t>
  </si>
  <si>
    <t>AUE23/0000981</t>
  </si>
  <si>
    <t>之前有款耳机9273,折后给他们价格是7.425，现在一口价6欧，有10个,差额(6-7.425)*10=-14.25,打一张差价单</t>
  </si>
  <si>
    <t>AUE23/0000914</t>
  </si>
  <si>
    <t>AUE23/0000943</t>
  </si>
  <si>
    <t>AUE23/0914,产品994966，这款产品差0.325</t>
  </si>
  <si>
    <t>AUE23/0000952</t>
  </si>
  <si>
    <t>FTS23/0000753</t>
  </si>
  <si>
    <t>FTS23/0000758</t>
  </si>
  <si>
    <t>FTS23/0000783</t>
  </si>
  <si>
    <t>FTS23/0000767</t>
  </si>
  <si>
    <t>FTS23/0000770</t>
  </si>
  <si>
    <t>AUE23/0000953</t>
  </si>
  <si>
    <t>AUE23/0000956</t>
  </si>
  <si>
    <t>AFTS23/0000287</t>
  </si>
  <si>
    <t>AFTS23/0000288</t>
  </si>
  <si>
    <t>其他抵扣</t>
    <phoneticPr fontId="15" type="noConversion"/>
  </si>
  <si>
    <t>正负抵扣</t>
  </si>
  <si>
    <t>银行</t>
    <phoneticPr fontId="15" type="noConversion"/>
  </si>
  <si>
    <t>银行</t>
    <phoneticPr fontId="15" type="noConversion"/>
  </si>
  <si>
    <t>其他抵扣</t>
    <phoneticPr fontId="15" type="noConversion"/>
  </si>
  <si>
    <t>银行</t>
    <phoneticPr fontId="15" type="noConversion"/>
  </si>
  <si>
    <r>
      <t xml:space="preserve">TECCOVA 67-A S.L </t>
    </r>
    <r>
      <rPr>
        <sz val="11"/>
        <rFont val="宋体"/>
        <family val="3"/>
        <charset val="134"/>
      </rPr>
      <t>巴基斯坦人</t>
    </r>
    <phoneticPr fontId="15" type="noConversion"/>
  </si>
  <si>
    <t>陆夏小华
现金收款</t>
    <phoneticPr fontId="15" type="noConversion"/>
  </si>
  <si>
    <t>陆夏小华
现金收款
1249</t>
    <phoneticPr fontId="15" type="noConversion"/>
  </si>
  <si>
    <t>陆夏小华
现金收款2214</t>
    <phoneticPr fontId="15" type="noConversion"/>
  </si>
  <si>
    <r>
      <t xml:space="preserve">XHC BRICO 2019 S.L </t>
    </r>
    <r>
      <rPr>
        <sz val="11"/>
        <rFont val="宋体"/>
        <family val="3"/>
        <charset val="134"/>
      </rPr>
      <t>枫叶</t>
    </r>
    <phoneticPr fontId="15" type="noConversion"/>
  </si>
  <si>
    <t>其他抵扣</t>
    <phoneticPr fontId="15" type="noConversion"/>
  </si>
  <si>
    <t>支票存兑</t>
    <phoneticPr fontId="15" type="noConversion"/>
  </si>
  <si>
    <t>支票存兑</t>
    <phoneticPr fontId="15" type="noConversion"/>
  </si>
  <si>
    <t>盛杰
现金收款566</t>
    <phoneticPr fontId="64" type="noConversion"/>
  </si>
  <si>
    <t>支票存兑</t>
    <phoneticPr fontId="64" type="noConversion"/>
  </si>
  <si>
    <t>4月20日银行收款4573.29</t>
    <phoneticPr fontId="15" type="noConversion"/>
  </si>
  <si>
    <t>2月20日银行收款1563.29</t>
    <phoneticPr fontId="15" type="noConversion"/>
  </si>
  <si>
    <t>CASA DEL SURESTE S.L 万泰</t>
    <phoneticPr fontId="15" type="noConversion"/>
  </si>
  <si>
    <t>AFTS23/0000313</t>
  </si>
  <si>
    <t>FTS23/0000819</t>
  </si>
  <si>
    <t>AUE23/0000998</t>
  </si>
  <si>
    <t>AUE23/0000999</t>
  </si>
  <si>
    <t>AUE23/0001000</t>
  </si>
  <si>
    <t>AUE23/0001002</t>
  </si>
  <si>
    <t>AUE23/0001003</t>
  </si>
  <si>
    <t>AUE23/0001007</t>
  </si>
  <si>
    <t>盛杰拿回来的退货，为了换货</t>
  </si>
  <si>
    <t>AFTS23/0000304</t>
  </si>
  <si>
    <t>AUE23/0001001</t>
  </si>
  <si>
    <t>AFTS23/0000299</t>
  </si>
  <si>
    <t>AUE23/0001008</t>
  </si>
  <si>
    <t>AUE23/0000985</t>
  </si>
  <si>
    <t>AUE23/0000984</t>
  </si>
  <si>
    <t>AUE23/0001032</t>
  </si>
  <si>
    <t>AUE23/0001033</t>
  </si>
  <si>
    <t>AUE23/0001034</t>
  </si>
  <si>
    <t>AUE23/0000988</t>
  </si>
  <si>
    <t>AUE23/0000993</t>
  </si>
  <si>
    <t>AUE23/0000994</t>
  </si>
  <si>
    <t>AUE23/0000995</t>
  </si>
  <si>
    <t>AUE23/0001009</t>
  </si>
  <si>
    <t>AUE23/0001031</t>
  </si>
  <si>
    <t>AUE23/0001037</t>
  </si>
  <si>
    <t>FTS23/0000810</t>
  </si>
  <si>
    <t>FTS23/0000833</t>
  </si>
  <si>
    <t>FTS23/0000838</t>
  </si>
  <si>
    <t>FTS23/0000839</t>
  </si>
  <si>
    <t>FTS23/0000841</t>
  </si>
  <si>
    <t>AUE23/0001027</t>
  </si>
  <si>
    <r>
      <t xml:space="preserve">COMERCIO GRAN TIERRA S.L  </t>
    </r>
    <r>
      <rPr>
        <sz val="11"/>
        <color rgb="FFFF0000"/>
        <rFont val="宋体"/>
        <family val="3"/>
        <charset val="134"/>
      </rPr>
      <t>大地</t>
    </r>
    <phoneticPr fontId="22" type="noConversion"/>
  </si>
  <si>
    <r>
      <t xml:space="preserve">COMERCIO GRAN TIERRA S.L  </t>
    </r>
    <r>
      <rPr>
        <sz val="11"/>
        <color rgb="FFFF0000"/>
        <rFont val="宋体"/>
        <family val="3"/>
        <charset val="134"/>
      </rPr>
      <t>大地</t>
    </r>
    <r>
      <rPr>
        <sz val="11"/>
        <color rgb="FFFF0000"/>
        <rFont val="Consolas"/>
        <family val="3"/>
      </rPr>
      <t xml:space="preserve"> </t>
    </r>
    <phoneticPr fontId="22" type="noConversion"/>
  </si>
  <si>
    <t>AFTS23/0000314</t>
  </si>
  <si>
    <t>AFTS23/0000305</t>
  </si>
  <si>
    <t>AUE23/0001006</t>
  </si>
  <si>
    <t>AVU23/0000142</t>
  </si>
  <si>
    <t>AVU23/0000141</t>
  </si>
  <si>
    <t>支票存兑</t>
    <phoneticPr fontId="15" type="noConversion"/>
  </si>
  <si>
    <t>陆夏小华
现金收款2119</t>
    <phoneticPr fontId="15" type="noConversion"/>
  </si>
  <si>
    <t>盛杰现金收款8852</t>
    <phoneticPr fontId="15" type="noConversion"/>
  </si>
  <si>
    <t>盛杰现金收款</t>
    <phoneticPr fontId="63" type="noConversion"/>
  </si>
  <si>
    <t>支票存兑</t>
    <phoneticPr fontId="15" type="noConversion"/>
  </si>
  <si>
    <t>现金收款3646</t>
    <phoneticPr fontId="15" type="noConversion"/>
  </si>
  <si>
    <t>AFTS23/0000321</t>
  </si>
  <si>
    <t>AFTS23/0000326</t>
  </si>
  <si>
    <t>AFTS23/0000330</t>
  </si>
  <si>
    <t>AFTS23/0000331</t>
  </si>
  <si>
    <t>AUE23/0001054</t>
  </si>
  <si>
    <t>SHIXIN TECHNOLOGY S.L.U 海威特</t>
  </si>
  <si>
    <t>FTS23/0000863</t>
  </si>
  <si>
    <t>AUE23/0001060</t>
  </si>
  <si>
    <t>AUE23/0001061</t>
  </si>
  <si>
    <t>AUE23/0001062</t>
  </si>
  <si>
    <t>UE23/0000829</t>
  </si>
  <si>
    <t>AFTS23/0000333</t>
  </si>
  <si>
    <t>AFTS23/0000317</t>
  </si>
  <si>
    <t>AFTS23/0000334</t>
  </si>
  <si>
    <t>SEUR送货时破损</t>
  </si>
  <si>
    <t>AFTS23/0000319</t>
  </si>
  <si>
    <t>AUE23/0001055</t>
  </si>
  <si>
    <t>AUE23/0001056</t>
  </si>
  <si>
    <t>AUE23/0001075</t>
  </si>
  <si>
    <t>AUE23/0001074</t>
  </si>
  <si>
    <t>AUE23/0001065</t>
  </si>
  <si>
    <t>AUE23/0001066</t>
  </si>
  <si>
    <t>AUE23/0001067</t>
  </si>
  <si>
    <t>AUE23/0001068</t>
  </si>
  <si>
    <t>AUE23/0001069</t>
  </si>
  <si>
    <t>AUE23/0001070</t>
  </si>
  <si>
    <t>AUE23/0001071</t>
  </si>
  <si>
    <t>AUE23/0001072</t>
  </si>
  <si>
    <t>AUE23/0001079</t>
  </si>
  <si>
    <t>根据AUE22/3980备注，AUE23/0148返5个点</t>
    <phoneticPr fontId="15" type="noConversion"/>
  </si>
  <si>
    <t>AVU23/0000155</t>
  </si>
  <si>
    <r>
      <rPr>
        <sz val="11"/>
        <rFont val="SimSun"/>
        <charset val="134"/>
      </rPr>
      <t>发货日期</t>
    </r>
  </si>
  <si>
    <r>
      <rPr>
        <sz val="11"/>
        <rFont val="SimSun"/>
        <charset val="134"/>
      </rPr>
      <t>发票号</t>
    </r>
  </si>
  <si>
    <r>
      <rPr>
        <sz val="11"/>
        <rFont val="SimSun"/>
        <charset val="134"/>
      </rPr>
      <t>单据金额</t>
    </r>
    <phoneticPr fontId="15" type="noConversion"/>
  </si>
  <si>
    <r>
      <rPr>
        <sz val="11"/>
        <rFont val="SimSun"/>
        <charset val="134"/>
      </rPr>
      <t>税额</t>
    </r>
    <phoneticPr fontId="15" type="noConversion"/>
  </si>
  <si>
    <r>
      <t xml:space="preserve">NEW IMPORT HOUSE S.L </t>
    </r>
    <r>
      <rPr>
        <sz val="11"/>
        <rFont val="宋体"/>
        <family val="3"/>
        <charset val="134"/>
      </rPr>
      <t>豪迈</t>
    </r>
    <phoneticPr fontId="15" type="noConversion"/>
  </si>
  <si>
    <t>陆夏小华
现金收款</t>
  </si>
  <si>
    <t>陆夏小华
现金收款</t>
    <phoneticPr fontId="15" type="noConversion"/>
  </si>
  <si>
    <r>
      <t xml:space="preserve">COMERCIO GRAN TIERRA S.L  </t>
    </r>
    <r>
      <rPr>
        <sz val="11"/>
        <rFont val="宋体"/>
        <family val="3"/>
        <charset val="134"/>
      </rPr>
      <t>大地</t>
    </r>
    <r>
      <rPr>
        <sz val="11"/>
        <rFont val="Consolas"/>
        <family val="3"/>
      </rPr>
      <t xml:space="preserve"> </t>
    </r>
    <phoneticPr fontId="22" type="noConversion"/>
  </si>
  <si>
    <t>银行</t>
    <phoneticPr fontId="15" type="noConversion"/>
  </si>
  <si>
    <t>AUE23/0000491</t>
    <phoneticPr fontId="15" type="noConversion"/>
  </si>
  <si>
    <t>其他抵扣</t>
    <phoneticPr fontId="15" type="noConversion"/>
  </si>
  <si>
    <t>郭水文
现金收款</t>
  </si>
  <si>
    <t>郭水文
现金收款</t>
    <phoneticPr fontId="15" type="noConversion"/>
  </si>
  <si>
    <t>郭水文
现金收款</t>
    <phoneticPr fontId="15" type="noConversion"/>
  </si>
  <si>
    <t>其他抵扣</t>
    <phoneticPr fontId="15" type="noConversion"/>
  </si>
  <si>
    <t>FOLIA ERUDITA UNIPESSOAL LDA 张耀</t>
    <phoneticPr fontId="15" type="noConversion"/>
  </si>
  <si>
    <t>林凯</t>
    <phoneticPr fontId="15" type="noConversion"/>
  </si>
  <si>
    <t>AFTS23/0000357</t>
  </si>
  <si>
    <t>AFTS23/0000366</t>
  </si>
  <si>
    <t>993891这款产品50个，需要做一个差价单,给了一口价1.6给客人,原价2.7（25%折扣) 折后2.025</t>
  </si>
  <si>
    <t>FTS23/0000920</t>
  </si>
  <si>
    <t>AFTS23/0000340</t>
  </si>
  <si>
    <t>AUE23/0001088</t>
  </si>
  <si>
    <t>AFTS23/0000347</t>
  </si>
  <si>
    <t>AUE23/0001095</t>
  </si>
  <si>
    <t>AUE23/0001096</t>
  </si>
  <si>
    <t>AFTS23/0000369</t>
  </si>
  <si>
    <t>AFTS23/0000346</t>
  </si>
  <si>
    <t>AUE23/0001099</t>
  </si>
  <si>
    <t>AUE23/0001101</t>
  </si>
  <si>
    <t>AFTS23/0000372</t>
  </si>
  <si>
    <t>AUE23/0001118</t>
  </si>
  <si>
    <t>AFTS23/0000358</t>
  </si>
  <si>
    <t>AUE23/0001100</t>
  </si>
  <si>
    <t>AFTS23/0000370</t>
  </si>
  <si>
    <t>AFTS23/0000375</t>
  </si>
  <si>
    <t>小华微信沟通说客人少货需要出少货单</t>
  </si>
  <si>
    <t>999398 27个 999787 17个 按5.5一口价给三盛出差价单  999398--7.425*27-5.5*27=51.975 999787--7.425*17-5.5*17=32.725 总共差价是51.975+32.725=84.7</t>
  </si>
  <si>
    <t>AFTS23/0000339</t>
  </si>
  <si>
    <t>AFTS23/0000374</t>
  </si>
  <si>
    <t>AFTS23/0000364</t>
  </si>
  <si>
    <t>AFTS23/0000363</t>
  </si>
  <si>
    <t>AFTS23/0000344</t>
  </si>
  <si>
    <t>AFTS23/0000345</t>
  </si>
  <si>
    <t>XIAOJUN WANG 腾讯电子</t>
  </si>
  <si>
    <t>AFTS23/0000365</t>
  </si>
  <si>
    <t>AFTS23/0000377</t>
  </si>
  <si>
    <t>AFTS23/0000373</t>
  </si>
  <si>
    <t>AFTS23/0000351</t>
  </si>
  <si>
    <t>AFTS23/0000356</t>
  </si>
  <si>
    <t>AFTS23/0000360</t>
  </si>
  <si>
    <t>AFTS23/0000341</t>
  </si>
  <si>
    <t>AFTS23/0000342</t>
  </si>
  <si>
    <t>AFTS23/0000362</t>
  </si>
  <si>
    <t>AFTS23/0000336</t>
  </si>
  <si>
    <t>AFTS23/0000337</t>
  </si>
  <si>
    <t>AFTS23/0000368</t>
  </si>
  <si>
    <t>AFTS23/0000376</t>
  </si>
  <si>
    <t>AFTS23/0000371</t>
  </si>
  <si>
    <t>AFTS23/0000367</t>
  </si>
  <si>
    <t>FTS23/0000887</t>
  </si>
  <si>
    <t>FTS23/0000896</t>
  </si>
  <si>
    <t>FTS23/0000897</t>
  </si>
  <si>
    <t>AVU23/0000166</t>
  </si>
  <si>
    <t>支票存兑</t>
    <phoneticPr fontId="15" type="noConversion"/>
  </si>
  <si>
    <t>盛杰
现金收款</t>
    <phoneticPr fontId="15" type="noConversion"/>
  </si>
  <si>
    <t>陆夏小华现金收款633</t>
    <phoneticPr fontId="15" type="noConversion"/>
  </si>
  <si>
    <t>银行</t>
    <phoneticPr fontId="15" type="noConversion"/>
  </si>
  <si>
    <t>HIPER SON RAPINYA S.L</t>
  </si>
  <si>
    <t>CHENGXIN ZHANG</t>
  </si>
  <si>
    <t>LIHUA ZHANG</t>
  </si>
  <si>
    <t>CENTRO HOGAR SANTA PONSA S.L.U</t>
  </si>
  <si>
    <t>KKVI SHOPS S.L.U</t>
  </si>
  <si>
    <t>NUEVO ALMACEN WANG S.L</t>
  </si>
  <si>
    <t>HIPER AHORRO S.L</t>
  </si>
  <si>
    <t>MERCAGRAN CHINA S.L</t>
  </si>
  <si>
    <t>NUEVO JIUYUAN S.L</t>
  </si>
  <si>
    <t>HIPER HOGAR POPULAR S.L</t>
  </si>
  <si>
    <t>HIPER ES XINES S.L</t>
  </si>
  <si>
    <t>HIPER CAN VALERO S.L</t>
  </si>
  <si>
    <t>MARIA(MARIA)</t>
  </si>
  <si>
    <t>FTS23/0000858</t>
  </si>
  <si>
    <t>FTS23/0000862</t>
  </si>
  <si>
    <t>FTS23/0000915</t>
  </si>
  <si>
    <t>FTS23/0000919</t>
  </si>
  <si>
    <t>首单折扣补贴1200，分两张*AA*开出来</t>
  </si>
  <si>
    <t>厉龙杰</t>
  </si>
  <si>
    <t>FTS22/0000371</t>
  </si>
  <si>
    <t>FTS22/0000538</t>
  </si>
  <si>
    <t>FTS22/0000540</t>
  </si>
  <si>
    <t>张简平</t>
  </si>
  <si>
    <t>FTS23/0000101</t>
  </si>
  <si>
    <t>FTS23/0000463</t>
  </si>
  <si>
    <t>FTS23/0000924</t>
  </si>
  <si>
    <t>FTS23/0000925</t>
  </si>
  <si>
    <t>FTS23/0000941</t>
  </si>
  <si>
    <t>FTS23/0000504</t>
  </si>
  <si>
    <t>FTS23/0000505</t>
  </si>
  <si>
    <t>FTS23/0000931</t>
  </si>
  <si>
    <t>FTS23/0000946</t>
  </si>
  <si>
    <t>FTS23/0000388</t>
  </si>
  <si>
    <t>FTS23/0000697</t>
  </si>
  <si>
    <t>FTS23/0000851</t>
  </si>
  <si>
    <t>FTS23/0000981</t>
  </si>
  <si>
    <t>AUE23/0000787</t>
  </si>
  <si>
    <t>AUE23/0000811</t>
  </si>
  <si>
    <t>AUE23/0000818</t>
  </si>
  <si>
    <t>UE21/0001348</t>
  </si>
  <si>
    <t>UE21/0001449</t>
  </si>
  <si>
    <t>UE22/0000207</t>
  </si>
  <si>
    <t>UE22/0000718</t>
  </si>
  <si>
    <t>UE22/0000721</t>
  </si>
  <si>
    <t>UE22/0001591</t>
  </si>
  <si>
    <t>FTS23/0000832</t>
  </si>
  <si>
    <t>FTS22/0000352</t>
  </si>
  <si>
    <t>AFTS22/0000329</t>
  </si>
  <si>
    <t>AFTS22/0000345</t>
  </si>
  <si>
    <t>FTS23/0000281</t>
  </si>
  <si>
    <t>FTS23/0000283</t>
  </si>
  <si>
    <t>FTS23/0000346</t>
  </si>
  <si>
    <t>FTS23/0000686</t>
  </si>
  <si>
    <t>AUE21/0001717</t>
  </si>
  <si>
    <t>AUE22/0002228</t>
  </si>
  <si>
    <t>AFTS22/0000023</t>
  </si>
  <si>
    <t>FTS23/0000886</t>
  </si>
  <si>
    <t>AFTS23/0000414</t>
  </si>
  <si>
    <t>FTS23/0000929</t>
  </si>
  <si>
    <t>FTS23/0000912</t>
  </si>
  <si>
    <t>FTS23/0000947</t>
  </si>
  <si>
    <t>银行</t>
    <phoneticPr fontId="15" type="noConversion"/>
  </si>
  <si>
    <t>银行</t>
    <phoneticPr fontId="15" type="noConversion"/>
  </si>
  <si>
    <t>物料单</t>
    <phoneticPr fontId="15" type="noConversion"/>
  </si>
  <si>
    <t>厉龙杰佣金核销一半，剩余一半其他抵扣</t>
  </si>
  <si>
    <t>AUE23/0001132</t>
  </si>
  <si>
    <t>FTS23/0000938</t>
  </si>
  <si>
    <t>UE23/0000870</t>
  </si>
  <si>
    <t>AFTS23/0000395</t>
  </si>
  <si>
    <t>AFTS23/0000398</t>
  </si>
  <si>
    <t>FTS23/0000949</t>
  </si>
  <si>
    <t>AFTS23/0000385</t>
  </si>
  <si>
    <t>AUE23/0001135</t>
  </si>
  <si>
    <t>AUE23/0001136</t>
  </si>
  <si>
    <t>AUE23/0001137</t>
  </si>
  <si>
    <t>AUE23/0001151</t>
  </si>
  <si>
    <t>AUE23/0001152</t>
  </si>
  <si>
    <t>AFTS23/0000397</t>
  </si>
  <si>
    <t>AFTS23/0000389</t>
  </si>
  <si>
    <t>AFTS23/0000396</t>
  </si>
  <si>
    <t>AFTS23/0000409</t>
  </si>
  <si>
    <t>AFTS23/0000424</t>
  </si>
  <si>
    <t>AFTS23/0000384</t>
  </si>
  <si>
    <t>AFTS23/0000405</t>
  </si>
  <si>
    <t>AFTS23/0000422</t>
  </si>
  <si>
    <t>AUE23/0001156</t>
  </si>
  <si>
    <t>AUE23/0001157</t>
  </si>
  <si>
    <t>AFTS23/0000402</t>
  </si>
  <si>
    <t>FTS23/0000939</t>
  </si>
  <si>
    <t>FTS23/0000958</t>
  </si>
  <si>
    <t>AFTS23/0000421</t>
  </si>
  <si>
    <t>AFTS23/0000392</t>
  </si>
  <si>
    <t>AFTS23/0000393</t>
  </si>
  <si>
    <t>AFTS23/0000406</t>
  </si>
  <si>
    <t>AUE23/0001138</t>
  </si>
  <si>
    <t>AUE23/0001139</t>
  </si>
  <si>
    <t>AUE23/0001140</t>
  </si>
  <si>
    <t>AUE23/0001141</t>
  </si>
  <si>
    <t>AUE23/0001145</t>
  </si>
  <si>
    <t>AUE23/0001146</t>
  </si>
  <si>
    <t>FTS23/0000944</t>
  </si>
  <si>
    <t>FTS23/0000945</t>
  </si>
  <si>
    <t>FTS23/0000957</t>
  </si>
  <si>
    <t>AFTS23/0000416</t>
  </si>
  <si>
    <t>AUE23/0001154</t>
  </si>
  <si>
    <t>AFTS23/0000410</t>
  </si>
  <si>
    <t>AFTS23/0000417</t>
  </si>
  <si>
    <t>AFTS23/0000390</t>
  </si>
  <si>
    <t>AFTS23/0000403</t>
  </si>
  <si>
    <t>AFTS23/0000412</t>
  </si>
  <si>
    <t>AFTS23/0000400</t>
  </si>
  <si>
    <t>AFTS23/0000408</t>
  </si>
  <si>
    <t>AFTS23/0000419</t>
  </si>
  <si>
    <t>AUE23/0001127</t>
  </si>
  <si>
    <t>AFTS23/0000423</t>
  </si>
  <si>
    <t>AFTS23/0000407</t>
  </si>
  <si>
    <t>AFTS23/0000418</t>
  </si>
  <si>
    <t>AFTS23/0000380</t>
  </si>
  <si>
    <t>AUE23/0001126</t>
  </si>
  <si>
    <t>FTS23/0000921</t>
  </si>
  <si>
    <t>FTS23/0000978</t>
  </si>
  <si>
    <t>FTS23/0000952</t>
  </si>
  <si>
    <t>AFTS23/0000379</t>
  </si>
  <si>
    <t>AVU23/0000173</t>
  </si>
  <si>
    <t>AVU23/0000172</t>
  </si>
  <si>
    <t>AVU23/0000174</t>
  </si>
  <si>
    <t>姚雄现金收款375.89</t>
  </si>
  <si>
    <t>姚雄现金收款375.89</t>
    <phoneticPr fontId="61" type="noConversion"/>
  </si>
  <si>
    <t>姚雄现金退款0.9</t>
    <phoneticPr fontId="61" type="noConversion"/>
  </si>
  <si>
    <r>
      <t xml:space="preserve">FENGHUO COMERCIO S.L </t>
    </r>
    <r>
      <rPr>
        <sz val="11"/>
        <rFont val="宋体"/>
        <family val="3"/>
        <charset val="134"/>
      </rPr>
      <t>烽火</t>
    </r>
    <phoneticPr fontId="61" type="noConversion"/>
  </si>
  <si>
    <t>孙岩成现金收款</t>
    <phoneticPr fontId="15" type="noConversion"/>
  </si>
  <si>
    <r>
      <t xml:space="preserve">TECCOVA 67-A S.L </t>
    </r>
    <r>
      <rPr>
        <sz val="11"/>
        <rFont val="宋体"/>
        <family val="3"/>
        <charset val="134"/>
      </rPr>
      <t>巴基斯坦人</t>
    </r>
    <phoneticPr fontId="15" type="noConversion"/>
  </si>
  <si>
    <t>孙岩成现金收款13660</t>
    <phoneticPr fontId="15" type="noConversion"/>
  </si>
  <si>
    <t>盛杰
现金收款2645</t>
    <phoneticPr fontId="69" type="noConversion"/>
  </si>
  <si>
    <t>银行</t>
    <phoneticPr fontId="15" type="noConversion"/>
  </si>
  <si>
    <r>
      <t xml:space="preserve">AMERICA YUAN S.L.U </t>
    </r>
    <r>
      <rPr>
        <sz val="11"/>
        <rFont val="宋体"/>
        <family val="3"/>
        <charset val="134"/>
      </rPr>
      <t>上海人</t>
    </r>
    <phoneticPr fontId="15" type="noConversion"/>
  </si>
  <si>
    <t>盛杰
现金收款
2732</t>
    <phoneticPr fontId="15" type="noConversion"/>
  </si>
  <si>
    <r>
      <t xml:space="preserve">DOS HERMANAS STYLE SOL S.L </t>
    </r>
    <r>
      <rPr>
        <sz val="11"/>
        <rFont val="宋体"/>
        <family val="3"/>
        <charset val="134"/>
      </rPr>
      <t>润达</t>
    </r>
    <phoneticPr fontId="15" type="noConversion"/>
  </si>
  <si>
    <t>HONG DA CHINA S.L  马拉加宏达</t>
  </si>
  <si>
    <t>B72494727</t>
  </si>
  <si>
    <t>MADE IN CHINA 2022 S.L 米克</t>
    <phoneticPr fontId="15" type="noConversion"/>
  </si>
  <si>
    <t>AFTS23/0000383</t>
    <phoneticPr fontId="15" type="noConversion"/>
  </si>
  <si>
    <t>HAO GUO WANG</t>
  </si>
  <si>
    <t>AUE22/0001319</t>
  </si>
  <si>
    <t>AUE22/0001562</t>
  </si>
  <si>
    <t>FTS23/0001054</t>
  </si>
  <si>
    <t>其他抵扣</t>
    <phoneticPr fontId="15" type="noConversion"/>
  </si>
  <si>
    <t>DECO FORTUNA MALLORCA S.L</t>
  </si>
  <si>
    <t>FTS23/0000645</t>
  </si>
  <si>
    <t>FTS23/0001041</t>
  </si>
  <si>
    <t>MERCA CASA BALEAR S.L</t>
  </si>
  <si>
    <t>AUE21/0001732</t>
  </si>
  <si>
    <t>AUE21/0001733</t>
  </si>
  <si>
    <t>AUE21/0001734</t>
  </si>
  <si>
    <t>AUE21/0001735</t>
  </si>
  <si>
    <t>AUE21/0001736</t>
  </si>
  <si>
    <t>AUE21/0001742</t>
  </si>
  <si>
    <t>UE21/0001494</t>
  </si>
  <si>
    <t>UE22/0000085</t>
  </si>
  <si>
    <t>AUE22/0001418</t>
  </si>
  <si>
    <t>AFTS22/0000189</t>
  </si>
  <si>
    <t>FTS23/0000125</t>
  </si>
  <si>
    <t>AFTS23/0000442</t>
  </si>
  <si>
    <t>AUE23/0001185</t>
  </si>
  <si>
    <t>FTS23/0001018</t>
  </si>
  <si>
    <t>FTS23/0001019</t>
  </si>
  <si>
    <t>UE23/0000910</t>
  </si>
  <si>
    <t>FTS23/0001034</t>
  </si>
  <si>
    <t>物料单</t>
    <phoneticPr fontId="15" type="noConversion"/>
  </si>
  <si>
    <t>现金</t>
    <phoneticPr fontId="15" type="noConversion"/>
  </si>
  <si>
    <t>银行</t>
    <phoneticPr fontId="15" type="noConversion"/>
  </si>
  <si>
    <t>FTS23/0000991</t>
  </si>
  <si>
    <t>FTS23/0001030</t>
  </si>
  <si>
    <t>AUE23/0001191</t>
  </si>
  <si>
    <t>FTS23/0001035</t>
  </si>
  <si>
    <t>UE23/0000916</t>
  </si>
  <si>
    <t>AUE23/01132 客户转账FUTURE换*AA*</t>
  </si>
  <si>
    <t>UE23/0000870 汇款FUTURE开*AA*</t>
  </si>
  <si>
    <t>UE23/0000870 汇款FUTURE 开*AA*</t>
  </si>
  <si>
    <t>FTS23/0001053</t>
  </si>
  <si>
    <t>FTS23/0000984</t>
  </si>
  <si>
    <t>FTS23/0001020</t>
  </si>
  <si>
    <t>FTS23/0001032</t>
  </si>
  <si>
    <t>AUE23/0001163</t>
  </si>
  <si>
    <t>AUE23/0001164</t>
  </si>
  <si>
    <t>AFTS23/0000439</t>
  </si>
  <si>
    <t>AUE23/0001208</t>
  </si>
  <si>
    <t>AUE23/0001209</t>
  </si>
  <si>
    <t>帮威风代购钢化膜，8300.6欧含税（备注上写清楚 ，钢化膜6000张 6780欧，运费80，iva 1440.6）。另开外账*AA*</t>
  </si>
  <si>
    <t>AUE23/0001175</t>
  </si>
  <si>
    <t>AFTS23/0000470</t>
  </si>
  <si>
    <t>AFTS23/0000440</t>
  </si>
  <si>
    <t>AUE23/0001182</t>
  </si>
  <si>
    <t>AUE23/0001184</t>
  </si>
  <si>
    <t>UE23/0000911</t>
  </si>
  <si>
    <t>FTS23/0001033</t>
  </si>
  <si>
    <t>AFTS23/0000433</t>
  </si>
  <si>
    <t>AFTS23/0000434</t>
  </si>
  <si>
    <t>AFTS23/0000474</t>
  </si>
  <si>
    <t>AFTS23/0000475</t>
  </si>
  <si>
    <t>AUE23/0001214</t>
  </si>
  <si>
    <t>AUE23/0001215</t>
  </si>
  <si>
    <t>AUE23/0001216</t>
  </si>
  <si>
    <t>AUE23/0001217</t>
  </si>
  <si>
    <t>AUE23/0001218</t>
  </si>
  <si>
    <t>UE23/0000934</t>
  </si>
  <si>
    <t>UE23/0000935</t>
  </si>
  <si>
    <t>AFTS23/0000469</t>
  </si>
  <si>
    <t>AUE23/0001186</t>
  </si>
  <si>
    <t>AUE23/0001187</t>
  </si>
  <si>
    <t>AFTS23/0000450</t>
  </si>
  <si>
    <t>AFTS23/0000473</t>
  </si>
  <si>
    <t>AUE23/0001212</t>
  </si>
  <si>
    <t>AUE23/0001213</t>
  </si>
  <si>
    <t>AFTS23/0000472</t>
  </si>
  <si>
    <t>AUE23/0001210</t>
  </si>
  <si>
    <t>AUE23/0001211</t>
  </si>
  <si>
    <t>AFTS23/0000425</t>
  </si>
  <si>
    <t>AFTS23/0000431</t>
  </si>
  <si>
    <t>AFTS23/0000463</t>
  </si>
  <si>
    <t>FTS23/0000990</t>
  </si>
  <si>
    <t>FTS23/0001008</t>
  </si>
  <si>
    <t>FTS23/0001036</t>
  </si>
  <si>
    <t>FTS23/0001039</t>
  </si>
  <si>
    <t>FTS23/0001040</t>
  </si>
  <si>
    <t>FTS23/0001037</t>
  </si>
  <si>
    <t>AFTS23/0000428</t>
  </si>
  <si>
    <t>银行</t>
    <phoneticPr fontId="15" type="noConversion"/>
  </si>
  <si>
    <r>
      <t xml:space="preserve">ARBOL DE GINKGO S.L </t>
    </r>
    <r>
      <rPr>
        <sz val="11"/>
        <rFont val="宋体"/>
        <family val="3"/>
        <charset val="134"/>
      </rPr>
      <t>李姐</t>
    </r>
    <r>
      <rPr>
        <sz val="11"/>
        <rFont val="Consolas"/>
        <family val="3"/>
      </rPr>
      <t xml:space="preserve"> </t>
    </r>
    <r>
      <rPr>
        <sz val="11"/>
        <rFont val="宋体"/>
        <family val="3"/>
        <charset val="134"/>
      </rPr>
      <t>威力百货</t>
    </r>
    <phoneticPr fontId="15" type="noConversion"/>
  </si>
  <si>
    <t>盛杰
现金收款
3775.4</t>
    <phoneticPr fontId="15" type="noConversion"/>
  </si>
  <si>
    <t>陆夏小华现金收款</t>
    <phoneticPr fontId="15" type="noConversion"/>
  </si>
  <si>
    <r>
      <t xml:space="preserve">AVIVO DREAMSKY S.L </t>
    </r>
    <r>
      <rPr>
        <sz val="11"/>
        <rFont val="宋体"/>
        <family val="3"/>
        <charset val="134"/>
      </rPr>
      <t>中国龙门市</t>
    </r>
    <phoneticPr fontId="15" type="noConversion"/>
  </si>
  <si>
    <t>陆夏小华
现金收款</t>
    <phoneticPr fontId="15" type="noConversion"/>
  </si>
  <si>
    <t>陆夏小华
现金收款4847.82</t>
    <phoneticPr fontId="15" type="noConversion"/>
  </si>
  <si>
    <t>陆夏小华
现金收款2726</t>
    <phoneticPr fontId="15" type="noConversion"/>
  </si>
  <si>
    <t>陆夏小华
现金收款
1890</t>
    <phoneticPr fontId="15" type="noConversion"/>
  </si>
  <si>
    <t>陆夏小华
现金收款</t>
    <phoneticPr fontId="15" type="noConversion"/>
  </si>
  <si>
    <t>发货日期</t>
    <phoneticPr fontId="63" type="noConversion"/>
  </si>
  <si>
    <t>银行</t>
    <phoneticPr fontId="63" type="noConversion"/>
  </si>
  <si>
    <t>银行</t>
    <phoneticPr fontId="63" type="noConversion"/>
  </si>
  <si>
    <t>陆夏小华
现金收款</t>
    <phoneticPr fontId="15" type="noConversion"/>
  </si>
  <si>
    <t>陆夏小华
现金收款
825</t>
    <phoneticPr fontId="15" type="noConversion"/>
  </si>
  <si>
    <t>陆夏小华
现金收款</t>
    <phoneticPr fontId="15" type="noConversion"/>
  </si>
  <si>
    <t>AFTS23/0000484</t>
  </si>
  <si>
    <t>AUE23/0001227</t>
  </si>
  <si>
    <t>AUE23/0001228</t>
  </si>
  <si>
    <t>AFTS23/0000488</t>
  </si>
  <si>
    <t>AUE23/0001238</t>
  </si>
  <si>
    <t>AFTS23/0000499</t>
  </si>
  <si>
    <t>AFTS23/0000490</t>
  </si>
  <si>
    <t>AFTS23/0000485</t>
  </si>
  <si>
    <t>AFTS23/0000495</t>
  </si>
  <si>
    <t>AFTS23/0000498</t>
  </si>
  <si>
    <t>AFTS23/0000514</t>
  </si>
  <si>
    <t>AFTS23/0000496</t>
  </si>
  <si>
    <t>AFTS23/0000515</t>
  </si>
  <si>
    <t>AFTS23/0000487</t>
  </si>
  <si>
    <t>419214（44个）原价折后9.7125，一口价7 992900（17个）原价折后10.463，一口价5 992894 （17个）原价折后10.463，一口价5 。差价单做一个</t>
  </si>
  <si>
    <t>AFTS23/0000509</t>
  </si>
  <si>
    <t>AFTS23/0000510</t>
  </si>
  <si>
    <t>AUE23/0001265</t>
  </si>
  <si>
    <t>AUE23/0001266</t>
  </si>
  <si>
    <t>AUE23/0001267</t>
  </si>
  <si>
    <t>AUE23/0001268</t>
  </si>
  <si>
    <t>UE23/0000962</t>
  </si>
  <si>
    <t>UE23/0000963</t>
  </si>
  <si>
    <t>UE23/0000964</t>
  </si>
  <si>
    <t>UE23/0000965</t>
  </si>
  <si>
    <t>UE23/0000966</t>
  </si>
  <si>
    <t>UE23/0000968</t>
  </si>
  <si>
    <t>AUE23/0001273</t>
  </si>
  <si>
    <t>AUE23/0001274</t>
  </si>
  <si>
    <t>AUE23/0001275</t>
  </si>
  <si>
    <t>AUE23/0001276</t>
  </si>
  <si>
    <t>AUE23/0001277</t>
  </si>
  <si>
    <t>AUE23/0001278</t>
  </si>
  <si>
    <t>AUE23/0001279</t>
  </si>
  <si>
    <t>AUE23/0001280</t>
  </si>
  <si>
    <t>AFTS23/0000512</t>
  </si>
  <si>
    <t>MADE IN CHINA 2022 S.L 米克</t>
  </si>
  <si>
    <t>AFTS23/0000491</t>
  </si>
  <si>
    <t>AFTS23/0000476</t>
  </si>
  <si>
    <t>998735（24个）原价 2.8*0.75＝2.1，现在一口价1.5</t>
  </si>
  <si>
    <t>FTS23/0001065</t>
  </si>
  <si>
    <t>FTS23/0001078</t>
  </si>
  <si>
    <t>FTS23/0001082</t>
  </si>
  <si>
    <t>FTS23/0001100</t>
  </si>
  <si>
    <t>AUE23/0001222</t>
  </si>
  <si>
    <t>AFTS23/0000477</t>
  </si>
  <si>
    <t>AFTS23/0000478</t>
  </si>
  <si>
    <t>AVU23/0000193</t>
  </si>
  <si>
    <t>盛杰
现金收款</t>
    <phoneticPr fontId="15" type="noConversion"/>
  </si>
  <si>
    <t>盛杰
现金收款</t>
    <phoneticPr fontId="15" type="noConversion"/>
  </si>
  <si>
    <r>
      <t xml:space="preserve">ESON IMPORT EXPORT S.L </t>
    </r>
    <r>
      <rPr>
        <sz val="11"/>
        <rFont val="宋体"/>
        <family val="3"/>
        <charset val="134"/>
      </rPr>
      <t>百货城</t>
    </r>
    <phoneticPr fontId="15" type="noConversion"/>
  </si>
  <si>
    <t>银行</t>
    <phoneticPr fontId="15" type="noConversion"/>
  </si>
  <si>
    <t>黄子航
现金收款
8285</t>
    <phoneticPr fontId="15" type="noConversion"/>
  </si>
  <si>
    <t>STOCK IN SPAIN ELECTRONICS S.L 步步高</t>
    <phoneticPr fontId="15" type="noConversion"/>
  </si>
  <si>
    <t>FTS23/0001139</t>
  </si>
  <si>
    <t>FTS23/0001138</t>
  </si>
  <si>
    <t>AFTS23/0000516</t>
  </si>
  <si>
    <t>AFTS23/0000518</t>
  </si>
  <si>
    <t>AFTS23/0000520</t>
  </si>
  <si>
    <t>AUE23/0001290</t>
  </si>
  <si>
    <t>AFTS23/0000536</t>
  </si>
  <si>
    <t>AFTS23/0000521</t>
  </si>
  <si>
    <t>AFTS23/0000529</t>
  </si>
  <si>
    <t>AFTS23/0000532</t>
  </si>
  <si>
    <t>AFTS23/0000526</t>
  </si>
  <si>
    <t>AFTS23/0000541</t>
  </si>
  <si>
    <t>AFTS23/0000544</t>
  </si>
  <si>
    <t>AFTS23/0000545</t>
  </si>
  <si>
    <t>AFTS23/0000546</t>
  </si>
  <si>
    <t>AFTS23/0000547</t>
  </si>
  <si>
    <t>AFTS23/0000548</t>
  </si>
  <si>
    <t>AFTS23/0000549</t>
  </si>
  <si>
    <t>AFTS23/0000550</t>
  </si>
  <si>
    <t>AFTS23/0000551</t>
  </si>
  <si>
    <t>AFTS23/0000552</t>
  </si>
  <si>
    <t>AFTS23/0000553</t>
  </si>
  <si>
    <t>AFTS23/0000554</t>
  </si>
  <si>
    <t>AUE23/0001299</t>
  </si>
  <si>
    <t>UE23/0001003</t>
  </si>
  <si>
    <t>物料</t>
    <phoneticPr fontId="15" type="noConversion"/>
  </si>
  <si>
    <t>UE23/0775红冲转ALBARAN单</t>
  </si>
  <si>
    <t>AFTS23/0000555</t>
  </si>
  <si>
    <t>AFTS23/0000557</t>
  </si>
  <si>
    <t>AUE23/0001303</t>
  </si>
  <si>
    <t>AFTS23/0000528</t>
  </si>
  <si>
    <t>AFTS23/0000535</t>
  </si>
  <si>
    <t>AFTS23/0000531</t>
  </si>
  <si>
    <t>AFTS23/0000530</t>
  </si>
  <si>
    <t>AFTS23/0000524</t>
  </si>
  <si>
    <t>AFTS23/0000540</t>
  </si>
  <si>
    <t>AFTS23/0000556</t>
  </si>
  <si>
    <t>AUE23/0001302</t>
  </si>
  <si>
    <t>AFTS23/0000539</t>
  </si>
  <si>
    <t>AFTS23/0000538</t>
  </si>
  <si>
    <t>FTS23/0001122</t>
  </si>
  <si>
    <t>FTS23/0001135</t>
  </si>
  <si>
    <t>FTS23/0001140</t>
  </si>
  <si>
    <t>FTS23/0001145</t>
  </si>
  <si>
    <t>FTS23/0001154</t>
  </si>
  <si>
    <t>FTS23/0001157</t>
  </si>
  <si>
    <t>FTS23/0001158</t>
  </si>
  <si>
    <t>AVU23/0000201</t>
  </si>
  <si>
    <t>银行</t>
    <phoneticPr fontId="15" type="noConversion"/>
  </si>
  <si>
    <r>
      <t xml:space="preserve">WE PHONE 2016 S.L </t>
    </r>
    <r>
      <rPr>
        <sz val="11"/>
        <rFont val="宋体"/>
        <family val="3"/>
        <charset val="134"/>
      </rPr>
      <t>威锋电子</t>
    </r>
    <phoneticPr fontId="15" type="noConversion"/>
  </si>
  <si>
    <t>盛杰
现金收款</t>
    <phoneticPr fontId="15" type="noConversion"/>
  </si>
  <si>
    <t>盛杰
现金退款</t>
    <phoneticPr fontId="15" type="noConversion"/>
  </si>
  <si>
    <r>
      <t xml:space="preserve">SANSHENG TECNOLOGIA S.L </t>
    </r>
    <r>
      <rPr>
        <sz val="11"/>
        <rFont val="宋体"/>
        <family val="3"/>
        <charset val="134"/>
      </rPr>
      <t>三盛电子</t>
    </r>
    <phoneticPr fontId="15" type="noConversion"/>
  </si>
  <si>
    <t>陆夏小华
现金退款</t>
    <phoneticPr fontId="15" type="noConversion"/>
  </si>
  <si>
    <t>2023/6/9
陆夏小华
现金收款
2515</t>
    <phoneticPr fontId="15" type="noConversion"/>
  </si>
  <si>
    <t>2023/6/9
陆夏小华现金收款2515</t>
    <phoneticPr fontId="15" type="noConversion"/>
  </si>
  <si>
    <t>其他抵扣</t>
    <phoneticPr fontId="15" type="noConversion"/>
  </si>
  <si>
    <t>其他抵扣</t>
    <phoneticPr fontId="15" type="noConversion"/>
  </si>
  <si>
    <t>银行</t>
    <phoneticPr fontId="15" type="noConversion"/>
  </si>
  <si>
    <t>陆夏小华现金收款</t>
    <phoneticPr fontId="15" type="noConversion"/>
  </si>
  <si>
    <t>盛杰现金收款1015</t>
    <phoneticPr fontId="69" type="noConversion"/>
  </si>
  <si>
    <t>支票存兑</t>
    <phoneticPr fontId="15" type="noConversion"/>
  </si>
  <si>
    <t>盛杰
现金收款3987</t>
    <phoneticPr fontId="15" type="noConversion"/>
  </si>
  <si>
    <t>AFTS23/0000569</t>
  </si>
  <si>
    <t>FTS23/0948 最初*AA*错误含税1848，MOSCA按照1527.27金额报关，*AA*PS给了客户见附件，具体*AA*以PS的*AA*为准。</t>
  </si>
  <si>
    <t>AFTS23/0000562</t>
  </si>
  <si>
    <t>AFTS23/0000563</t>
  </si>
  <si>
    <t>AFTS23/0000564</t>
  </si>
  <si>
    <t>AFTS23/0000565</t>
  </si>
  <si>
    <t>AUE23/0001309</t>
  </si>
  <si>
    <t>AUE23/0001330</t>
  </si>
  <si>
    <t>FTS23/0001195</t>
  </si>
  <si>
    <t>AFTS23/0000559</t>
  </si>
  <si>
    <t>AFTS23/0000576</t>
  </si>
  <si>
    <t>AFTS23/0000577</t>
  </si>
  <si>
    <t>FTS23/0001165</t>
  </si>
  <si>
    <t>AFTS23/0000572</t>
  </si>
  <si>
    <t>AFTS23/0000566</t>
  </si>
  <si>
    <t>AFTS23/0000558</t>
  </si>
  <si>
    <t>AFTS23/0000575</t>
  </si>
  <si>
    <t>AFTS23/0000582</t>
  </si>
  <si>
    <t>AFTS23/0000570</t>
  </si>
  <si>
    <t>265个FN9151的差价单，按一口价3€做。原价5.35-25折扣，（5.35*0.75-3.00）*265=268.31</t>
  </si>
  <si>
    <t>AFTS23/0000583</t>
  </si>
  <si>
    <t>AFTS23/0000573</t>
  </si>
  <si>
    <t>AFTS23/0000587</t>
  </si>
  <si>
    <t>AFTS23/0000568</t>
  </si>
  <si>
    <t>AFTS23/0000581</t>
  </si>
  <si>
    <t>AFTS23/0000584</t>
  </si>
  <si>
    <t>AFTS23/0000560</t>
  </si>
  <si>
    <t>运输贴纸专用，暂存库的HC9389 白色-993891-384个全部发走，用这个作为运输贴纸</t>
  </si>
  <si>
    <t>AUE23/0001331</t>
  </si>
  <si>
    <t>AFTS23/0000588</t>
  </si>
  <si>
    <t>AFTS23/0000383 里面有一个产品419214更改为一口价7欧 50*12.95*0.75-50*7=485.625-350=135.625 差价金额为135.625</t>
  </si>
  <si>
    <t>FTS23/0001178</t>
  </si>
  <si>
    <t>FTS23/0001181</t>
  </si>
  <si>
    <t>FTS23/0001196</t>
  </si>
  <si>
    <t>FTS23/0001197</t>
  </si>
  <si>
    <t>银行</t>
    <phoneticPr fontId="15" type="noConversion"/>
  </si>
  <si>
    <t>二批/华/Chollos el barato/无中包/7同上一张一起发，这张不收费，同GXSD202304140015一起发</t>
    <phoneticPr fontId="78" type="noConversion"/>
  </si>
  <si>
    <t>AFTS23/0000601</t>
  </si>
  <si>
    <t>AFTS23/0000626</t>
  </si>
  <si>
    <t>AFTS23/0569和AFTS23/0395重复</t>
  </si>
  <si>
    <t>AFTS23/0000622</t>
  </si>
  <si>
    <t>AFTS23/0000630</t>
  </si>
  <si>
    <t>AFTS23/0000592</t>
  </si>
  <si>
    <t>AFTS23/0000606</t>
  </si>
  <si>
    <t>AFTS23/0000638</t>
  </si>
  <si>
    <t>AFTS23/00000606 负差价金额为：240*0.7-240*0.65=168-156=12</t>
  </si>
  <si>
    <t>AFTS23/0000611</t>
  </si>
  <si>
    <t>AFTS23/0000623</t>
  </si>
  <si>
    <t>AFTS23/0000637</t>
  </si>
  <si>
    <t>AFTS23/0000639</t>
  </si>
  <si>
    <t>AFTS23/0000614</t>
  </si>
  <si>
    <t>AFTS23/0000615</t>
  </si>
  <si>
    <t>AUE23/0001347</t>
  </si>
  <si>
    <t>AFTS23/0000597</t>
  </si>
  <si>
    <t>AUE23/0001337</t>
  </si>
  <si>
    <t>AFTS23/0000636</t>
  </si>
  <si>
    <t>AFTS23/0000640</t>
  </si>
  <si>
    <t>AFTS23/0000602</t>
  </si>
  <si>
    <t>AFTS23/0000625</t>
  </si>
  <si>
    <t>AFTS23/0000591</t>
  </si>
  <si>
    <t>AFTS23/0000629</t>
  </si>
  <si>
    <t>AFTS23/0000599</t>
  </si>
  <si>
    <t>AFTS23/0000609</t>
  </si>
  <si>
    <t>AUE23/0001339</t>
  </si>
  <si>
    <t>AFTS23/0000590</t>
  </si>
  <si>
    <t>AFTS23/0000604</t>
  </si>
  <si>
    <t>AFTS23/0000635</t>
  </si>
  <si>
    <t>AFTS23/0000598</t>
  </si>
  <si>
    <t>AFTS23/0000628</t>
  </si>
  <si>
    <t>AUE23/0001338</t>
  </si>
  <si>
    <t>AFTS23/0000594</t>
  </si>
  <si>
    <t>AFTS23/0000595</t>
  </si>
  <si>
    <t>AFTS23/0000631</t>
  </si>
  <si>
    <t>AFTS23/0000632</t>
  </si>
  <si>
    <t>AFTS23/0000633</t>
  </si>
  <si>
    <t>AFTS23/0000600</t>
  </si>
  <si>
    <t>AFTS23/0000603</t>
  </si>
  <si>
    <t>FTS23/0001202</t>
  </si>
  <si>
    <t>FTS23/0001206</t>
  </si>
  <si>
    <t>FTS23/0001214</t>
  </si>
  <si>
    <t>FTS23/0001215</t>
  </si>
  <si>
    <t>FTS23/0001219</t>
  </si>
  <si>
    <t>FTS23/0001239</t>
  </si>
  <si>
    <t>FTS23/0001240</t>
  </si>
  <si>
    <t>FTS23/0001241</t>
  </si>
  <si>
    <t>FTS23/0001242</t>
  </si>
  <si>
    <t>FTS23/0001248</t>
  </si>
  <si>
    <t>AUE23/0001348</t>
  </si>
  <si>
    <t>AVU23/0000211</t>
  </si>
  <si>
    <t>AVU23/0000212</t>
  </si>
  <si>
    <t>林显斌现金收款1980.7</t>
    <phoneticPr fontId="15" type="noConversion"/>
  </si>
  <si>
    <t>其他抵扣</t>
    <phoneticPr fontId="15" type="noConversion"/>
  </si>
  <si>
    <t>银行</t>
    <phoneticPr fontId="15" type="noConversion"/>
  </si>
  <si>
    <t xml:space="preserve">陆夏小华
现金退款
</t>
    <phoneticPr fontId="15" type="noConversion"/>
  </si>
  <si>
    <r>
      <t xml:space="preserve">XHC BRICO 2019 S.L </t>
    </r>
    <r>
      <rPr>
        <sz val="11"/>
        <rFont val="宋体"/>
        <family val="3"/>
        <charset val="134"/>
      </rPr>
      <t>枫叶</t>
    </r>
    <phoneticPr fontId="15" type="noConversion"/>
  </si>
  <si>
    <t>陆夏小华
现金收款1633.65（2-1）</t>
    <phoneticPr fontId="15" type="noConversion"/>
  </si>
  <si>
    <t>陆夏小华
现金收款1633.65（2-2）</t>
    <phoneticPr fontId="15" type="noConversion"/>
  </si>
  <si>
    <t>陆夏小华
现金收款4473</t>
    <phoneticPr fontId="15" type="noConversion"/>
  </si>
  <si>
    <t>陆夏小华
现金收款</t>
    <phoneticPr fontId="15" type="noConversion"/>
  </si>
  <si>
    <t>陆夏小华
现金收款
3767</t>
    <phoneticPr fontId="15" type="noConversion"/>
  </si>
  <si>
    <t>孙岩成现金收款994</t>
    <phoneticPr fontId="15" type="noConversion"/>
  </si>
  <si>
    <t>孙岩成
现金收款
3419</t>
    <phoneticPr fontId="70" type="noConversion"/>
  </si>
  <si>
    <t>盛杰现金收款10000</t>
    <phoneticPr fontId="15" type="noConversion"/>
  </si>
  <si>
    <t>盛杰
现金收款1772</t>
    <phoneticPr fontId="15" type="noConversion"/>
  </si>
  <si>
    <t>盛杰现金收款</t>
    <phoneticPr fontId="63" type="noConversion"/>
  </si>
  <si>
    <t>盛杰现金收款1151</t>
    <phoneticPr fontId="15" type="noConversion"/>
  </si>
  <si>
    <t>盛杰
现金收款2257.77</t>
    <phoneticPr fontId="15" type="noConversion"/>
  </si>
  <si>
    <t>B16986770</t>
  </si>
  <si>
    <t>CASH ANTORCHA S.L.U</t>
  </si>
  <si>
    <t>施小东</t>
  </si>
  <si>
    <t>施小东</t>
    <phoneticPr fontId="15" type="noConversion"/>
  </si>
  <si>
    <t>CASH ANTORCHA S.L.U</t>
    <phoneticPr fontId="15" type="noConversion"/>
  </si>
  <si>
    <t>XINHE EUROPE S.L</t>
    <phoneticPr fontId="15" type="noConversion"/>
  </si>
  <si>
    <t>林凯</t>
    <phoneticPr fontId="15" type="noConversion"/>
  </si>
  <si>
    <t>YONHOO ASTUR C.B 永和</t>
    <phoneticPr fontId="15" type="noConversion"/>
  </si>
  <si>
    <t>孙岩成</t>
  </si>
  <si>
    <t>AFTS23/0000685</t>
  </si>
  <si>
    <t>AFTS23/0000665</t>
  </si>
  <si>
    <t>AFTS23/0000673</t>
  </si>
  <si>
    <t>AFTS23/0000678</t>
  </si>
  <si>
    <t>AUE23/0001393</t>
  </si>
  <si>
    <t>AFTS23/0000684</t>
  </si>
  <si>
    <t>AUE23/0001401</t>
  </si>
  <si>
    <t>AFTS23/0000686</t>
  </si>
  <si>
    <t>AFTS23/0000656</t>
  </si>
  <si>
    <t>AFTS23/0000658</t>
  </si>
  <si>
    <t>AFTS23/0000642</t>
  </si>
  <si>
    <t>AFTS23/0000666</t>
  </si>
  <si>
    <t>AFTS23/0000641</t>
  </si>
  <si>
    <t>AFTS23/0000663</t>
  </si>
  <si>
    <t>AFTS23/0000664</t>
  </si>
  <si>
    <t>AUE23/0001365</t>
  </si>
  <si>
    <t>AUE23/0001366</t>
  </si>
  <si>
    <t>AUE23/0001367</t>
  </si>
  <si>
    <t>AUE23/0001368</t>
  </si>
  <si>
    <t>AUE23/0001369</t>
  </si>
  <si>
    <t>AUE23/0001370</t>
  </si>
  <si>
    <t>AUE23/0001371</t>
  </si>
  <si>
    <t>UE23/0001067</t>
  </si>
  <si>
    <t>UE23/0001068</t>
  </si>
  <si>
    <t>UE23/0001069</t>
  </si>
  <si>
    <t>UE23/0001070</t>
  </si>
  <si>
    <t>AUE23/0001363</t>
  </si>
  <si>
    <t>FTS23/0001272</t>
  </si>
  <si>
    <t>FTS23/0001275</t>
  </si>
  <si>
    <t>FTS23/0001278</t>
  </si>
  <si>
    <t>FTS23/0001297</t>
  </si>
  <si>
    <t>FTS23/0001324</t>
  </si>
  <si>
    <t>FTS23/0001327</t>
  </si>
  <si>
    <t>FTS23/0001328</t>
  </si>
  <si>
    <t>FTS23/0001329</t>
  </si>
  <si>
    <t>FTS23/0001340</t>
  </si>
  <si>
    <t>AUE23/0001403</t>
  </si>
  <si>
    <t>AUE23/0738 802 831 872 956 953 月结补5%的折扣</t>
  </si>
  <si>
    <t>AFTS23/0000671</t>
  </si>
  <si>
    <t>AFTS23/0000643</t>
  </si>
  <si>
    <t>AVU23/0000218</t>
  </si>
  <si>
    <t>实际合计欠款</t>
    <phoneticPr fontId="15" type="noConversion"/>
  </si>
  <si>
    <t>林晓彬现金收款</t>
    <phoneticPr fontId="15" type="noConversion"/>
  </si>
  <si>
    <t>盛杰
现金收款</t>
    <phoneticPr fontId="68" type="noConversion"/>
  </si>
  <si>
    <t>盛杰
现金收款</t>
    <phoneticPr fontId="15" type="noConversion"/>
  </si>
  <si>
    <t>林凯现金收款</t>
    <phoneticPr fontId="15" type="noConversion"/>
  </si>
  <si>
    <t>岩成二批</t>
  </si>
  <si>
    <t>岩成二批</t>
    <phoneticPr fontId="15" type="noConversion"/>
  </si>
  <si>
    <t>KASANA SYSTEM SUNSHINE S.L</t>
    <phoneticPr fontId="15" type="noConversion"/>
  </si>
  <si>
    <t>UNIFORZ TRADE S.L 齐力</t>
    <phoneticPr fontId="15" type="noConversion"/>
  </si>
  <si>
    <t>COMERCIO GRAN TIERRA S.L  大地</t>
    <phoneticPr fontId="15" type="noConversion"/>
  </si>
  <si>
    <t>IUNTECH GALICIA S.L 齐力分公司</t>
    <phoneticPr fontId="15" type="noConversion"/>
  </si>
  <si>
    <t>FTS23/0001363</t>
  </si>
  <si>
    <t>AFTS23/0000705</t>
  </si>
  <si>
    <t>FTS23/0001368</t>
  </si>
  <si>
    <t>AUE23/0001406</t>
  </si>
  <si>
    <t>FTS23/0001375</t>
  </si>
  <si>
    <t>AFTS23/0000689</t>
  </si>
  <si>
    <t>AFTS23/0000704</t>
  </si>
  <si>
    <t>AFTS23/0000706</t>
  </si>
  <si>
    <t>AFTS23/0000701</t>
  </si>
  <si>
    <t>AFTS23/0000703</t>
  </si>
  <si>
    <t>AFTS23/0000719</t>
  </si>
  <si>
    <t>AFTS23/0000732</t>
  </si>
  <si>
    <t>FN1509电扇给客人一口价，做差价单,18*16.9*0.75-18*8=228.15-144=84.15</t>
  </si>
  <si>
    <t>FTS23/0001357</t>
  </si>
  <si>
    <t>AFTS23/0000721</t>
  </si>
  <si>
    <t>FTS23/0001402</t>
  </si>
  <si>
    <t>AFTS23/0000724</t>
  </si>
  <si>
    <t>AFTS23/0000712</t>
  </si>
  <si>
    <t>AFTS23/0000730</t>
  </si>
  <si>
    <t>AFTS23/0000697</t>
  </si>
  <si>
    <t>AFTS23/0000691</t>
  </si>
  <si>
    <t>AFTS23/0000625 992733这个产品开个差价单 9.9*60*0.7-6*60=415.8-360=55.8</t>
  </si>
  <si>
    <t>AFTS23/0000726</t>
  </si>
  <si>
    <t>AFTS23/0000698</t>
  </si>
  <si>
    <t>FTS23/0001358</t>
  </si>
  <si>
    <t>FTS23/0001377</t>
  </si>
  <si>
    <t>FTS23/0001387</t>
  </si>
  <si>
    <t>FTS23/0001389</t>
  </si>
  <si>
    <t>FTS23/0001393</t>
  </si>
  <si>
    <t>FTS23/0001407</t>
  </si>
  <si>
    <t>FTS23/0001408</t>
  </si>
  <si>
    <t>FTS23/0001409</t>
  </si>
  <si>
    <t>AUE23/0001409</t>
  </si>
  <si>
    <r>
      <t xml:space="preserve">J&amp;C REPARACIONES Y ACCEORIO DE MOVILES S.L </t>
    </r>
    <r>
      <rPr>
        <sz val="11"/>
        <rFont val="宋体"/>
        <family val="3"/>
        <charset val="134"/>
      </rPr>
      <t>超能</t>
    </r>
    <phoneticPr fontId="15" type="noConversion"/>
  </si>
  <si>
    <t>陆夏小华
现金收款</t>
    <phoneticPr fontId="15" type="noConversion"/>
  </si>
  <si>
    <t>陆夏小华
现金收款
1380</t>
    <phoneticPr fontId="15" type="noConversion"/>
  </si>
  <si>
    <t>陆夏小华
现金收款
16216</t>
    <phoneticPr fontId="15" type="noConversion"/>
  </si>
  <si>
    <t>支票存兑</t>
    <phoneticPr fontId="15" type="noConversion"/>
  </si>
  <si>
    <t>ROSA ROJO 2014 S.L</t>
    <phoneticPr fontId="15" type="noConversion"/>
  </si>
  <si>
    <t>IMPORTACION ORIENTAL EN VALENCIA S.L 东贸百货</t>
    <phoneticPr fontId="15" type="noConversion"/>
  </si>
  <si>
    <t>AUTOWEY168 S.L 一米百货</t>
    <phoneticPr fontId="15" type="noConversion"/>
  </si>
  <si>
    <t>WANG DA 2018 S.L 旺达百货</t>
    <phoneticPr fontId="15" type="noConversion"/>
  </si>
  <si>
    <t>TECCOVA 67-A S.L 巴基斯坦人</t>
    <phoneticPr fontId="15" type="noConversion"/>
  </si>
  <si>
    <t>NUEVA &amp; EUROPA 2015 S.L 海豪贸易</t>
    <phoneticPr fontId="15" type="noConversion"/>
  </si>
  <si>
    <t>EVE MON CROIS S.L. 欧玛特</t>
    <phoneticPr fontId="15" type="noConversion"/>
  </si>
  <si>
    <t>AVU23/0000239</t>
  </si>
  <si>
    <t>AVU23/0000240</t>
  </si>
  <si>
    <t>其他抵扣</t>
    <phoneticPr fontId="15" type="noConversion"/>
  </si>
  <si>
    <t>AVU23/0000046</t>
    <phoneticPr fontId="15" type="noConversion"/>
  </si>
  <si>
    <t>AFTS23/0000736</t>
  </si>
  <si>
    <t>AFTS23/0000745</t>
  </si>
  <si>
    <t>AFTS23/0000754</t>
  </si>
  <si>
    <t>AFTS23/0000757</t>
  </si>
  <si>
    <t>AFTS23/0000742</t>
  </si>
  <si>
    <t>AFTS23/0000743</t>
  </si>
  <si>
    <t>AUE23/0001442</t>
  </si>
  <si>
    <t>AFTS23/0000741</t>
  </si>
  <si>
    <t>AFTS23/0000747</t>
  </si>
  <si>
    <t>AUE23/0001444</t>
  </si>
  <si>
    <t>AFTS23/0000735</t>
  </si>
  <si>
    <t>FTS23/0001423</t>
  </si>
  <si>
    <t>AFTS23/0000753</t>
  </si>
  <si>
    <t>AUE23/0001448</t>
  </si>
  <si>
    <t>AFTS23/0000756</t>
  </si>
  <si>
    <t>FTS23/0001432</t>
  </si>
  <si>
    <t>FTS23/0001433</t>
  </si>
  <si>
    <t>FTS23/0001434</t>
  </si>
  <si>
    <t>FTS23/0001436</t>
  </si>
  <si>
    <t>FTS23/0001437</t>
  </si>
  <si>
    <t>FTS23/0001438</t>
  </si>
  <si>
    <t>AUE23/0001440</t>
  </si>
  <si>
    <t>AVU23/0000243</t>
  </si>
  <si>
    <t>盛杰现金收款903</t>
    <phoneticPr fontId="15" type="noConversion"/>
  </si>
  <si>
    <t>盛杰现金退款</t>
    <phoneticPr fontId="15" type="noConversion"/>
  </si>
  <si>
    <t>盛杰现金收款2169.54</t>
    <phoneticPr fontId="15" type="noConversion"/>
  </si>
  <si>
    <t>银行</t>
    <phoneticPr fontId="15" type="noConversion"/>
  </si>
  <si>
    <t>其他抵扣</t>
    <phoneticPr fontId="15" type="noConversion"/>
  </si>
  <si>
    <t>银行</t>
    <phoneticPr fontId="15" type="noConversion"/>
  </si>
  <si>
    <t>盛杰现金退款</t>
    <phoneticPr fontId="15" type="noConversion"/>
  </si>
  <si>
    <t>盛杰现金收款</t>
    <phoneticPr fontId="15" type="noConversion"/>
  </si>
  <si>
    <t>盛杰现金收款8748.64</t>
    <phoneticPr fontId="15" type="noConversion"/>
  </si>
  <si>
    <t>盛杰现金收款3371.28</t>
    <phoneticPr fontId="69" type="noConversion"/>
  </si>
  <si>
    <t>盛杰现金退款</t>
    <phoneticPr fontId="69" type="noConversion"/>
  </si>
  <si>
    <t>盛杰现金收款3010</t>
    <phoneticPr fontId="15" type="noConversion"/>
  </si>
  <si>
    <t>支票存兑</t>
    <phoneticPr fontId="15" type="noConversion"/>
  </si>
  <si>
    <t>支票存兑</t>
    <phoneticPr fontId="15" type="noConversion"/>
  </si>
  <si>
    <t>盛杰现金退款</t>
    <phoneticPr fontId="64" type="noConversion"/>
  </si>
  <si>
    <t>盛杰现金收款</t>
    <phoneticPr fontId="64" type="noConversion"/>
  </si>
  <si>
    <t>银行</t>
    <phoneticPr fontId="15" type="noConversion"/>
  </si>
  <si>
    <t>AUE23/0001461</t>
  </si>
  <si>
    <t>AFTS23/0000776</t>
  </si>
  <si>
    <t>AFTS23/0000773</t>
  </si>
  <si>
    <t>AFTS23/0000772</t>
  </si>
  <si>
    <t>AFTS23/0000804</t>
  </si>
  <si>
    <t>AFTS23/0000812</t>
  </si>
  <si>
    <t>18*8-18*7.5=144-135=9，给客户开-9的金额 开差价原因：一口价更改为7.5</t>
  </si>
  <si>
    <t>AFTS23/0000780</t>
  </si>
  <si>
    <t>AFTS23/0000791</t>
  </si>
  <si>
    <t>AFTS23/0000790</t>
  </si>
  <si>
    <t>AFTS23/0000802</t>
  </si>
  <si>
    <t>AFTS23/0000767</t>
  </si>
  <si>
    <t>AFTS23/0000768</t>
  </si>
  <si>
    <t>AUE23/0001475</t>
  </si>
  <si>
    <t>AFTS23/0000784</t>
  </si>
  <si>
    <t>AFTS23/0000781</t>
  </si>
  <si>
    <t>AFTS23/0000785</t>
  </si>
  <si>
    <t>AFTS23/0000786</t>
  </si>
  <si>
    <t>AFTS23/0000787</t>
  </si>
  <si>
    <t>AFTS23/0000762</t>
  </si>
  <si>
    <t>AFTS23/0000763</t>
  </si>
  <si>
    <t>AFTS23/0000771</t>
  </si>
  <si>
    <t>AFTS23/0000806</t>
  </si>
  <si>
    <t>AFTS23/0000764</t>
  </si>
  <si>
    <t>AFTS23/0000794</t>
  </si>
  <si>
    <t>AFTS23/0000779</t>
  </si>
  <si>
    <t>AFTS23/0000782</t>
  </si>
  <si>
    <t>AFTS23/0000807</t>
  </si>
  <si>
    <t>AFTS23/0000805</t>
  </si>
  <si>
    <t>AFTS23/0000808</t>
  </si>
  <si>
    <t>AFTS23/0000810</t>
  </si>
  <si>
    <t>AUE23/0001482</t>
  </si>
  <si>
    <t>AFTS23/0000770</t>
  </si>
  <si>
    <t>AFTS23/0000814</t>
  </si>
  <si>
    <t>AFTS23/0000783</t>
  </si>
  <si>
    <t>AFTS23/0000761</t>
  </si>
  <si>
    <t>FTS23/0001461</t>
  </si>
  <si>
    <t>FTS23/0001518</t>
  </si>
  <si>
    <t>FTS23/0001472</t>
  </si>
  <si>
    <t>AVU23/0000254</t>
  </si>
  <si>
    <t>客户要求只开30%金额的发票，原单FTS23/0001363整单退重新做</t>
  </si>
  <si>
    <t>盛杰
现金收款
2627</t>
    <phoneticPr fontId="15" type="noConversion"/>
  </si>
  <si>
    <t>盛杰
现金收款</t>
    <phoneticPr fontId="15" type="noConversion"/>
  </si>
  <si>
    <t>盛杰现金收款1128.56</t>
    <phoneticPr fontId="15" type="noConversion"/>
  </si>
  <si>
    <t>盛杰
现金收款</t>
    <phoneticPr fontId="15" type="noConversion"/>
  </si>
  <si>
    <r>
      <t xml:space="preserve">XHC BRICO 2019 S.L </t>
    </r>
    <r>
      <rPr>
        <sz val="11"/>
        <rFont val="宋体"/>
        <family val="3"/>
        <charset val="134"/>
      </rPr>
      <t>枫叶</t>
    </r>
    <phoneticPr fontId="15" type="noConversion"/>
  </si>
  <si>
    <t>陆夏小华
现金收款5396.69</t>
    <phoneticPr fontId="15" type="noConversion"/>
  </si>
  <si>
    <t>陆夏小华
现金退款</t>
    <phoneticPr fontId="15" type="noConversion"/>
  </si>
  <si>
    <t>陆夏小华
现金收款</t>
    <phoneticPr fontId="15" type="noConversion"/>
  </si>
  <si>
    <t>陆夏小华
现金收款1858</t>
    <phoneticPr fontId="15" type="noConversion"/>
  </si>
  <si>
    <t>陆夏小华
现金收款2128.5</t>
    <phoneticPr fontId="15" type="noConversion"/>
  </si>
  <si>
    <t>陆夏小华
现金收款</t>
    <phoneticPr fontId="15" type="noConversion"/>
  </si>
  <si>
    <t>陆夏小华
现金收款
2859.5</t>
    <phoneticPr fontId="15" type="noConversion"/>
  </si>
  <si>
    <t>陆夏小华
现金收款1384</t>
    <phoneticPr fontId="15" type="noConversion"/>
  </si>
  <si>
    <t>盛杰
现金收款
10939.65</t>
    <phoneticPr fontId="15" type="noConversion"/>
  </si>
  <si>
    <t>盛杰
现金退款</t>
    <phoneticPr fontId="15" type="noConversion"/>
  </si>
  <si>
    <t>盛杰
现金收款7199.77</t>
    <phoneticPr fontId="15" type="noConversion"/>
  </si>
  <si>
    <t>发货日期</t>
    <phoneticPr fontId="15" type="noConversion"/>
  </si>
  <si>
    <t>支票存兑</t>
    <phoneticPr fontId="15" type="noConversion"/>
  </si>
  <si>
    <t>支票存兑</t>
    <phoneticPr fontId="15" type="noConversion"/>
  </si>
  <si>
    <t>COMERCIO IDEAL 2015 S.L 兄弟</t>
    <phoneticPr fontId="15" type="noConversion"/>
  </si>
  <si>
    <t>杨小羊</t>
    <phoneticPr fontId="15" type="noConversion"/>
  </si>
  <si>
    <t>杨小羊</t>
    <phoneticPr fontId="15" type="noConversion"/>
  </si>
  <si>
    <t>FTS23/0001576</t>
  </si>
  <si>
    <t>AFTS23/0000842</t>
  </si>
  <si>
    <t>AFTS23/0000843</t>
  </si>
  <si>
    <t>AFTS23/0000844</t>
  </si>
  <si>
    <t>AFTS23/0000846</t>
  </si>
  <si>
    <t>AFTS23/0000826</t>
  </si>
  <si>
    <t>AFTS23/0000827</t>
  </si>
  <si>
    <t>AFTS23/0000818</t>
  </si>
  <si>
    <t>AFTS23/0000815</t>
  </si>
  <si>
    <t>AFTS23/0000866</t>
  </si>
  <si>
    <t>AFTS23/0000817</t>
  </si>
  <si>
    <t>AFTS23/0000833</t>
  </si>
  <si>
    <t>FTS23/0001550</t>
  </si>
  <si>
    <t>FTS23/0001551</t>
  </si>
  <si>
    <t>FTS23/0001569</t>
  </si>
  <si>
    <t>FTS23/0001570</t>
  </si>
  <si>
    <t>FTS23/0001603</t>
  </si>
  <si>
    <t>AFTS23/0000851</t>
  </si>
  <si>
    <t>AVU23/0000271</t>
  </si>
  <si>
    <t>AVU23/0000267</t>
  </si>
  <si>
    <t>AVU23/0000268</t>
  </si>
  <si>
    <t>AVU23/0000269</t>
  </si>
  <si>
    <t>AVU23/0000270</t>
  </si>
  <si>
    <t>2023-07-26收客户三箱退货，退单无法保存，生成三单，还差一单//补差价 419405 差60个，419412 差40个</t>
  </si>
  <si>
    <t>银行汇款70.43</t>
    <phoneticPr fontId="15" type="noConversion"/>
  </si>
  <si>
    <t>陆夏小华
现金收款</t>
    <phoneticPr fontId="15" type="noConversion"/>
  </si>
  <si>
    <t>银行</t>
    <phoneticPr fontId="63" type="noConversion"/>
  </si>
  <si>
    <r>
      <t xml:space="preserve">YONHOO ASTUR C.B </t>
    </r>
    <r>
      <rPr>
        <sz val="11"/>
        <rFont val="宋体"/>
        <family val="3"/>
        <charset val="134"/>
      </rPr>
      <t>永和</t>
    </r>
    <phoneticPr fontId="15" type="noConversion"/>
  </si>
  <si>
    <t>银行</t>
    <phoneticPr fontId="15" type="noConversion"/>
  </si>
  <si>
    <t>银行</t>
    <phoneticPr fontId="15" type="noConversion"/>
  </si>
  <si>
    <t>AFTS23/0000882</t>
  </si>
  <si>
    <t>AFTS23/0000904</t>
  </si>
  <si>
    <t>AUE23/0001518</t>
  </si>
  <si>
    <t>AFTS23/0000907</t>
  </si>
  <si>
    <t>AFTS23/0000908</t>
  </si>
  <si>
    <t>AFTS23/0000909</t>
  </si>
  <si>
    <t>AFTS23/0000910</t>
  </si>
  <si>
    <t>AUE23/0001532</t>
  </si>
  <si>
    <t>AUE23/0001533</t>
  </si>
  <si>
    <t>AUE23/0001534</t>
  </si>
  <si>
    <t>AFTS23/0000917</t>
  </si>
  <si>
    <t>AFTS23/0000918</t>
  </si>
  <si>
    <t>AFTS23/0000919</t>
  </si>
  <si>
    <t>AFTS23/0001003</t>
  </si>
  <si>
    <t>2023.06月二批活动数据返点</t>
  </si>
  <si>
    <t>AFTS23/0000913</t>
  </si>
  <si>
    <t>AFTS23/0000884</t>
  </si>
  <si>
    <t>AUE23/0001522</t>
  </si>
  <si>
    <t>AFTS23/0000921</t>
  </si>
  <si>
    <t>AFTS23/0000920</t>
  </si>
  <si>
    <t>FTS23/0001641</t>
  </si>
  <si>
    <t>AFTS23/0000972</t>
  </si>
  <si>
    <t>AFTS23/0000906</t>
  </si>
  <si>
    <t>AFTS23/0000960</t>
  </si>
  <si>
    <t>AFTS23/0001008</t>
  </si>
  <si>
    <t>AUE23/0001558</t>
  </si>
  <si>
    <t>AFTS23/0000870</t>
  </si>
  <si>
    <t>AFTS23/0000915</t>
  </si>
  <si>
    <t>AFTS23/0000903</t>
  </si>
  <si>
    <t>AFTS23/0000896</t>
  </si>
  <si>
    <t>AFTS23/0000998</t>
  </si>
  <si>
    <t>AUE23/0001519</t>
  </si>
  <si>
    <t>AUE23/0001520</t>
  </si>
  <si>
    <t>AFTS23/0000922</t>
  </si>
  <si>
    <t>AFTS23/0000895</t>
  </si>
  <si>
    <t>AFTS23/0000926</t>
  </si>
  <si>
    <t>AFTS23/0000927</t>
  </si>
  <si>
    <t>AFTS23/0000928</t>
  </si>
  <si>
    <t>AFTS23/0000929</t>
  </si>
  <si>
    <t>AFTS23/0000930</t>
  </si>
  <si>
    <t>AFTS23/0000931</t>
  </si>
  <si>
    <t>AFTS23/0000932</t>
  </si>
  <si>
    <t>AFTS23/0000933</t>
  </si>
  <si>
    <t>AFTS23/0000934</t>
  </si>
  <si>
    <t>AFTS23/0000935</t>
  </si>
  <si>
    <t>AFTS23/0000936</t>
  </si>
  <si>
    <t>AFTS23/0000937</t>
  </si>
  <si>
    <t>AFTS23/0000938</t>
  </si>
  <si>
    <t>AFTS23/0000939</t>
  </si>
  <si>
    <t>AFTS23/0000940</t>
  </si>
  <si>
    <t>AFTS23/0000941</t>
  </si>
  <si>
    <t>AFTS23/0000942</t>
  </si>
  <si>
    <t>AFTS23/0000943</t>
  </si>
  <si>
    <t>AFTS23/0000944</t>
  </si>
  <si>
    <t>AFTS23/0000945</t>
  </si>
  <si>
    <t>AFTS23/0000946</t>
  </si>
  <si>
    <t>AFTS23/0000947</t>
  </si>
  <si>
    <t>AFTS23/0000948</t>
  </si>
  <si>
    <t>AFTS23/0000949</t>
  </si>
  <si>
    <t>AFTS23/0000950</t>
  </si>
  <si>
    <t>AFTS23/0000951</t>
  </si>
  <si>
    <t>AFTS23/0000952</t>
  </si>
  <si>
    <t>AFTS23/0000953</t>
  </si>
  <si>
    <t>AFTS23/0000954</t>
  </si>
  <si>
    <t>AFTS23/0000955</t>
  </si>
  <si>
    <t>AFTS23/0000956</t>
  </si>
  <si>
    <t>AFTS23/0000957</t>
  </si>
  <si>
    <t>AFTS23/0000958</t>
  </si>
  <si>
    <t>AFTS23/0000959</t>
  </si>
  <si>
    <t>AFTS23/0000961</t>
  </si>
  <si>
    <t>AFTS23/0000962</t>
  </si>
  <si>
    <t>AFTS23/0000963</t>
  </si>
  <si>
    <t>AFTS23/0000964</t>
  </si>
  <si>
    <t>AFTS23/0000965</t>
  </si>
  <si>
    <t>AFTS23/0000966</t>
  </si>
  <si>
    <t>AFTS23/0000967</t>
  </si>
  <si>
    <t>AFTS23/0000968</t>
  </si>
  <si>
    <t>AFTS23/0000969</t>
  </si>
  <si>
    <t>AFTS23/0000970</t>
  </si>
  <si>
    <t>AFTS23/0000971</t>
  </si>
  <si>
    <t>AFTS23/0000973</t>
  </si>
  <si>
    <t>AFTS23/0000974</t>
  </si>
  <si>
    <t>AFTS23/0000975</t>
  </si>
  <si>
    <t>AFTS23/0000976</t>
  </si>
  <si>
    <t>AFTS23/0000977</t>
  </si>
  <si>
    <t>AFTS23/0000978</t>
  </si>
  <si>
    <t>AFTS23/0000979</t>
  </si>
  <si>
    <t>AFTS23/0000980</t>
  </si>
  <si>
    <t>AFTS23/0000982</t>
  </si>
  <si>
    <t>AFTS23/0000983</t>
  </si>
  <si>
    <t>AFTS23/0000985</t>
  </si>
  <si>
    <t>AFTS23/0000986</t>
  </si>
  <si>
    <t>AFTS23/0000987</t>
  </si>
  <si>
    <t>AFTS23/0000988</t>
  </si>
  <si>
    <t>AFTS23/0000989</t>
  </si>
  <si>
    <t>AFTS23/0000990</t>
  </si>
  <si>
    <t>AFTS23/0000991</t>
  </si>
  <si>
    <t>AFTS23/0000992</t>
  </si>
  <si>
    <t>AFTS23/0001000</t>
  </si>
  <si>
    <t>AFTS23/0001001</t>
  </si>
  <si>
    <t>AFTS23/0000889</t>
  </si>
  <si>
    <t>AFTS23/0000890</t>
  </si>
  <si>
    <t>AUE23/0001523</t>
  </si>
  <si>
    <t>AFTS23/0000885</t>
  </si>
  <si>
    <t>AFTS23/0000886</t>
  </si>
  <si>
    <t>FTS23/0001621</t>
  </si>
  <si>
    <t>AFTS23/0000916</t>
  </si>
  <si>
    <t>AFTS23/0000883</t>
  </si>
  <si>
    <t>AFTS23/0000902</t>
  </si>
  <si>
    <t>AUE23/0001521</t>
  </si>
  <si>
    <t>AFTS23/0000905</t>
  </si>
  <si>
    <t>AUE23/0001530</t>
  </si>
  <si>
    <t>AFTS23/0000995</t>
  </si>
  <si>
    <t>AFTS23/0001004</t>
  </si>
  <si>
    <t>AFTS23/0001007</t>
  </si>
  <si>
    <t>AFTS23/0000878</t>
  </si>
  <si>
    <t>AFTS23/0000879</t>
  </si>
  <si>
    <t>AFTS23/0000880</t>
  </si>
  <si>
    <t>AFTS23/0000881</t>
  </si>
  <si>
    <t>AUE23/0001516</t>
  </si>
  <si>
    <t>AUE23/0001517</t>
  </si>
  <si>
    <t>AFTS23/0001005</t>
  </si>
  <si>
    <t>AFTS23/0000893</t>
  </si>
  <si>
    <t>AFTS23/0000894</t>
  </si>
  <si>
    <t>AUE23/0001525</t>
  </si>
  <si>
    <t>AFTS23/0000897</t>
  </si>
  <si>
    <t>FTS23/0001613</t>
  </si>
  <si>
    <t>FTS23/0001624</t>
  </si>
  <si>
    <t>FTS23/0001637</t>
  </si>
  <si>
    <t>AFTS23/0000891</t>
  </si>
  <si>
    <t>AFTS23/0000892</t>
  </si>
  <si>
    <t>AUE23/0001524</t>
  </si>
  <si>
    <t>AVU23/0000274</t>
  </si>
  <si>
    <t>盛杰
现金收款</t>
    <phoneticPr fontId="68" type="noConversion"/>
  </si>
  <si>
    <t>银行</t>
    <phoneticPr fontId="15" type="noConversion"/>
  </si>
  <si>
    <r>
      <t xml:space="preserve">NEW BEST S.L </t>
    </r>
    <r>
      <rPr>
        <sz val="11"/>
        <rFont val="宋体"/>
        <family val="3"/>
        <charset val="134"/>
      </rPr>
      <t>新东方</t>
    </r>
    <phoneticPr fontId="15" type="noConversion"/>
  </si>
  <si>
    <t>孙岩成现金收款</t>
    <phoneticPr fontId="15" type="noConversion"/>
  </si>
  <si>
    <t>孙岩成现金收款4950</t>
    <phoneticPr fontId="15" type="noConversion"/>
  </si>
  <si>
    <r>
      <t xml:space="preserve">SANSHENG TECNOLOGIA S.L </t>
    </r>
    <r>
      <rPr>
        <sz val="11"/>
        <rFont val="宋体"/>
        <family val="3"/>
        <charset val="134"/>
      </rPr>
      <t>三盛电子</t>
    </r>
    <phoneticPr fontId="15" type="noConversion"/>
  </si>
  <si>
    <t>孙岩成现金收款</t>
    <phoneticPr fontId="15" type="noConversion"/>
  </si>
  <si>
    <t>支票存兑</t>
    <phoneticPr fontId="15" type="noConversion"/>
  </si>
  <si>
    <t>支票存兑</t>
    <phoneticPr fontId="15" type="noConversion"/>
  </si>
  <si>
    <t>AFTS23/0001009</t>
  </si>
  <si>
    <t>AFTS23/0001017</t>
  </si>
  <si>
    <t>AFTS23/0001029</t>
  </si>
  <si>
    <t>FTS23/0001706</t>
  </si>
  <si>
    <t>AFTS23/0001031</t>
  </si>
  <si>
    <t>AFTS23/0001037</t>
  </si>
  <si>
    <t>AFTS23/0001040</t>
  </si>
  <si>
    <t>AFTS23/0001011</t>
  </si>
  <si>
    <t>AFTS23/0001013</t>
  </si>
  <si>
    <t>FTS23/0001720</t>
  </si>
  <si>
    <t>AFTS23/0001042</t>
  </si>
  <si>
    <t>AFTS23/0001024</t>
  </si>
  <si>
    <t>AUE23/0001573</t>
  </si>
  <si>
    <t>AFTS23/0001015</t>
  </si>
  <si>
    <t>AFTS23/0001016</t>
  </si>
  <si>
    <t>FTS23/0001681</t>
  </si>
  <si>
    <t>FTS23/0001686</t>
  </si>
  <si>
    <t>FTS23/0001719</t>
  </si>
  <si>
    <t>AUE23/0001585</t>
  </si>
  <si>
    <t>AFTS23/0001014</t>
  </si>
  <si>
    <t>993788 8个 993334 4个 93761 4个 一口价差价   16*15.75*0.7-16*7</t>
  </si>
  <si>
    <t>林显斌现金收款1110</t>
    <phoneticPr fontId="15" type="noConversion"/>
  </si>
  <si>
    <t>林显斌现金收款3470</t>
    <phoneticPr fontId="15" type="noConversion"/>
  </si>
  <si>
    <t>支票存兑</t>
    <phoneticPr fontId="15" type="noConversion"/>
  </si>
  <si>
    <r>
      <t xml:space="preserve">GRAN FAMILIA 2016 S.L </t>
    </r>
    <r>
      <rPr>
        <sz val="11"/>
        <rFont val="宋体"/>
        <family val="3"/>
        <charset val="134"/>
      </rPr>
      <t>永顺</t>
    </r>
    <phoneticPr fontId="15" type="noConversion"/>
  </si>
  <si>
    <t>盛杰
现金收款
2735.5</t>
    <phoneticPr fontId="15" type="noConversion"/>
  </si>
  <si>
    <t>盛杰
现金收款</t>
    <phoneticPr fontId="15" type="noConversion"/>
  </si>
  <si>
    <t>B54625413</t>
    <phoneticPr fontId="15" type="noConversion"/>
  </si>
  <si>
    <t>陈苏勇二批</t>
  </si>
  <si>
    <t>AFTS23/0001053</t>
  </si>
  <si>
    <t>黄子航现金收款</t>
    <phoneticPr fontId="15" type="noConversion"/>
  </si>
  <si>
    <t>陆夏小华现金收款</t>
    <phoneticPr fontId="15" type="noConversion"/>
  </si>
  <si>
    <t>AFTS23/0001060</t>
  </si>
  <si>
    <t>AFTS23/0001065</t>
  </si>
  <si>
    <t>AUE23/0001614</t>
  </si>
  <si>
    <t>AUE23/0001615</t>
  </si>
  <si>
    <t>2023.08.18黄子航收款有退单补差价</t>
  </si>
  <si>
    <t>AFTS23/0001055</t>
  </si>
  <si>
    <t>AFTS23/0001059</t>
  </si>
  <si>
    <t>AFTS23/0001064</t>
  </si>
  <si>
    <t>AFTS23/0001046</t>
  </si>
  <si>
    <t>FTS23/0001755</t>
  </si>
  <si>
    <t>FTS23/0001767</t>
  </si>
  <si>
    <t>2023/8/14
银行汇款5000
（2-1）</t>
    <phoneticPr fontId="15" type="noConversion"/>
  </si>
  <si>
    <t>2023/8/14
银行汇款5000
（2-2）</t>
    <phoneticPr fontId="15" type="noConversion"/>
  </si>
  <si>
    <t>黄子航
现金收款</t>
    <phoneticPr fontId="15" type="noConversion"/>
  </si>
  <si>
    <t>支票存兑</t>
    <phoneticPr fontId="15" type="noConversion"/>
  </si>
  <si>
    <t>银行</t>
    <phoneticPr fontId="15" type="noConversion"/>
  </si>
  <si>
    <t>AFTS23/0001074</t>
  </si>
  <si>
    <t>FTS23/0001827</t>
  </si>
  <si>
    <t>AFTS23/0001070</t>
  </si>
  <si>
    <t>AFTS23/0001071</t>
  </si>
  <si>
    <t>AFTS23/0001072</t>
  </si>
  <si>
    <t>AFTS23/0001109</t>
  </si>
  <si>
    <t>AFTS23/0001082</t>
  </si>
  <si>
    <t>AFTS23/0001088</t>
  </si>
  <si>
    <t>AFTS23/0001067</t>
  </si>
  <si>
    <t>AFTS23/0001068</t>
  </si>
  <si>
    <t>AUE23/0001635</t>
  </si>
  <si>
    <t>AUE23/0001636</t>
  </si>
  <si>
    <t>AFTS23/0001094</t>
  </si>
  <si>
    <t>AFTS23/0001098</t>
  </si>
  <si>
    <t>AFTS23/0001097</t>
  </si>
  <si>
    <t>AFTS23/0001091</t>
  </si>
  <si>
    <t>AFTS23/0001085</t>
  </si>
  <si>
    <t>AFTS23/0001096</t>
  </si>
  <si>
    <t>AFTS23/0001100</t>
  </si>
  <si>
    <t>AFTS23/0001102</t>
  </si>
  <si>
    <t>AFTS23/0001110</t>
  </si>
  <si>
    <t>客户库存还剩SW1773-16，SW9064-11,SW1504-5, 补差价//手表一口价7.95</t>
  </si>
  <si>
    <t>sw1773 差价单</t>
  </si>
  <si>
    <t>AFTS23/0001099</t>
  </si>
  <si>
    <t>AFTS23/0001111</t>
  </si>
  <si>
    <t>AFTS23/0001080</t>
  </si>
  <si>
    <t>FTS23/0001797</t>
  </si>
  <si>
    <t>AFTS23/0001073</t>
  </si>
  <si>
    <t>黄子航现金收款2680</t>
    <phoneticPr fontId="15" type="noConversion"/>
  </si>
  <si>
    <t>客户名称</t>
    <phoneticPr fontId="68" type="noConversion"/>
  </si>
  <si>
    <t>银行</t>
    <phoneticPr fontId="68" type="noConversion"/>
  </si>
  <si>
    <t>陆夏小华
现金收款</t>
    <phoneticPr fontId="15" type="noConversion"/>
  </si>
  <si>
    <t>陆夏小华
现金收款2851.5</t>
    <phoneticPr fontId="15" type="noConversion"/>
  </si>
  <si>
    <t>陆夏小华现金收款</t>
    <phoneticPr fontId="15" type="noConversion"/>
  </si>
  <si>
    <t>陆夏小华现金收款1972</t>
    <phoneticPr fontId="15" type="noConversion"/>
  </si>
  <si>
    <t>2023/8/24陆夏小华
现金收款15000（2-2）</t>
    <phoneticPr fontId="15" type="noConversion"/>
  </si>
  <si>
    <t>陆夏小华
现金收款
5614</t>
    <phoneticPr fontId="15" type="noConversion"/>
  </si>
  <si>
    <t>AFTS23/0001114</t>
  </si>
  <si>
    <t>AFTS23/0001136</t>
  </si>
  <si>
    <t>AFTS23/0001148</t>
  </si>
  <si>
    <t>FTS23/0001905</t>
  </si>
  <si>
    <t>AFTS23/0001151</t>
  </si>
  <si>
    <t>AFTS23/0001149</t>
  </si>
  <si>
    <t>AFTS23/0001159</t>
  </si>
  <si>
    <t>AFTS23/0001157</t>
  </si>
  <si>
    <t>AFTS23/0001161</t>
  </si>
  <si>
    <t>FTS23/0001900</t>
  </si>
  <si>
    <t>AFTS23/0001128</t>
  </si>
  <si>
    <t>AFTS23/0001150</t>
  </si>
  <si>
    <t>AFTS23/0001165</t>
  </si>
  <si>
    <t>AUE23/0001702</t>
  </si>
  <si>
    <t>AUE23/0001687</t>
  </si>
  <si>
    <t>UE23/0001338</t>
  </si>
  <si>
    <t>UE23/0361收FUTURE支票3张换*AA*</t>
  </si>
  <si>
    <t>AFTS23/0001129</t>
  </si>
  <si>
    <t>AFTS23/0001134</t>
  </si>
  <si>
    <t>AFTS23/0001130</t>
  </si>
  <si>
    <t>AFTS23/0001137</t>
  </si>
  <si>
    <t>AUE23/0001688</t>
  </si>
  <si>
    <t>AFTS23/0001132</t>
  </si>
  <si>
    <t>AFTS23/0001138</t>
  </si>
  <si>
    <t>AUE23/0001689</t>
  </si>
  <si>
    <t>盛杰
现金收款</t>
    <phoneticPr fontId="15" type="noConversion"/>
  </si>
  <si>
    <t>盛杰
现金退款</t>
    <phoneticPr fontId="15" type="noConversion"/>
  </si>
  <si>
    <t>盛杰现金收款</t>
    <phoneticPr fontId="15" type="noConversion"/>
  </si>
  <si>
    <t>盛杰
现金收款4253</t>
    <phoneticPr fontId="15" type="noConversion"/>
  </si>
  <si>
    <t>其他抵扣</t>
    <phoneticPr fontId="15" type="noConversion"/>
  </si>
  <si>
    <t>支票存兑</t>
    <phoneticPr fontId="15" type="noConversion"/>
  </si>
  <si>
    <t>盛杰
现金收款2854.55</t>
    <phoneticPr fontId="15" type="noConversion"/>
  </si>
  <si>
    <t>发货日期</t>
    <phoneticPr fontId="15" type="noConversion"/>
  </si>
  <si>
    <t>盛杰现金收款</t>
    <phoneticPr fontId="15" type="noConversion"/>
  </si>
  <si>
    <t>盛杰
现金收款
1002</t>
    <phoneticPr fontId="15" type="noConversion"/>
  </si>
  <si>
    <t>盛杰现金收款1929</t>
    <phoneticPr fontId="64" type="noConversion"/>
  </si>
  <si>
    <t>盛杰
现金收款2052.5</t>
    <phoneticPr fontId="15" type="noConversion"/>
  </si>
  <si>
    <t>盛杰
现金收款3180</t>
    <phoneticPr fontId="15" type="noConversion"/>
  </si>
  <si>
    <t>HONG DA CHINA S.L  马拉加宏达</t>
    <phoneticPr fontId="15" type="noConversion"/>
  </si>
  <si>
    <t>林显斌二批</t>
  </si>
  <si>
    <t>FTS23/0001936</t>
  </si>
  <si>
    <t>AFTS23/0001175</t>
  </si>
  <si>
    <t>AUE23/0001730</t>
  </si>
  <si>
    <t>AFTS23/0001192</t>
  </si>
  <si>
    <t>AUE23/0001744</t>
  </si>
  <si>
    <t>AUE23/0001745</t>
  </si>
  <si>
    <t>AFTS23/0001207</t>
  </si>
  <si>
    <t>AFTS23/0001213</t>
  </si>
  <si>
    <t>AUE23/0001766</t>
  </si>
  <si>
    <t>AUE23/0001767</t>
  </si>
  <si>
    <t>AUE23/0001768</t>
  </si>
  <si>
    <t>AUE23/0001769</t>
  </si>
  <si>
    <t>AUE23/0001800</t>
  </si>
  <si>
    <t>AFTS23/0001205</t>
  </si>
  <si>
    <t>AUE23/0001764</t>
  </si>
  <si>
    <t>AUE23/0001765</t>
  </si>
  <si>
    <t>AFTS23/0001174</t>
  </si>
  <si>
    <t>AFTS23/0001186</t>
  </si>
  <si>
    <t>AUE23/0001738</t>
  </si>
  <si>
    <t>AFTS23/0001206</t>
  </si>
  <si>
    <t>AFTS23/0001197</t>
  </si>
  <si>
    <t>AFTS23/0001211</t>
  </si>
  <si>
    <t>AFTS23/0001172</t>
  </si>
  <si>
    <t>AFTS23/0001202</t>
  </si>
  <si>
    <t>差价单</t>
  </si>
  <si>
    <t>AFTS23/0001173</t>
  </si>
  <si>
    <t>AFTS23/0001200</t>
  </si>
  <si>
    <t>AFTS23/0001201</t>
  </si>
  <si>
    <t>AFTS23/0001203</t>
  </si>
  <si>
    <t>FTS23/0001924</t>
  </si>
  <si>
    <t>FTS23/0001925</t>
  </si>
  <si>
    <t>FTS23/0001933</t>
  </si>
  <si>
    <t>FTS23/0001937</t>
  </si>
  <si>
    <t>FTS23/0001938</t>
  </si>
  <si>
    <t>FTS23/0001939</t>
  </si>
  <si>
    <t>FTS23/0001966</t>
  </si>
  <si>
    <t>蒋敏焰现金收款</t>
    <phoneticPr fontId="15" type="noConversion"/>
  </si>
  <si>
    <t>银行</t>
    <phoneticPr fontId="15" type="noConversion"/>
  </si>
  <si>
    <t>银行</t>
    <phoneticPr fontId="15" type="noConversion"/>
  </si>
  <si>
    <t>支票存兑</t>
    <phoneticPr fontId="15" type="noConversion"/>
  </si>
  <si>
    <t>支票存兑</t>
    <phoneticPr fontId="15" type="noConversion"/>
  </si>
  <si>
    <t>盛杰现金收款</t>
    <phoneticPr fontId="15" type="noConversion"/>
  </si>
  <si>
    <t>盛杰
现金收款</t>
    <phoneticPr fontId="15" type="noConversion"/>
  </si>
  <si>
    <t>年中返点核销</t>
    <phoneticPr fontId="15" type="noConversion"/>
  </si>
  <si>
    <t>支票存兑</t>
    <phoneticPr fontId="15" type="noConversion"/>
  </si>
  <si>
    <t>其他抵扣</t>
    <phoneticPr fontId="15" type="noConversion"/>
  </si>
  <si>
    <t>GRAN FAMILIA 2016 S.L 永顺</t>
    <phoneticPr fontId="15" type="noConversion"/>
  </si>
  <si>
    <t>已收未兑支票</t>
    <phoneticPr fontId="15" type="noConversion"/>
  </si>
  <si>
    <t>AFTS23/0001217</t>
  </si>
  <si>
    <t>AFTS23/0001243</t>
  </si>
  <si>
    <t>AFTS23/0001244</t>
  </si>
  <si>
    <t>AFTS23/0001246</t>
  </si>
  <si>
    <t>FTS23/0002025</t>
  </si>
  <si>
    <t>AFTS23/0001226</t>
  </si>
  <si>
    <t>AFTS23/0001256</t>
  </si>
  <si>
    <t>AFTS23/0001273</t>
  </si>
  <si>
    <t>FTS23/0002057</t>
  </si>
  <si>
    <t>AFTS23/0001245</t>
  </si>
  <si>
    <t>AFTS23/0001216</t>
  </si>
  <si>
    <t>AFTS23/0001237</t>
  </si>
  <si>
    <t>AFTS23/0001265</t>
  </si>
  <si>
    <t>AFTS23/0001225</t>
  </si>
  <si>
    <t>AFTS23/0001263</t>
  </si>
  <si>
    <t>AFTS23/0001276</t>
  </si>
  <si>
    <t>AFTS23/0001219</t>
  </si>
  <si>
    <t>AFTS23/0001264</t>
  </si>
  <si>
    <t>AFTS23/0001227</t>
  </si>
  <si>
    <t>AFTS23/0001242</t>
  </si>
  <si>
    <t>AFTS23/0001241</t>
  </si>
  <si>
    <t>AFTS23/0001258</t>
  </si>
  <si>
    <t>FTS23/0002020</t>
  </si>
  <si>
    <t>FTS23/0002050</t>
  </si>
  <si>
    <t>FTS23/0002058</t>
  </si>
  <si>
    <t>FTS23/0002063</t>
  </si>
  <si>
    <t>UE23/0001439</t>
  </si>
  <si>
    <t>补开 Future*AA*差价，一次性结清到20230808</t>
  </si>
  <si>
    <t>补开Unico*AA*差价-一次性结清Unico*AA*</t>
  </si>
  <si>
    <t>FTS23/0002011</t>
  </si>
  <si>
    <t>AUE23/0001812</t>
  </si>
  <si>
    <t>AUE23/0001813</t>
  </si>
  <si>
    <t>AFTS23/0001228</t>
  </si>
  <si>
    <t>AUE23/0001821</t>
  </si>
  <si>
    <t>AVU23/0000330</t>
  </si>
  <si>
    <t>外账*AA*FTS23/0001454核销AUE23/0000726处理</t>
  </si>
  <si>
    <t>COMERCIO IDEAL 2015 S.L 兄弟</t>
    <phoneticPr fontId="15" type="noConversion"/>
  </si>
  <si>
    <t>COMERCIO IDEAL 2015 S.L 兄弟</t>
    <phoneticPr fontId="15" type="noConversion"/>
  </si>
  <si>
    <t>支票存兑</t>
    <phoneticPr fontId="15" type="noConversion"/>
  </si>
  <si>
    <t>支票存兑</t>
    <phoneticPr fontId="15" type="noConversion"/>
  </si>
  <si>
    <t>施小东现金收款</t>
    <phoneticPr fontId="15" type="noConversion"/>
  </si>
  <si>
    <t>银行</t>
    <phoneticPr fontId="15" type="noConversion"/>
  </si>
  <si>
    <t>杨小羊现金收款</t>
    <phoneticPr fontId="15" type="noConversion"/>
  </si>
  <si>
    <t>银行</t>
    <phoneticPr fontId="15" type="noConversion"/>
  </si>
  <si>
    <t>其他抵扣</t>
    <phoneticPr fontId="15" type="noConversion"/>
  </si>
  <si>
    <t>郭水文
现金收款</t>
    <phoneticPr fontId="15" type="noConversion"/>
  </si>
  <si>
    <t>郭水文现金收款</t>
    <phoneticPr fontId="15" type="noConversion"/>
  </si>
  <si>
    <t>AFTS23/0001307</t>
  </si>
  <si>
    <t>AFTS23/0001315</t>
  </si>
  <si>
    <t>AFTS23/0001340</t>
  </si>
  <si>
    <t>AUE23/0001845</t>
  </si>
  <si>
    <t>FTS23/0002098</t>
  </si>
  <si>
    <t>AFTS23/0001301</t>
  </si>
  <si>
    <t>AUE23/0001829</t>
  </si>
  <si>
    <t>AFTS23/0001330</t>
  </si>
  <si>
    <t>AFTS23/0001294</t>
  </si>
  <si>
    <t>AFTS23/0001308</t>
  </si>
  <si>
    <t>AFTS23/0001304</t>
  </si>
  <si>
    <t>AUE23/0001832</t>
  </si>
  <si>
    <t>AUE23/0001833</t>
  </si>
  <si>
    <t>AFTS23/0001324</t>
  </si>
  <si>
    <t>AFTS23/0001313</t>
  </si>
  <si>
    <t>AFTS23/0001322</t>
  </si>
  <si>
    <t>AFTS23/0001287</t>
  </si>
  <si>
    <t>AFTS23/0001335</t>
  </si>
  <si>
    <t>AFTS23/0001336</t>
  </si>
  <si>
    <t>AFTS23/0001337</t>
  </si>
  <si>
    <t>AFTS23/0001338</t>
  </si>
  <si>
    <t>AFTS23/0001339</t>
  </si>
  <si>
    <t>AUE23/0001856</t>
  </si>
  <si>
    <t>AUE23/0001857</t>
  </si>
  <si>
    <t>AFTS23/0001326</t>
  </si>
  <si>
    <t>AUE23/0001850</t>
  </si>
  <si>
    <t>AFTS23/0001283</t>
  </si>
  <si>
    <t>AFTS23/0001278</t>
  </si>
  <si>
    <t>Doki年中返点，截至于23年6月30号业绩是86600，返1个点，866欧，出退单</t>
  </si>
  <si>
    <t>AFTS23/0001302</t>
  </si>
  <si>
    <t>AFTS23/0001305</t>
  </si>
  <si>
    <t>AFTS23/0001316</t>
  </si>
  <si>
    <t>AUE23/0001836</t>
  </si>
  <si>
    <t>AFTS23/0001334</t>
  </si>
  <si>
    <t>客户改为退货AFTS23/1202取消</t>
  </si>
  <si>
    <t>AFTS23/0001295</t>
  </si>
  <si>
    <t>AFTS23/0001325</t>
  </si>
  <si>
    <t>AFTS23/0001327</t>
  </si>
  <si>
    <t>AFTS23/0001328</t>
  </si>
  <si>
    <t>AFTS23/0001329</t>
  </si>
  <si>
    <t>AUE23/0001854</t>
  </si>
  <si>
    <t>AUE23/0001855</t>
  </si>
  <si>
    <t>AFTS23/0001333</t>
  </si>
  <si>
    <t>客户改为退货AFTS23/1200取消</t>
  </si>
  <si>
    <t>AUE23/0001853</t>
  </si>
  <si>
    <t>FTS23/0002081</t>
  </si>
  <si>
    <t>FTS23/0002120</t>
  </si>
  <si>
    <t>AUE23/0001825</t>
  </si>
  <si>
    <t>AUE23/0001826</t>
  </si>
  <si>
    <t>AVU23/0000340</t>
  </si>
  <si>
    <t>B57784118</t>
  </si>
  <si>
    <t>BALEARIC MAX IMPORTACION S.L</t>
  </si>
  <si>
    <t>BALEARIC MAX IMPORTACION S.L</t>
    <phoneticPr fontId="15" type="noConversion"/>
  </si>
  <si>
    <t>AFTS23/0001309</t>
  </si>
  <si>
    <t>AFTS23/0001314</t>
  </si>
  <si>
    <t>内岛//卫浴//二批//折扣15，账期60天</t>
  </si>
  <si>
    <t>陆夏小华
现金收款
4603（2-1）</t>
    <phoneticPr fontId="15" type="noConversion"/>
  </si>
  <si>
    <t>陆夏小华
现金收款
4603（2-2）</t>
    <phoneticPr fontId="15" type="noConversion"/>
  </si>
  <si>
    <t>银行</t>
    <phoneticPr fontId="15" type="noConversion"/>
  </si>
  <si>
    <t>盛杰
现金收款</t>
    <phoneticPr fontId="68" type="noConversion"/>
  </si>
  <si>
    <t>盛杰现金收款</t>
    <phoneticPr fontId="68" type="noConversion"/>
  </si>
  <si>
    <t>银行汇款5058.6（2-1）</t>
    <phoneticPr fontId="68" type="noConversion"/>
  </si>
  <si>
    <t>银行汇款5058.6（2-2）</t>
    <phoneticPr fontId="68" type="noConversion"/>
  </si>
  <si>
    <t>盛杰
现金收款</t>
    <phoneticPr fontId="15" type="noConversion"/>
  </si>
  <si>
    <t>盛杰
现金收款</t>
    <phoneticPr fontId="15" type="noConversion"/>
  </si>
  <si>
    <t>盛杰
现金收款</t>
    <phoneticPr fontId="15" type="noConversion"/>
  </si>
  <si>
    <t>银行</t>
    <phoneticPr fontId="15" type="noConversion"/>
  </si>
  <si>
    <t>支票存兑</t>
    <phoneticPr fontId="15" type="noConversion"/>
  </si>
  <si>
    <t>支票存兑</t>
    <phoneticPr fontId="15" type="noConversion"/>
  </si>
  <si>
    <t>支票存兑</t>
    <phoneticPr fontId="15" type="noConversion"/>
  </si>
  <si>
    <r>
      <t xml:space="preserve">COMERCIO IDEAL 2015 S.L </t>
    </r>
    <r>
      <rPr>
        <sz val="11"/>
        <rFont val="宋体"/>
        <family val="3"/>
        <charset val="134"/>
      </rPr>
      <t>兄弟</t>
    </r>
    <phoneticPr fontId="15" type="noConversion"/>
  </si>
  <si>
    <t>其他抵扣</t>
    <phoneticPr fontId="15" type="noConversion"/>
  </si>
  <si>
    <t>其他抵扣</t>
    <phoneticPr fontId="15" type="noConversion"/>
  </si>
  <si>
    <t>物料单</t>
    <phoneticPr fontId="15" type="noConversion"/>
  </si>
  <si>
    <t>AFTS23/0001441</t>
  </si>
  <si>
    <t>FTS23/0002179</t>
  </si>
  <si>
    <t>AFTS23/0001365</t>
  </si>
  <si>
    <t>AFTS23/0001366</t>
  </si>
  <si>
    <t>AFTS23/0001369</t>
  </si>
  <si>
    <t>AFTS23/0001464</t>
  </si>
  <si>
    <t>AUE23/0001930</t>
  </si>
  <si>
    <t>AFTS23/0001401</t>
  </si>
  <si>
    <t>AFTS23/0001445</t>
  </si>
  <si>
    <t>AFTS23/0001347</t>
  </si>
  <si>
    <t>AFTS23/0001348</t>
  </si>
  <si>
    <t>AFTS23/0001349</t>
  </si>
  <si>
    <t>AFTS23/0001350</t>
  </si>
  <si>
    <t>AFTS23/0001351</t>
  </si>
  <si>
    <t>AFTS23/0001352</t>
  </si>
  <si>
    <t>AFTS23/0001353</t>
  </si>
  <si>
    <t>AFTS23/0001354</t>
  </si>
  <si>
    <t>AFTS23/0001355</t>
  </si>
  <si>
    <t>AFTS23/0001356</t>
  </si>
  <si>
    <t>AFTS23/0001357</t>
  </si>
  <si>
    <t>AUE23/0001863</t>
  </si>
  <si>
    <t>AUE23/0001864</t>
  </si>
  <si>
    <t>AUE23/0001865</t>
  </si>
  <si>
    <t>AUE23/0001866</t>
  </si>
  <si>
    <t>AUE23/0001867</t>
  </si>
  <si>
    <t>AUE23/0001868</t>
  </si>
  <si>
    <t>AUE23/0001869</t>
  </si>
  <si>
    <t>AUE23/0001870</t>
  </si>
  <si>
    <t>AUE23/0001871</t>
  </si>
  <si>
    <t>FTS23/0002137</t>
  </si>
  <si>
    <t>FTS23/0002138</t>
  </si>
  <si>
    <t>FTS23/0002139</t>
  </si>
  <si>
    <t>FTS23/0002145</t>
  </si>
  <si>
    <t>AFTS23/0001399</t>
  </si>
  <si>
    <t>AUE23/0001906</t>
  </si>
  <si>
    <t>AFTS23/0001418</t>
  </si>
  <si>
    <t>AFTS23/0001419</t>
  </si>
  <si>
    <t>AFTS23/0001420</t>
  </si>
  <si>
    <t>AFTS23/0001421</t>
  </si>
  <si>
    <t>AFTS23/0001422</t>
  </si>
  <si>
    <t>AFTS23/0001423</t>
  </si>
  <si>
    <t>AUE23/0001907</t>
  </si>
  <si>
    <t>AUE23/0001908</t>
  </si>
  <si>
    <t>AFTS23/0001373</t>
  </si>
  <si>
    <t>AFTS23/0001402</t>
  </si>
  <si>
    <t>AFTS23/0001414</t>
  </si>
  <si>
    <t>AUE23/0001901</t>
  </si>
  <si>
    <t>AFTS23/0001427</t>
  </si>
  <si>
    <t>AFTS23/0001433</t>
  </si>
  <si>
    <t>AFTS23/0001372</t>
  </si>
  <si>
    <t>AFTS23/0001375</t>
  </si>
  <si>
    <t>AFTS23/0001477</t>
  </si>
  <si>
    <t>AFTS23/0001394</t>
  </si>
  <si>
    <t>AFTS23/0001380</t>
  </si>
  <si>
    <t>AFTS23/0001382</t>
  </si>
  <si>
    <t>AFTS23/0001397</t>
  </si>
  <si>
    <t>AFTS23/0001398</t>
  </si>
  <si>
    <t>AFTS23/0001400</t>
  </si>
  <si>
    <t>AFTS23/0001406</t>
  </si>
  <si>
    <t>AFTS23/0001378</t>
  </si>
  <si>
    <t>AFTS23/0001383</t>
  </si>
  <si>
    <t>AFTS23/0001463</t>
  </si>
  <si>
    <t>AFTS23/0001370</t>
  </si>
  <si>
    <t>AFTS23/0001381</t>
  </si>
  <si>
    <t>AFTS23/0001428</t>
  </si>
  <si>
    <t>AFTS23/0001438</t>
  </si>
  <si>
    <t>AFTS23/0001439</t>
  </si>
  <si>
    <t>AFTS23/0001440</t>
  </si>
  <si>
    <t>AFTS23/0001449</t>
  </si>
  <si>
    <t>AFTS23/0001450</t>
  </si>
  <si>
    <t>AFTS23/0001451</t>
  </si>
  <si>
    <t>AFTS23/0001452</t>
  </si>
  <si>
    <t>AFTS23/0001453</t>
  </si>
  <si>
    <t>AFTS23/0001454</t>
  </si>
  <si>
    <t>AFTS23/0001455</t>
  </si>
  <si>
    <t>AUE23/0001925</t>
  </si>
  <si>
    <t>AUE23/0001927</t>
  </si>
  <si>
    <t>AFTS23/0001437</t>
  </si>
  <si>
    <t>AFTS23/0001456</t>
  </si>
  <si>
    <t>AFTS23/0001457</t>
  </si>
  <si>
    <t>AFTS23/0001459</t>
  </si>
  <si>
    <t>AFTS23/0001460</t>
  </si>
  <si>
    <t>AUE23/0001928</t>
  </si>
  <si>
    <t>AUE23/0001929</t>
  </si>
  <si>
    <t>AFTS23/0001466</t>
  </si>
  <si>
    <t>AFTS23/0001467</t>
  </si>
  <si>
    <t>AFTS23/0001364</t>
  </si>
  <si>
    <t>AFTS23/0001411</t>
  </si>
  <si>
    <t>AFTS23/0001374</t>
  </si>
  <si>
    <t>AFTS23/0001405</t>
  </si>
  <si>
    <t>AFTS23/0001368</t>
  </si>
  <si>
    <t>AUE23/0001877</t>
  </si>
  <si>
    <t>AFTS23/0001430</t>
  </si>
  <si>
    <t>AFTS23/0001415</t>
  </si>
  <si>
    <t>AFTS23/0001367</t>
  </si>
  <si>
    <t>AUE23/0001878</t>
  </si>
  <si>
    <t>AFTS23/0001425</t>
  </si>
  <si>
    <t>AFTS23/0001407</t>
  </si>
  <si>
    <t>FTS23/0002141</t>
  </si>
  <si>
    <t>FTS23/0002142</t>
  </si>
  <si>
    <t>FTS23/0002143</t>
  </si>
  <si>
    <t>FTS23/0002144</t>
  </si>
  <si>
    <t>FTS23/0002146</t>
  </si>
  <si>
    <t>FTS23/0002147</t>
  </si>
  <si>
    <t>FTS23/0002148</t>
  </si>
  <si>
    <t>FTS23/0002149</t>
  </si>
  <si>
    <t>FTS23/0002156</t>
  </si>
  <si>
    <t>FTS23/0002180</t>
  </si>
  <si>
    <t>FTS23/0002181</t>
  </si>
  <si>
    <t>FTS23/0002212</t>
  </si>
  <si>
    <t>FTS23/0002226</t>
  </si>
  <si>
    <t>FTS23/0002239</t>
  </si>
  <si>
    <t>FTS23/0002240</t>
  </si>
  <si>
    <t>FTS23/0002266</t>
  </si>
  <si>
    <t>FTS23/0002267</t>
  </si>
  <si>
    <t>FTS23/0002268</t>
  </si>
  <si>
    <t>FTS23/0002295</t>
  </si>
  <si>
    <t>FTS23/0002296</t>
  </si>
  <si>
    <t>FTS23/0002300</t>
  </si>
  <si>
    <t>AUE23/0001890</t>
  </si>
  <si>
    <t>AUE23/0001936</t>
  </si>
  <si>
    <t>AUE23/1812 1813 1825 联合促销活动补2%折扣</t>
  </si>
  <si>
    <t>AFTS23/0001444</t>
  </si>
  <si>
    <t>AVU23/0000378</t>
  </si>
  <si>
    <t>盛杰现金收款</t>
    <phoneticPr fontId="15" type="noConversion"/>
  </si>
  <si>
    <t>银行</t>
    <phoneticPr fontId="15" type="noConversion"/>
  </si>
  <si>
    <t>陆夏小华现金收款2769</t>
    <phoneticPr fontId="15" type="noConversion"/>
  </si>
  <si>
    <t>陆夏小华
现金收款</t>
    <phoneticPr fontId="15" type="noConversion"/>
  </si>
  <si>
    <t>陆夏小华
现金收款3490</t>
    <phoneticPr fontId="15" type="noConversion"/>
  </si>
  <si>
    <t>发货日期</t>
    <phoneticPr fontId="15" type="noConversion"/>
  </si>
  <si>
    <t>2023/8/24陆夏小华
现金收款15000（2-1）</t>
    <phoneticPr fontId="15" type="noConversion"/>
  </si>
  <si>
    <t>2023/9/27陆夏小华
现金收款15000（2-1）</t>
    <phoneticPr fontId="15" type="noConversion"/>
  </si>
  <si>
    <t>2023/9/27陆夏小华
现金收款15000（2-2）</t>
    <phoneticPr fontId="15" type="noConversion"/>
  </si>
  <si>
    <t>发货日期</t>
    <phoneticPr fontId="15" type="noConversion"/>
  </si>
  <si>
    <t>陆夏小华现金收款2392.5</t>
    <phoneticPr fontId="15" type="noConversion"/>
  </si>
  <si>
    <t>支票存兑</t>
    <phoneticPr fontId="15" type="noConversion"/>
  </si>
  <si>
    <t>支票存兑</t>
    <phoneticPr fontId="15" type="noConversion"/>
  </si>
  <si>
    <t>支票存兑</t>
    <phoneticPr fontId="15" type="noConversion"/>
  </si>
  <si>
    <t>发货日期</t>
    <phoneticPr fontId="15" type="noConversion"/>
  </si>
  <si>
    <t>盛杰
现金收款</t>
    <phoneticPr fontId="15" type="noConversion"/>
  </si>
  <si>
    <t>盛杰
现金收款
4600</t>
    <phoneticPr fontId="15" type="noConversion"/>
  </si>
  <si>
    <t>支票存兑</t>
    <phoneticPr fontId="15" type="noConversion"/>
  </si>
  <si>
    <t>盛杰现金收款1503</t>
    <phoneticPr fontId="64" type="noConversion"/>
  </si>
  <si>
    <t>林凯现金收款6805</t>
    <phoneticPr fontId="15" type="noConversion"/>
  </si>
  <si>
    <t>林凯现金收款</t>
    <phoneticPr fontId="15" type="noConversion"/>
  </si>
  <si>
    <t>林凯现金收款5052</t>
    <phoneticPr fontId="15" type="noConversion"/>
  </si>
  <si>
    <t>盛杰现金收款</t>
    <phoneticPr fontId="15" type="noConversion"/>
  </si>
  <si>
    <t>现金收款5972</t>
    <phoneticPr fontId="15" type="noConversion"/>
  </si>
  <si>
    <t>现金收款11355</t>
    <phoneticPr fontId="15" type="noConversion"/>
  </si>
  <si>
    <t>已收未兑支票金额</t>
    <phoneticPr fontId="15" type="noConversion"/>
  </si>
  <si>
    <t>支票可兑日期</t>
    <phoneticPr fontId="15" type="noConversion"/>
  </si>
  <si>
    <t>STOCK IN SPAIN ELECTRONICS S.L 步步高</t>
    <phoneticPr fontId="15" type="noConversion"/>
  </si>
  <si>
    <t>2023-10-06</t>
  </si>
  <si>
    <t>AFTS23/0001492</t>
  </si>
  <si>
    <t>FTS23/0002308</t>
  </si>
  <si>
    <t>FTS23/0002240没有折扣，默认折扣20,补差价开具*AA*</t>
  </si>
  <si>
    <t>AFTS23/0001532</t>
  </si>
  <si>
    <t>AFTS23/0001536</t>
  </si>
  <si>
    <t>AFTS23/0001540</t>
  </si>
  <si>
    <t>AFTS23/0001545</t>
  </si>
  <si>
    <t>AFTS23/0001546</t>
  </si>
  <si>
    <t>AFTS23/0001547</t>
  </si>
  <si>
    <t>AFTS23/0001519</t>
  </si>
  <si>
    <t>AFTS23/0001534</t>
  </si>
  <si>
    <t>AFTS23/0001537</t>
  </si>
  <si>
    <t>FTS23/0002316</t>
  </si>
  <si>
    <t>AFTS23/0001528</t>
  </si>
  <si>
    <t>AFTS23/0001533</t>
  </si>
  <si>
    <t>AFTS23/0001539</t>
  </si>
  <si>
    <t>AFTS23/0001512</t>
  </si>
  <si>
    <t>AFTS23/0001568</t>
  </si>
  <si>
    <t>AFTS23/0001560</t>
  </si>
  <si>
    <t>AFTS23/0001558</t>
  </si>
  <si>
    <t>AFTS23/0001549</t>
  </si>
  <si>
    <t>AFTS23/0001550</t>
  </si>
  <si>
    <t>AFTS23/0001557</t>
  </si>
  <si>
    <t>AFTS23/0001561</t>
  </si>
  <si>
    <t>AFTS23/0001563</t>
  </si>
  <si>
    <t>AFTS23/0001569</t>
  </si>
  <si>
    <t>AFTS23/0001555</t>
  </si>
  <si>
    <t>AFTS23/0001565</t>
  </si>
  <si>
    <t>AFTS23/0001566</t>
  </si>
  <si>
    <t>AUE23/0001982</t>
  </si>
  <si>
    <t>AFTS23/0001564</t>
  </si>
  <si>
    <t>AFTS23/0001567</t>
  </si>
  <si>
    <t>AFTS23/0001543</t>
  </si>
  <si>
    <t>FTS23/0002332</t>
  </si>
  <si>
    <t>FTS23/0002341</t>
  </si>
  <si>
    <t>FTS23/0002342</t>
  </si>
  <si>
    <t>FTS23/0002355</t>
  </si>
  <si>
    <t>AFTS23/0001544</t>
  </si>
  <si>
    <t>陆夏小华现金收款</t>
    <phoneticPr fontId="15" type="noConversion"/>
  </si>
  <si>
    <t>陆夏小华
现金收款4740</t>
    <phoneticPr fontId="15" type="noConversion"/>
  </si>
  <si>
    <t>陆夏小华
现金收款</t>
    <phoneticPr fontId="15" type="noConversion"/>
  </si>
  <si>
    <t>陆夏小华
现金收款</t>
    <phoneticPr fontId="15" type="noConversion"/>
  </si>
  <si>
    <t>盛杰现金收款</t>
    <phoneticPr fontId="63" type="noConversion"/>
  </si>
  <si>
    <t>盛杰现金收款
915</t>
    <phoneticPr fontId="63" type="noConversion"/>
  </si>
  <si>
    <t>盛杰
现金收款2331</t>
    <phoneticPr fontId="15" type="noConversion"/>
  </si>
  <si>
    <t>盛杰
现金收款3368</t>
    <phoneticPr fontId="15" type="noConversion"/>
  </si>
  <si>
    <t>盛杰
现金收款4174</t>
    <phoneticPr fontId="15" type="noConversion"/>
  </si>
  <si>
    <t>AFTS23/0001577</t>
  </si>
  <si>
    <t>AFTS23/0001578</t>
  </si>
  <si>
    <t>AFTS23/0001579</t>
  </si>
  <si>
    <t>AFTS23/0001580</t>
  </si>
  <si>
    <t>AFTS23/0001586</t>
  </si>
  <si>
    <t>AFTS23/0001605</t>
  </si>
  <si>
    <t>AFTS23/0001585</t>
  </si>
  <si>
    <t>AFTS23/0001590</t>
  </si>
  <si>
    <t>AFTS23/0001591</t>
  </si>
  <si>
    <t>9333在客户那里走不动，为了重新合作，做一口价差价单//差价777.4//OA流程子航审批</t>
  </si>
  <si>
    <t>AFTS23/0001589</t>
  </si>
  <si>
    <t>AFTS23/0001635</t>
  </si>
  <si>
    <t>AFTS23/0001642</t>
  </si>
  <si>
    <t>AFTS23/0001636</t>
  </si>
  <si>
    <t>AFTS23/0001637</t>
  </si>
  <si>
    <t>AFTS23/0001646</t>
  </si>
  <si>
    <t>AFTS23/0001592</t>
  </si>
  <si>
    <t>AUE23/0001988</t>
  </si>
  <si>
    <t>AFTS23/0001600</t>
  </si>
  <si>
    <t>AFTS23/0001611</t>
  </si>
  <si>
    <t>AFTS23/0001612</t>
  </si>
  <si>
    <t>AFTS23/0001606</t>
  </si>
  <si>
    <t>AFTS23/0001607</t>
  </si>
  <si>
    <t>AUE23/0001997</t>
  </si>
  <si>
    <t>AUE23/0001998</t>
  </si>
  <si>
    <t>AFTS23/0001631</t>
  </si>
  <si>
    <t>AFTS23/0001582</t>
  </si>
  <si>
    <t>AFTS23/0001620</t>
  </si>
  <si>
    <t>AFTS23/0001616</t>
  </si>
  <si>
    <t>AFTS23/0001617</t>
  </si>
  <si>
    <t>AFTS23/0001641</t>
  </si>
  <si>
    <t>AUE23/0002010</t>
  </si>
  <si>
    <t>FTS23/0002381</t>
  </si>
  <si>
    <t>FTS23/0002384</t>
  </si>
  <si>
    <t>FTS23/0002393</t>
  </si>
  <si>
    <t>FTS23/0002394</t>
  </si>
  <si>
    <t>FTS23/0002420</t>
  </si>
  <si>
    <t>FTS23/0002437</t>
  </si>
  <si>
    <t>FTS23/0002452</t>
  </si>
  <si>
    <t>FTS23/0002457</t>
  </si>
  <si>
    <t>AFTS23/0001623</t>
  </si>
  <si>
    <t>银行</t>
    <phoneticPr fontId="15" type="noConversion"/>
  </si>
  <si>
    <t>其他抵扣</t>
    <phoneticPr fontId="15" type="noConversion"/>
  </si>
  <si>
    <t>XHC BRICO 2019 S.L 枫叶</t>
    <phoneticPr fontId="15" type="noConversion"/>
  </si>
  <si>
    <r>
      <t xml:space="preserve">XHC BRICO 2019 S.L </t>
    </r>
    <r>
      <rPr>
        <sz val="11"/>
        <rFont val="宋体"/>
        <family val="3"/>
        <charset val="134"/>
      </rPr>
      <t>枫叶</t>
    </r>
    <phoneticPr fontId="15" type="noConversion"/>
  </si>
  <si>
    <t>盛杰
现金收款</t>
    <phoneticPr fontId="15" type="noConversion"/>
  </si>
  <si>
    <t>盛杰
现金收款872</t>
    <phoneticPr fontId="15" type="noConversion"/>
  </si>
  <si>
    <r>
      <t xml:space="preserve">MADE IN CHINA 2022 S.L </t>
    </r>
    <r>
      <rPr>
        <sz val="11"/>
        <rFont val="宋体"/>
        <family val="3"/>
        <charset val="134"/>
      </rPr>
      <t>米克</t>
    </r>
    <phoneticPr fontId="15" type="noConversion"/>
  </si>
  <si>
    <t>盛杰现金收款</t>
    <phoneticPr fontId="15" type="noConversion"/>
  </si>
  <si>
    <t>银行</t>
    <phoneticPr fontId="15" type="noConversion"/>
  </si>
  <si>
    <t>FTS23/0002512</t>
  </si>
  <si>
    <t>AFTS23/0001662</t>
  </si>
  <si>
    <t>AFTS23/0001681</t>
  </si>
  <si>
    <t>AFTS23/0001654</t>
  </si>
  <si>
    <t>AFTS23/0001655</t>
  </si>
  <si>
    <t>AFTS23/0001656</t>
  </si>
  <si>
    <t>AFTS23/0001657</t>
  </si>
  <si>
    <t>AFTS23/0001658</t>
  </si>
  <si>
    <t>AFTS23/0001659</t>
  </si>
  <si>
    <t>AFTS23/0001660</t>
  </si>
  <si>
    <t>AUE23/0002017</t>
  </si>
  <si>
    <t>AUE23/0002018</t>
  </si>
  <si>
    <t>AUE23/0002019</t>
  </si>
  <si>
    <t>AUE23/0002020</t>
  </si>
  <si>
    <t>AUE23/0002021</t>
  </si>
  <si>
    <t>UE23/0001597</t>
  </si>
  <si>
    <t>UE23/0001598</t>
  </si>
  <si>
    <t>UE23/0001599</t>
  </si>
  <si>
    <t>AFTS23/0001691</t>
  </si>
  <si>
    <t>AFTS23/0001675</t>
  </si>
  <si>
    <t>AFTS23/0001686</t>
  </si>
  <si>
    <t>AFTS23/0001689</t>
  </si>
  <si>
    <t>AFTS23/0001692</t>
  </si>
  <si>
    <t>AFTS23/0001693</t>
  </si>
  <si>
    <t>AFTS23/0001696</t>
  </si>
  <si>
    <t>AFTS23/0001690</t>
  </si>
  <si>
    <t>AFTS23/0001663</t>
  </si>
  <si>
    <t>AUE23/0002022</t>
  </si>
  <si>
    <t>AUE23/1516 AUE23/1517收FUTURE支票5981.12换单据</t>
  </si>
  <si>
    <t>AUE23/0001932</t>
    <phoneticPr fontId="15" type="noConversion"/>
  </si>
  <si>
    <t>AFTS23/0001652</t>
  </si>
  <si>
    <t>AFTS23/0001653</t>
  </si>
  <si>
    <t>AUE23/0002016</t>
  </si>
  <si>
    <t>FTS23/0002470</t>
  </si>
  <si>
    <t>FTS23/0002472</t>
  </si>
  <si>
    <t>FTS23/0002473</t>
  </si>
  <si>
    <t>FTS23/0002477</t>
  </si>
  <si>
    <t>FTS23/0002478</t>
  </si>
  <si>
    <t>FTS23/0002517</t>
  </si>
  <si>
    <t>FTS23/0002522</t>
  </si>
  <si>
    <t>FTS23/0002538</t>
  </si>
  <si>
    <t>FTS23/0002540</t>
  </si>
  <si>
    <t>ALMACEN LAKESIDE HUI-陈氏</t>
    <phoneticPr fontId="15" type="noConversion"/>
  </si>
  <si>
    <r>
      <t>ALMACEN LAKESIDE HUI-</t>
    </r>
    <r>
      <rPr>
        <sz val="11"/>
        <color rgb="FFFF0000"/>
        <rFont val="宋体"/>
        <family val="3"/>
        <charset val="134"/>
      </rPr>
      <t>陈氏</t>
    </r>
    <phoneticPr fontId="15" type="noConversion"/>
  </si>
  <si>
    <t>孙岩成现金收款</t>
    <phoneticPr fontId="69" type="noConversion"/>
  </si>
  <si>
    <t>孙岩成现金收款</t>
    <phoneticPr fontId="69" type="noConversion"/>
  </si>
  <si>
    <t>银行</t>
    <phoneticPr fontId="15" type="noConversion"/>
  </si>
  <si>
    <t>陆夏小华
现金收款</t>
    <phoneticPr fontId="15" type="noConversion"/>
  </si>
  <si>
    <t>陆夏小华
现金收款</t>
    <phoneticPr fontId="15" type="noConversion"/>
  </si>
  <si>
    <t>陆夏小华现金收款
2790</t>
    <phoneticPr fontId="15" type="noConversion"/>
  </si>
  <si>
    <t>陆夏小华现金收款
2417</t>
    <phoneticPr fontId="15" type="noConversion"/>
  </si>
  <si>
    <t>陆夏小华
现金收款</t>
    <phoneticPr fontId="15" type="noConversion"/>
  </si>
  <si>
    <t>发货日期</t>
    <phoneticPr fontId="70" type="noConversion"/>
  </si>
  <si>
    <t>陆夏小华
现金收款
5360</t>
    <phoneticPr fontId="70" type="noConversion"/>
  </si>
  <si>
    <t>其他抵扣</t>
    <phoneticPr fontId="15" type="noConversion"/>
  </si>
  <si>
    <t>支票存兑</t>
    <phoneticPr fontId="15" type="noConversion"/>
  </si>
  <si>
    <t>支票存兑</t>
    <phoneticPr fontId="15" type="noConversion"/>
  </si>
  <si>
    <t>银行</t>
    <phoneticPr fontId="15" type="noConversion"/>
  </si>
  <si>
    <t>AFTS23/0001285</t>
    <phoneticPr fontId="15" type="noConversion"/>
  </si>
  <si>
    <t>FTS23/0002562</t>
  </si>
  <si>
    <t>AFTS23/0001739</t>
  </si>
  <si>
    <t>AFTS23/0001744</t>
  </si>
  <si>
    <t>AFTS23/0001750</t>
  </si>
  <si>
    <t>AUE23/0002081</t>
  </si>
  <si>
    <t>AFTS23/0001726</t>
  </si>
  <si>
    <t>AFTS23/0001751</t>
  </si>
  <si>
    <t>AUE23/0002082</t>
  </si>
  <si>
    <t>AFTS23/0001707</t>
  </si>
  <si>
    <t>AFTS23/0001713</t>
  </si>
  <si>
    <t>AFTS23/0001747</t>
  </si>
  <si>
    <t>AFTS23/0001734</t>
  </si>
  <si>
    <t>AFTS23/0001752</t>
  </si>
  <si>
    <t>ALMACEN LAKESIDE HUI-陈氏</t>
  </si>
  <si>
    <t>AFTS23/0001708</t>
  </si>
  <si>
    <t>AFTS23/0001706</t>
  </si>
  <si>
    <t>AFTS23/0001703</t>
  </si>
  <si>
    <t>AFTS23/0001749</t>
  </si>
  <si>
    <t>AFTS23/0001730</t>
  </si>
  <si>
    <t>AFTS23/0001731</t>
  </si>
  <si>
    <t>AFTS23/0001732</t>
  </si>
  <si>
    <t>AFTS23/0001733</t>
  </si>
  <si>
    <t>AUE23/0002052</t>
  </si>
  <si>
    <t>AUE23/0002053</t>
  </si>
  <si>
    <t>FTS23/0002578</t>
  </si>
  <si>
    <t>AFTS23/0001740</t>
  </si>
  <si>
    <t>AFTS23/0001743</t>
  </si>
  <si>
    <t>FTS23/0002557</t>
  </si>
  <si>
    <t>FTS23/0002558</t>
  </si>
  <si>
    <t>FTS23/0002573</t>
  </si>
  <si>
    <t>FTS23/0002576</t>
  </si>
  <si>
    <t>FTS23/0002579</t>
  </si>
  <si>
    <t>FTS23/0002589</t>
  </si>
  <si>
    <t>FTS23/0002590</t>
  </si>
  <si>
    <t>其他抵扣</t>
    <phoneticPr fontId="15" type="noConversion"/>
  </si>
  <si>
    <t>孙岩成现金收款3298</t>
    <phoneticPr fontId="15" type="noConversion"/>
  </si>
  <si>
    <t>孙岩成现金收款</t>
    <phoneticPr fontId="15" type="noConversion"/>
  </si>
  <si>
    <t>孙岩成
现金收款</t>
    <phoneticPr fontId="15" type="noConversion"/>
  </si>
  <si>
    <t>孙岩成现金收款4455</t>
    <phoneticPr fontId="15" type="noConversion"/>
  </si>
  <si>
    <t>孙岩成现金收款</t>
    <phoneticPr fontId="15" type="noConversion"/>
  </si>
  <si>
    <t>孙岩成现金收款</t>
    <phoneticPr fontId="15" type="noConversion"/>
  </si>
  <si>
    <t>孙岩成现金收款7639（2-1）</t>
    <phoneticPr fontId="15" type="noConversion"/>
  </si>
  <si>
    <t>孙岩成现金收款7639（2-2）</t>
    <phoneticPr fontId="15" type="noConversion"/>
  </si>
  <si>
    <t>孙岩成现金收款7826.5</t>
    <phoneticPr fontId="15" type="noConversion"/>
  </si>
  <si>
    <t>盛杰
现金收款</t>
    <phoneticPr fontId="15" type="noConversion"/>
  </si>
  <si>
    <t>盛杰
现金收款</t>
    <phoneticPr fontId="15" type="noConversion"/>
  </si>
  <si>
    <t>郭水文现金退款</t>
    <phoneticPr fontId="15" type="noConversion"/>
  </si>
  <si>
    <t>银行</t>
    <phoneticPr fontId="15" type="noConversion"/>
  </si>
  <si>
    <t>银行</t>
    <phoneticPr fontId="15" type="noConversion"/>
  </si>
  <si>
    <t>802190661</t>
  </si>
  <si>
    <t>HODA SINGLE PERSON PC</t>
  </si>
  <si>
    <t>181159115</t>
  </si>
  <si>
    <t>XU WAN LI HAIYANG</t>
  </si>
  <si>
    <t>123316320</t>
  </si>
  <si>
    <t>WANG DEFENG</t>
  </si>
  <si>
    <t>黄子航</t>
    <phoneticPr fontId="15" type="noConversion"/>
  </si>
  <si>
    <t>GREECE</t>
    <phoneticPr fontId="15" type="noConversion"/>
  </si>
  <si>
    <t>AFTS23/0001758</t>
  </si>
  <si>
    <t>AUE23/0002103</t>
  </si>
  <si>
    <t>AFTS23/0001770</t>
  </si>
  <si>
    <t>AUE23/0002094</t>
  </si>
  <si>
    <t>AFTS23/0001764</t>
  </si>
  <si>
    <t>FTS23/0002611</t>
  </si>
  <si>
    <t>AFTS23/0001761</t>
  </si>
  <si>
    <t>AFTS23/0001785</t>
  </si>
  <si>
    <t>AFTS23/0001776</t>
  </si>
  <si>
    <t>AFTS23/0001767</t>
  </si>
  <si>
    <t>AUE23/0002092</t>
  </si>
  <si>
    <t>AFTS23/0001772</t>
  </si>
  <si>
    <t>FTS23/0002622</t>
  </si>
  <si>
    <t>FTS23/0002639</t>
  </si>
  <si>
    <t>FTS23/0002640</t>
  </si>
  <si>
    <t>FTS23/0002654</t>
  </si>
  <si>
    <t>AUE23/0002098</t>
  </si>
  <si>
    <t>FTS23/0002623</t>
  </si>
  <si>
    <t>AFTS23/0001780</t>
  </si>
  <si>
    <t>物料</t>
    <phoneticPr fontId="15" type="noConversion"/>
  </si>
  <si>
    <t>FTS23/0002626</t>
  </si>
  <si>
    <t>AFTS23/0001781</t>
  </si>
  <si>
    <t>FTS23/0002619</t>
  </si>
  <si>
    <t>AFTS23/0001779</t>
  </si>
  <si>
    <t>AVU23/0000396</t>
  </si>
  <si>
    <t>AFTS23/0001760</t>
  </si>
  <si>
    <t>陆夏小华
现金收款</t>
    <phoneticPr fontId="15" type="noConversion"/>
  </si>
  <si>
    <t>陆夏小华
现金收款
2331</t>
    <phoneticPr fontId="15" type="noConversion"/>
  </si>
  <si>
    <r>
      <t xml:space="preserve">J&amp;C REPARACIONES Y ACCEORIO DE MOVILES S.L </t>
    </r>
    <r>
      <rPr>
        <sz val="11"/>
        <rFont val="宋体"/>
        <family val="3"/>
        <charset val="134"/>
      </rPr>
      <t>超能</t>
    </r>
    <phoneticPr fontId="15" type="noConversion"/>
  </si>
  <si>
    <t>陆夏小华
现金收款
1910</t>
    <phoneticPr fontId="15" type="noConversion"/>
  </si>
  <si>
    <t>银行</t>
    <phoneticPr fontId="15" type="noConversion"/>
  </si>
  <si>
    <t>其他抵扣</t>
    <phoneticPr fontId="15" type="noConversion"/>
  </si>
  <si>
    <t>AFTS23/0001847</t>
  </si>
  <si>
    <t>陆夏小华OA流程//20231113//Cash Hogar CB8485 补开差价单</t>
  </si>
  <si>
    <t>AFTS23/0001821</t>
  </si>
  <si>
    <t>FTS23/0002806</t>
  </si>
  <si>
    <t>AFTS23/0001792</t>
  </si>
  <si>
    <t>AFTS23/0001793</t>
  </si>
  <si>
    <t>AFTS23/0001802</t>
  </si>
  <si>
    <t>AUE23/0002106</t>
  </si>
  <si>
    <t>AFTS23/0001820</t>
  </si>
  <si>
    <t>AFTS23/0001824</t>
  </si>
  <si>
    <t>AFTS23/0001789</t>
  </si>
  <si>
    <t>AFTS23/0001790</t>
  </si>
  <si>
    <t>UE23/0001679</t>
  </si>
  <si>
    <t>UE23/0001685</t>
  </si>
  <si>
    <t>AUE23/0002094+AUE23/0001833+AUE23/0001832+AUE23/0001738收款，核销UE23/0001678，特殊处理</t>
  </si>
  <si>
    <t>多开了UE23/0001679，需要将其冲销掉，特殊处理</t>
  </si>
  <si>
    <t>AFTS23/0001798</t>
  </si>
  <si>
    <t>AFTS23/0001801</t>
  </si>
  <si>
    <t>AFTS23/0001827</t>
  </si>
  <si>
    <t>AFTS23/0001828</t>
  </si>
  <si>
    <t>AFTS23/0001816</t>
  </si>
  <si>
    <t>AFTS23/0001795</t>
  </si>
  <si>
    <t>AFTS23/0001796</t>
  </si>
  <si>
    <t>AFTS23/0001817</t>
  </si>
  <si>
    <t>AFTS23/0001799</t>
  </si>
  <si>
    <t>AFTS23/0001845</t>
  </si>
  <si>
    <t>AFTS23/0001849</t>
  </si>
  <si>
    <t>AFTS23/0001815</t>
  </si>
  <si>
    <t>AFTS23/0001834</t>
  </si>
  <si>
    <t>AUE23/0002142</t>
  </si>
  <si>
    <t>AFTS23/0001807</t>
  </si>
  <si>
    <t>AFTS23/0001808</t>
  </si>
  <si>
    <t>AFTS23/0001809</t>
  </si>
  <si>
    <t>AFTS23/0001810</t>
  </si>
  <si>
    <t>AUE23/0002115</t>
  </si>
  <si>
    <t>AUE23/0002116</t>
  </si>
  <si>
    <t>AUE23/0002117</t>
  </si>
  <si>
    <t>AUE23/0002118</t>
  </si>
  <si>
    <t>AUE23/0002119</t>
  </si>
  <si>
    <t>AUE23/0002120</t>
  </si>
  <si>
    <t>AUE23/0002121</t>
  </si>
  <si>
    <t>AUE23/0002122</t>
  </si>
  <si>
    <t>AUE23/0002123</t>
  </si>
  <si>
    <t>AUE23/0002124</t>
  </si>
  <si>
    <t>AUE23/0002125</t>
  </si>
  <si>
    <t>AUE23/0002126</t>
  </si>
  <si>
    <t>AUE23/0002127</t>
  </si>
  <si>
    <t>AUE23/0002128</t>
  </si>
  <si>
    <t>AUE23/0002129</t>
  </si>
  <si>
    <t>AUE23/0002130</t>
  </si>
  <si>
    <t>AFTS23/0001825</t>
  </si>
  <si>
    <t>AFTS23/0001836</t>
  </si>
  <si>
    <t>AFTS23/0001837</t>
  </si>
  <si>
    <t>AFTS23/0001838</t>
  </si>
  <si>
    <t>AFTS23/0001839</t>
  </si>
  <si>
    <t>AFTS23/0001840</t>
  </si>
  <si>
    <t>AFTS23/0001841</t>
  </si>
  <si>
    <t>AFTS23/0001842</t>
  </si>
  <si>
    <t>AFTS23/0001843</t>
  </si>
  <si>
    <t>AFTS23/0001844</t>
  </si>
  <si>
    <t>AUE23/0002144</t>
  </si>
  <si>
    <t>FTS23/0002687</t>
  </si>
  <si>
    <t>FTS23/0002688</t>
  </si>
  <si>
    <t>FTS23/0002759</t>
  </si>
  <si>
    <t>FTS23/0002760</t>
  </si>
  <si>
    <t>FTS23/0002831</t>
  </si>
  <si>
    <t>AVU23/0000400</t>
  </si>
  <si>
    <t>其他抵扣</t>
    <phoneticPr fontId="15" type="noConversion"/>
  </si>
  <si>
    <t>盛杰
现金收款</t>
    <phoneticPr fontId="15" type="noConversion"/>
  </si>
  <si>
    <t>盛杰
现金收款</t>
    <phoneticPr fontId="15" type="noConversion"/>
  </si>
  <si>
    <t>银行</t>
    <phoneticPr fontId="15" type="noConversion"/>
  </si>
  <si>
    <t>盛杰
现金收款</t>
    <phoneticPr fontId="15" type="noConversion"/>
  </si>
  <si>
    <t>盛杰
现金收款3020</t>
    <phoneticPr fontId="15" type="noConversion"/>
  </si>
  <si>
    <t>盛杰
现金收款
1715</t>
    <phoneticPr fontId="15" type="noConversion"/>
  </si>
  <si>
    <t>盛杰现金收款</t>
  </si>
  <si>
    <t>盛杰
现金收款
881</t>
    <phoneticPr fontId="15" type="noConversion"/>
  </si>
  <si>
    <t>盛杰现金收款1985</t>
    <phoneticPr fontId="6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</si>
</sst>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 * #,##0.00_ ;_ * \-#,##0.00_ ;_ * &quot;-&quot;??_ ;_ @_ "/>
    <numFmt numFmtId="176" formatCode="[$-F800]dddd\,\ mmmm\ dd\,\ yyyy"/>
    <numFmt numFmtId="177" formatCode="d/m/yyyy"/>
    <numFmt numFmtId="178" formatCode="dd/mm/yyyy"/>
    <numFmt numFmtId="179" formatCode="dd\-mm\-yyyy"/>
    <numFmt numFmtId="180" formatCode="0.00_ "/>
    <numFmt numFmtId="181" formatCode="yyyy\.mm\.dd;@"/>
    <numFmt numFmtId="182" formatCode="#,##0.00_ "/>
    <numFmt numFmtId="183" formatCode="0.00_);[Red]\(0.00\)"/>
    <numFmt numFmtId="184" formatCode="yyyy\-mm\-dd"/>
  </numFmts>
  <fonts count="87">
    <font>
      <sz val="12"/>
      <name val="宋体"/>
      <charset val="134"/>
    </font>
    <font>
      <sz val="12"/>
      <name val="SimSun"/>
      <charset val="134"/>
    </font>
    <font>
      <sz val="10"/>
      <name val="Arial"/>
      <family val="2"/>
    </font>
    <font>
      <sz val="10"/>
      <name val="宋体"/>
      <family val="3"/>
      <charset val="134"/>
    </font>
    <font>
      <sz val="12"/>
      <name val="Calibri"/>
      <family val="2"/>
    </font>
    <font>
      <sz val="12"/>
      <name val="Arial"/>
      <family val="2"/>
    </font>
    <font>
      <sz val="11"/>
      <name val="Consolas"/>
      <family val="3"/>
    </font>
    <font>
      <sz val="9"/>
      <name val="Consolas"/>
      <family val="3"/>
    </font>
    <font>
      <sz val="11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indexed="8"/>
      <name val="Calibri"/>
      <family val="2"/>
    </font>
    <font>
      <sz val="12"/>
      <color indexed="8"/>
      <name val="SimSun"/>
      <charset val="134"/>
    </font>
    <font>
      <sz val="12"/>
      <color indexed="10"/>
      <name val="宋体"/>
      <family val="3"/>
      <charset val="134"/>
    </font>
    <font>
      <sz val="12"/>
      <color indexed="10"/>
      <name val="Calibri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1"/>
      <name val="Arial"/>
      <family val="2"/>
    </font>
    <font>
      <sz val="11"/>
      <name val="Calibri"/>
      <family val="2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0"/>
      <color rgb="FFFF0000"/>
      <name val="Arial"/>
      <family val="2"/>
    </font>
    <font>
      <sz val="10"/>
      <color rgb="FFFF0000"/>
      <name val="宋体"/>
      <family val="3"/>
      <charset val="134"/>
    </font>
    <font>
      <sz val="10"/>
      <color theme="1"/>
      <name val="Arial"/>
      <family val="2"/>
    </font>
    <font>
      <sz val="12"/>
      <color theme="1"/>
      <name val="SimSun"/>
      <charset val="134"/>
    </font>
    <font>
      <sz val="10"/>
      <color rgb="FF000000"/>
      <name val="Arial"/>
      <family val="2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rgb="FFFF0000"/>
      <name val="宋体"/>
      <family val="3"/>
      <charset val="134"/>
    </font>
    <font>
      <sz val="12"/>
      <color rgb="FFFF0000"/>
      <name val="SimSun"/>
      <charset val="134"/>
    </font>
    <font>
      <sz val="12"/>
      <color rgb="FFFF0000"/>
      <name val="Arial"/>
      <family val="2"/>
    </font>
    <font>
      <sz val="12"/>
      <color rgb="FF002060"/>
      <name val="宋体"/>
      <family val="3"/>
      <charset val="134"/>
    </font>
    <font>
      <u/>
      <sz val="11"/>
      <color rgb="FF002060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4"/>
      <color theme="1"/>
      <name val="SimSun"/>
      <charset val="134"/>
    </font>
    <font>
      <u/>
      <sz val="11"/>
      <color theme="1"/>
      <name val="宋体"/>
      <family val="3"/>
      <charset val="134"/>
      <scheme val="minor"/>
    </font>
    <font>
      <sz val="11"/>
      <color theme="1"/>
      <name val="Consolas"/>
      <family val="3"/>
    </font>
    <font>
      <u/>
      <sz val="1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6"/>
      <color theme="1"/>
      <name val="Arial"/>
      <family val="2"/>
    </font>
    <font>
      <sz val="9"/>
      <color theme="1"/>
      <name val="Consolas"/>
      <family val="3"/>
    </font>
    <font>
      <sz val="11"/>
      <color theme="1"/>
      <name val="宋体"/>
      <family val="3"/>
      <charset val="134"/>
    </font>
    <font>
      <sz val="11"/>
      <color theme="1"/>
      <name val="SimSun"/>
      <charset val="134"/>
    </font>
    <font>
      <sz val="11"/>
      <name val="宋体"/>
      <family val="3"/>
      <charset val="134"/>
      <scheme val="minor"/>
    </font>
    <font>
      <sz val="12"/>
      <color rgb="FF000000"/>
      <name val="Calibri"/>
      <family val="2"/>
    </font>
    <font>
      <sz val="10"/>
      <color theme="1"/>
      <name val="Calibri"/>
      <family val="2"/>
    </font>
    <font>
      <sz val="12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Calibri"/>
      <family val="2"/>
    </font>
    <font>
      <sz val="11"/>
      <color rgb="FFFF0000"/>
      <name val="宋体"/>
      <family val="3"/>
      <charset val="134"/>
    </font>
    <font>
      <sz val="11"/>
      <color rgb="FFFF0000"/>
      <name val="Calibri"/>
      <family val="2"/>
    </font>
    <font>
      <b/>
      <sz val="11"/>
      <color theme="1"/>
      <name val="宋体"/>
      <family val="3"/>
      <charset val="134"/>
    </font>
    <font>
      <sz val="12"/>
      <color rgb="FF0000FF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theme="1"/>
      <name val="Arial"/>
      <family val="2"/>
    </font>
    <font>
      <sz val="9"/>
      <color rgb="FF0000FF"/>
      <name val="Consolas"/>
      <family val="3"/>
    </font>
    <font>
      <sz val="12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Consolas"/>
      <family val="3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u/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color rgb="FFFF0000"/>
      <name val="Consolas"/>
      <family val="3"/>
    </font>
    <font>
      <sz val="12"/>
      <color theme="1"/>
      <name val="Consolas"/>
      <family val="3"/>
    </font>
    <font>
      <sz val="11"/>
      <color rgb="FFFF0000"/>
      <name val="Consolas"/>
      <family val="3"/>
    </font>
    <font>
      <u/>
      <sz val="11"/>
      <name val="Consolas"/>
      <family val="3"/>
    </font>
    <font>
      <u/>
      <sz val="11"/>
      <color theme="1"/>
      <name val="Consolas"/>
      <family val="3"/>
    </font>
    <font>
      <b/>
      <sz val="11"/>
      <color theme="1"/>
      <name val="Consolas"/>
      <family val="3"/>
    </font>
    <font>
      <sz val="11"/>
      <color rgb="FF002060"/>
      <name val="Consolas"/>
      <family val="3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u/>
      <sz val="12"/>
      <name val="宋体"/>
      <family val="3"/>
      <charset val="134"/>
      <scheme val="minor"/>
    </font>
    <font>
      <sz val="11"/>
      <color rgb="FF000000"/>
      <name val="Consolas"/>
      <family val="3"/>
    </font>
    <font>
      <sz val="11"/>
      <name val="SimSun"/>
      <charset val="134"/>
    </font>
    <font>
      <sz val="14"/>
      <name val="SimSun"/>
      <charset val="134"/>
    </font>
    <font>
      <sz val="11"/>
      <color rgb="FF000000"/>
      <name val="宋体"/>
      <family val="3"/>
      <charset val="134"/>
    </font>
    <font>
      <b/>
      <sz val="11"/>
      <color rgb="FF000000"/>
      <name val="Consolas"/>
      <family val="3"/>
    </font>
    <font>
      <sz val="12"/>
      <name val="宋体"/>
      <family val="3"/>
      <charset val="13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8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176" fontId="0" fillId="0" borderId="0">
      <alignment vertical="center"/>
    </xf>
    <xf numFmtId="176" fontId="4" fillId="0" borderId="0"/>
    <xf numFmtId="176" fontId="23" fillId="0" borderId="0">
      <alignment vertical="center"/>
    </xf>
    <xf numFmtId="176" fontId="4" fillId="0" borderId="0"/>
    <xf numFmtId="176" fontId="24" fillId="0" borderId="0" applyNumberFormat="0" applyFill="0" applyBorder="0" applyAlignment="0" applyProtection="0">
      <alignment vertical="center"/>
    </xf>
    <xf numFmtId="43" fontId="66" fillId="0" borderId="0" applyFont="0" applyFill="0" applyBorder="0" applyAlignment="0" applyProtection="0">
      <alignment vertical="center"/>
    </xf>
  </cellStyleXfs>
  <cellXfs count="2416">
    <xf numFmtId="176" fontId="0" fillId="0" borderId="0" xfId="0">
      <alignment vertical="center"/>
    </xf>
    <xf numFmtId="176" fontId="0" fillId="0" borderId="0" xfId="0" applyFont="1">
      <alignment vertical="center"/>
    </xf>
    <xf numFmtId="176" fontId="1" fillId="0" borderId="1" xfId="0" applyFont="1" applyFill="1" applyBorder="1" applyAlignment="1">
      <alignment horizontal="center" vertical="center"/>
    </xf>
    <xf numFmtId="176" fontId="1" fillId="0" borderId="1" xfId="0" applyFont="1" applyFill="1" applyBorder="1" applyAlignment="1">
      <alignment horizontal="center"/>
    </xf>
    <xf numFmtId="176" fontId="0" fillId="0" borderId="1" xfId="0" applyBorder="1" applyAlignment="1">
      <alignment horizontal="center" vertical="center"/>
    </xf>
    <xf numFmtId="176" fontId="0" fillId="0" borderId="1" xfId="0" applyFont="1" applyBorder="1" applyAlignment="1">
      <alignment horizontal="center" vertical="center"/>
    </xf>
    <xf numFmtId="176" fontId="2" fillId="0" borderId="1" xfId="0" applyFont="1" applyFill="1" applyBorder="1" applyAlignment="1">
      <alignment horizontal="center"/>
    </xf>
    <xf numFmtId="177" fontId="2" fillId="0" borderId="1" xfId="0" applyNumberFormat="1" applyFont="1" applyFill="1" applyBorder="1" applyAlignment="1">
      <alignment horizontal="center" vertical="center"/>
    </xf>
    <xf numFmtId="176" fontId="3" fillId="0" borderId="1" xfId="0" applyFont="1" applyFill="1" applyBorder="1" applyAlignment="1">
      <alignment horizontal="center"/>
    </xf>
    <xf numFmtId="177" fontId="25" fillId="0" borderId="1" xfId="0" applyNumberFormat="1" applyFont="1" applyFill="1" applyBorder="1" applyAlignment="1">
      <alignment horizontal="center" vertical="center"/>
    </xf>
    <xf numFmtId="176" fontId="25" fillId="0" borderId="1" xfId="0" applyFont="1" applyFill="1" applyBorder="1" applyAlignment="1">
      <alignment horizontal="center"/>
    </xf>
    <xf numFmtId="176" fontId="25" fillId="0" borderId="1" xfId="0" applyFont="1" applyFill="1" applyBorder="1" applyAlignment="1">
      <alignment horizontal="center" vertical="center"/>
    </xf>
    <xf numFmtId="176" fontId="25" fillId="0" borderId="12" xfId="0" applyFont="1" applyFill="1" applyBorder="1" applyAlignment="1">
      <alignment horizontal="center" vertical="center"/>
    </xf>
    <xf numFmtId="176" fontId="25" fillId="0" borderId="12" xfId="0" applyFont="1" applyFill="1" applyBorder="1" applyAlignment="1">
      <alignment horizontal="center"/>
    </xf>
    <xf numFmtId="176" fontId="26" fillId="0" borderId="12" xfId="0" applyFont="1" applyFill="1" applyBorder="1" applyAlignment="1">
      <alignment horizontal="center"/>
    </xf>
    <xf numFmtId="176" fontId="27" fillId="0" borderId="12" xfId="0" applyFont="1" applyFill="1" applyBorder="1" applyAlignment="1">
      <alignment horizontal="center"/>
    </xf>
    <xf numFmtId="176" fontId="27" fillId="0" borderId="12" xfId="0" applyFont="1" applyFill="1" applyBorder="1" applyAlignment="1">
      <alignment horizontal="center" vertical="center"/>
    </xf>
    <xf numFmtId="176" fontId="2" fillId="0" borderId="13" xfId="0" applyFont="1" applyFill="1" applyBorder="1" applyAlignment="1">
      <alignment horizontal="center" vertical="center"/>
    </xf>
    <xf numFmtId="176" fontId="2" fillId="0" borderId="13" xfId="0" applyFont="1" applyFill="1" applyBorder="1" applyAlignment="1">
      <alignment horizontal="center"/>
    </xf>
    <xf numFmtId="176" fontId="25" fillId="0" borderId="13" xfId="0" applyFont="1" applyFill="1" applyBorder="1" applyAlignment="1">
      <alignment horizontal="center"/>
    </xf>
    <xf numFmtId="176" fontId="29" fillId="0" borderId="0" xfId="0" applyFont="1" applyFill="1" applyBorder="1" applyAlignment="1">
      <alignment horizontal="center"/>
    </xf>
    <xf numFmtId="176" fontId="30" fillId="0" borderId="13" xfId="0" applyFont="1" applyFill="1" applyBorder="1" applyAlignment="1">
      <alignment horizontal="center" vertical="center"/>
    </xf>
    <xf numFmtId="176" fontId="30" fillId="0" borderId="13" xfId="0" applyFont="1" applyFill="1" applyBorder="1" applyAlignment="1">
      <alignment horizontal="center"/>
    </xf>
    <xf numFmtId="176" fontId="28" fillId="0" borderId="14" xfId="0" applyFont="1" applyFill="1" applyBorder="1" applyAlignment="1">
      <alignment horizontal="center" vertical="center"/>
    </xf>
    <xf numFmtId="178" fontId="30" fillId="0" borderId="12" xfId="0" applyNumberFormat="1" applyFont="1" applyFill="1" applyBorder="1" applyAlignment="1">
      <alignment horizontal="center"/>
    </xf>
    <xf numFmtId="176" fontId="30" fillId="0" borderId="14" xfId="0" applyFont="1" applyFill="1" applyBorder="1" applyAlignment="1">
      <alignment horizontal="center"/>
    </xf>
    <xf numFmtId="176" fontId="30" fillId="0" borderId="12" xfId="0" applyFont="1" applyFill="1" applyBorder="1" applyAlignment="1">
      <alignment horizontal="center"/>
    </xf>
    <xf numFmtId="176" fontId="28" fillId="0" borderId="13" xfId="0" applyFont="1" applyFill="1" applyBorder="1" applyAlignment="1">
      <alignment horizontal="center" vertical="center"/>
    </xf>
    <xf numFmtId="178" fontId="0" fillId="0" borderId="13" xfId="0" applyNumberFormat="1" applyFont="1" applyFill="1" applyBorder="1" applyAlignment="1">
      <alignment horizontal="center" vertical="center"/>
    </xf>
    <xf numFmtId="176" fontId="4" fillId="0" borderId="14" xfId="0" applyFont="1" applyFill="1" applyBorder="1" applyAlignment="1">
      <alignment horizontal="center"/>
    </xf>
    <xf numFmtId="176" fontId="1" fillId="0" borderId="13" xfId="0" applyFont="1" applyFill="1" applyBorder="1" applyAlignment="1">
      <alignment horizontal="center" vertical="center"/>
    </xf>
    <xf numFmtId="178" fontId="31" fillId="0" borderId="13" xfId="0" applyNumberFormat="1" applyFont="1" applyFill="1" applyBorder="1" applyAlignment="1">
      <alignment horizontal="center" vertical="center"/>
    </xf>
    <xf numFmtId="176" fontId="31" fillId="0" borderId="14" xfId="0" applyFont="1" applyFill="1" applyBorder="1" applyAlignment="1">
      <alignment horizontal="center"/>
    </xf>
    <xf numFmtId="176" fontId="31" fillId="0" borderId="12" xfId="0" applyFont="1" applyFill="1" applyBorder="1" applyAlignment="1">
      <alignment horizontal="center"/>
    </xf>
    <xf numFmtId="176" fontId="31" fillId="0" borderId="15" xfId="0" applyFont="1" applyFill="1" applyBorder="1" applyAlignment="1">
      <alignment horizontal="center"/>
    </xf>
    <xf numFmtId="176" fontId="31" fillId="0" borderId="16" xfId="0" applyFont="1" applyFill="1" applyBorder="1" applyAlignment="1">
      <alignment horizontal="center"/>
    </xf>
    <xf numFmtId="176" fontId="31" fillId="0" borderId="13" xfId="0" applyFont="1" applyFill="1" applyBorder="1" applyAlignment="1">
      <alignment horizontal="center"/>
    </xf>
    <xf numFmtId="176" fontId="31" fillId="0" borderId="13" xfId="0" applyFont="1" applyFill="1" applyBorder="1" applyAlignment="1">
      <alignment horizontal="center" vertical="center"/>
    </xf>
    <xf numFmtId="177" fontId="31" fillId="0" borderId="13" xfId="0" applyNumberFormat="1" applyFont="1" applyFill="1" applyBorder="1" applyAlignment="1">
      <alignment horizontal="center" vertical="center"/>
    </xf>
    <xf numFmtId="176" fontId="31" fillId="0" borderId="17" xfId="0" applyFont="1" applyFill="1" applyBorder="1" applyAlignment="1">
      <alignment horizontal="center"/>
    </xf>
    <xf numFmtId="179" fontId="31" fillId="0" borderId="13" xfId="0" applyNumberFormat="1" applyFont="1" applyFill="1" applyBorder="1" applyAlignment="1">
      <alignment horizontal="center"/>
    </xf>
    <xf numFmtId="176" fontId="32" fillId="0" borderId="13" xfId="0" applyFont="1" applyFill="1" applyBorder="1" applyAlignment="1">
      <alignment horizontal="center"/>
    </xf>
    <xf numFmtId="177" fontId="31" fillId="0" borderId="18" xfId="0" applyNumberFormat="1" applyFont="1" applyFill="1" applyBorder="1" applyAlignment="1">
      <alignment horizontal="center" vertical="center"/>
    </xf>
    <xf numFmtId="176" fontId="31" fillId="0" borderId="1" xfId="0" applyFont="1" applyFill="1" applyBorder="1" applyAlignment="1">
      <alignment horizontal="center"/>
    </xf>
    <xf numFmtId="177" fontId="31" fillId="0" borderId="19" xfId="0" applyNumberFormat="1" applyFont="1" applyFill="1" applyBorder="1" applyAlignment="1">
      <alignment horizontal="center" vertical="center"/>
    </xf>
    <xf numFmtId="176" fontId="31" fillId="0" borderId="20" xfId="0" applyFont="1" applyFill="1" applyBorder="1" applyAlignment="1">
      <alignment horizontal="center"/>
    </xf>
    <xf numFmtId="177" fontId="31" fillId="0" borderId="1" xfId="0" applyNumberFormat="1" applyFont="1" applyFill="1" applyBorder="1" applyAlignment="1">
      <alignment horizontal="center" vertical="center"/>
    </xf>
    <xf numFmtId="176" fontId="31" fillId="0" borderId="12" xfId="0" applyFont="1" applyFill="1" applyBorder="1" applyAlignment="1">
      <alignment horizontal="center" vertical="center"/>
    </xf>
    <xf numFmtId="176" fontId="31" fillId="0" borderId="18" xfId="0" applyFont="1" applyFill="1" applyBorder="1" applyAlignment="1">
      <alignment horizontal="center" vertical="center"/>
    </xf>
    <xf numFmtId="176" fontId="31" fillId="0" borderId="0" xfId="0" applyFont="1" applyFill="1" applyBorder="1" applyAlignment="1">
      <alignment horizontal="center"/>
    </xf>
    <xf numFmtId="177" fontId="31" fillId="0" borderId="2" xfId="0" applyNumberFormat="1" applyFont="1" applyFill="1" applyBorder="1" applyAlignment="1">
      <alignment horizontal="center" vertical="center"/>
    </xf>
    <xf numFmtId="176" fontId="32" fillId="0" borderId="21" xfId="0" applyFont="1" applyFill="1" applyBorder="1" applyAlignment="1">
      <alignment horizontal="center" vertical="center"/>
    </xf>
    <xf numFmtId="176" fontId="31" fillId="0" borderId="0" xfId="0" applyFont="1" applyFill="1" applyAlignment="1">
      <alignment horizontal="center"/>
    </xf>
    <xf numFmtId="176" fontId="30" fillId="0" borderId="18" xfId="0" applyFont="1" applyFill="1" applyBorder="1" applyAlignment="1">
      <alignment horizontal="center" vertical="center"/>
    </xf>
    <xf numFmtId="176" fontId="27" fillId="0" borderId="0" xfId="0" applyFont="1" applyFill="1" applyBorder="1" applyAlignment="1">
      <alignment horizontal="center"/>
    </xf>
    <xf numFmtId="176" fontId="32" fillId="0" borderId="0" xfId="0" applyFont="1" applyAlignment="1">
      <alignment horizontal="center" vertical="center"/>
    </xf>
    <xf numFmtId="176" fontId="32" fillId="0" borderId="0" xfId="0" applyFont="1">
      <alignment vertical="center"/>
    </xf>
    <xf numFmtId="176" fontId="33" fillId="0" borderId="17" xfId="0" applyFont="1" applyFill="1" applyBorder="1" applyAlignment="1">
      <alignment horizontal="center" vertical="center"/>
    </xf>
    <xf numFmtId="176" fontId="33" fillId="0" borderId="17" xfId="0" applyFont="1" applyFill="1" applyBorder="1" applyAlignment="1">
      <alignment horizontal="center"/>
    </xf>
    <xf numFmtId="176" fontId="5" fillId="0" borderId="1" xfId="0" applyFont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6" fontId="5" fillId="0" borderId="1" xfId="0" applyFont="1" applyFill="1" applyBorder="1" applyAlignment="1">
      <alignment horizontal="center"/>
    </xf>
    <xf numFmtId="178" fontId="34" fillId="0" borderId="1" xfId="0" applyNumberFormat="1" applyFont="1" applyFill="1" applyBorder="1" applyAlignment="1">
      <alignment horizontal="center" vertical="center"/>
    </xf>
    <xf numFmtId="176" fontId="34" fillId="0" borderId="1" xfId="0" applyFont="1" applyFill="1" applyBorder="1" applyAlignment="1">
      <alignment horizontal="center"/>
    </xf>
    <xf numFmtId="176" fontId="34" fillId="0" borderId="1" xfId="0" applyFont="1" applyFill="1" applyBorder="1" applyAlignment="1">
      <alignment horizontal="center" vertical="center" wrapText="1"/>
    </xf>
    <xf numFmtId="176" fontId="32" fillId="0" borderId="1" xfId="0" applyFont="1" applyFill="1" applyBorder="1" applyAlignment="1">
      <alignment horizontal="center"/>
    </xf>
    <xf numFmtId="176" fontId="34" fillId="0" borderId="1" xfId="0" applyFont="1" applyFill="1" applyBorder="1" applyAlignment="1">
      <alignment horizontal="center" vertical="center"/>
    </xf>
    <xf numFmtId="177" fontId="34" fillId="0" borderId="1" xfId="0" applyNumberFormat="1" applyFont="1" applyFill="1" applyBorder="1" applyAlignment="1">
      <alignment horizontal="center" vertical="center"/>
    </xf>
    <xf numFmtId="176" fontId="34" fillId="0" borderId="3" xfId="0" applyFont="1" applyFill="1" applyBorder="1" applyAlignment="1">
      <alignment horizontal="center" vertical="center"/>
    </xf>
    <xf numFmtId="176" fontId="34" fillId="0" borderId="14" xfId="0" applyFont="1" applyFill="1" applyBorder="1" applyAlignment="1">
      <alignment horizontal="center"/>
    </xf>
    <xf numFmtId="176" fontId="34" fillId="0" borderId="12" xfId="0" applyFont="1" applyFill="1" applyBorder="1" applyAlignment="1">
      <alignment horizontal="center"/>
    </xf>
    <xf numFmtId="176" fontId="34" fillId="0" borderId="12" xfId="0" applyFont="1" applyFill="1" applyBorder="1" applyAlignment="1">
      <alignment horizontal="center" vertical="center"/>
    </xf>
    <xf numFmtId="176" fontId="34" fillId="0" borderId="0" xfId="0" applyFont="1" applyFill="1" applyBorder="1" applyAlignment="1">
      <alignment horizontal="center"/>
    </xf>
    <xf numFmtId="176" fontId="34" fillId="0" borderId="0" xfId="0" applyFont="1" applyFill="1" applyAlignment="1">
      <alignment horizontal="center"/>
    </xf>
    <xf numFmtId="176" fontId="34" fillId="0" borderId="13" xfId="0" applyFont="1" applyFill="1" applyBorder="1" applyAlignment="1">
      <alignment horizontal="center"/>
    </xf>
    <xf numFmtId="176" fontId="34" fillId="0" borderId="13" xfId="0" applyFont="1" applyFill="1" applyBorder="1" applyAlignment="1">
      <alignment horizontal="center" vertical="center"/>
    </xf>
    <xf numFmtId="176" fontId="25" fillId="0" borderId="13" xfId="0" applyFont="1" applyFill="1" applyBorder="1" applyAlignment="1">
      <alignment horizontal="center" vertical="center"/>
    </xf>
    <xf numFmtId="176" fontId="1" fillId="6" borderId="1" xfId="0" applyFont="1" applyFill="1" applyBorder="1" applyAlignment="1">
      <alignment horizontal="center" vertical="center"/>
    </xf>
    <xf numFmtId="176" fontId="0" fillId="0" borderId="0" xfId="0" applyFont="1" applyAlignment="1">
      <alignment horizontal="center" vertical="center"/>
    </xf>
    <xf numFmtId="14" fontId="6" fillId="0" borderId="1" xfId="0" applyNumberFormat="1" applyFont="1" applyBorder="1" applyAlignment="1"/>
    <xf numFmtId="176" fontId="6" fillId="0" borderId="1" xfId="0" applyFont="1" applyBorder="1" applyAlignment="1"/>
    <xf numFmtId="14" fontId="6" fillId="0" borderId="0" xfId="0" applyNumberFormat="1" applyFont="1" applyBorder="1" applyAlignment="1"/>
    <xf numFmtId="176" fontId="6" fillId="0" borderId="0" xfId="0" applyFont="1" applyBorder="1" applyAlignment="1"/>
    <xf numFmtId="176" fontId="32" fillId="0" borderId="1" xfId="0" applyFont="1" applyBorder="1" applyAlignment="1">
      <alignment horizontal="center" vertical="center"/>
    </xf>
    <xf numFmtId="176" fontId="35" fillId="0" borderId="0" xfId="0" applyFont="1" applyBorder="1">
      <alignment vertical="center"/>
    </xf>
    <xf numFmtId="180" fontId="35" fillId="0" borderId="0" xfId="0" applyNumberFormat="1" applyFont="1" applyBorder="1">
      <alignment vertical="center"/>
    </xf>
    <xf numFmtId="176" fontId="35" fillId="0" borderId="1" xfId="0" applyFont="1" applyBorder="1">
      <alignment vertical="center"/>
    </xf>
    <xf numFmtId="176" fontId="37" fillId="0" borderId="0" xfId="0" applyFont="1" applyBorder="1">
      <alignment vertical="center"/>
    </xf>
    <xf numFmtId="176" fontId="37" fillId="0" borderId="1" xfId="0" applyFont="1" applyBorder="1">
      <alignment vertical="center"/>
    </xf>
    <xf numFmtId="176" fontId="37" fillId="0" borderId="1" xfId="0" applyFont="1" applyBorder="1" applyAlignment="1">
      <alignment horizontal="center" vertical="center"/>
    </xf>
    <xf numFmtId="176" fontId="37" fillId="0" borderId="1" xfId="0" applyFont="1" applyBorder="1" applyAlignment="1">
      <alignment horizontal="left" vertical="center"/>
    </xf>
    <xf numFmtId="176" fontId="37" fillId="0" borderId="1" xfId="0" applyFont="1" applyFill="1" applyBorder="1">
      <alignment vertical="center"/>
    </xf>
    <xf numFmtId="14" fontId="37" fillId="0" borderId="1" xfId="0" applyNumberFormat="1" applyFont="1" applyBorder="1" applyAlignment="1">
      <alignment horizontal="left" vertical="center"/>
    </xf>
    <xf numFmtId="176" fontId="35" fillId="0" borderId="0" xfId="0" applyFont="1" applyBorder="1" applyAlignment="1">
      <alignment horizontal="left" vertical="center"/>
    </xf>
    <xf numFmtId="176" fontId="35" fillId="0" borderId="0" xfId="0" applyFont="1">
      <alignment vertical="center"/>
    </xf>
    <xf numFmtId="176" fontId="37" fillId="0" borderId="0" xfId="0" applyFont="1" applyAlignment="1">
      <alignment horizontal="center" vertical="center"/>
    </xf>
    <xf numFmtId="176" fontId="0" fillId="0" borderId="0" xfId="0" applyAlignment="1">
      <alignment horizontal="center" vertical="center"/>
    </xf>
    <xf numFmtId="176" fontId="1" fillId="0" borderId="12" xfId="0" applyFont="1" applyFill="1" applyBorder="1" applyAlignment="1">
      <alignment horizontal="center"/>
    </xf>
    <xf numFmtId="176" fontId="6" fillId="0" borderId="1" xfId="0" applyFont="1" applyFill="1" applyBorder="1" applyAlignment="1">
      <alignment horizontal="center"/>
    </xf>
    <xf numFmtId="176" fontId="32" fillId="0" borderId="0" xfId="0" applyFont="1" applyBorder="1">
      <alignment vertical="center"/>
    </xf>
    <xf numFmtId="176" fontId="0" fillId="0" borderId="1" xfId="0" applyFont="1" applyBorder="1">
      <alignment vertical="center"/>
    </xf>
    <xf numFmtId="14" fontId="0" fillId="0" borderId="1" xfId="0" applyNumberFormat="1" applyFont="1" applyBorder="1" applyAlignment="1">
      <alignment horizontal="left" vertical="center" wrapText="1"/>
    </xf>
    <xf numFmtId="176" fontId="37" fillId="0" borderId="0" xfId="0" applyFont="1">
      <alignment vertical="center"/>
    </xf>
    <xf numFmtId="176" fontId="32" fillId="0" borderId="1" xfId="0" applyFont="1" applyBorder="1">
      <alignment vertical="center"/>
    </xf>
    <xf numFmtId="14" fontId="37" fillId="0" borderId="1" xfId="0" applyNumberFormat="1" applyFont="1" applyBorder="1">
      <alignment vertical="center"/>
    </xf>
    <xf numFmtId="176" fontId="0" fillId="0" borderId="0" xfId="0" applyFont="1" applyAlignment="1">
      <alignment horizontal="left" vertical="center"/>
    </xf>
    <xf numFmtId="176" fontId="0" fillId="0" borderId="1" xfId="0" applyFont="1" applyBorder="1" applyAlignment="1">
      <alignment horizontal="left" vertical="center"/>
    </xf>
    <xf numFmtId="176" fontId="4" fillId="0" borderId="1" xfId="0" applyFont="1" applyFill="1" applyBorder="1" applyAlignment="1">
      <alignment horizontal="center" vertical="center"/>
    </xf>
    <xf numFmtId="176" fontId="41" fillId="0" borderId="1" xfId="4" applyFont="1" applyBorder="1" applyAlignment="1">
      <alignment horizontal="center" vertical="center"/>
    </xf>
    <xf numFmtId="180" fontId="32" fillId="0" borderId="0" xfId="0" applyNumberFormat="1" applyFont="1">
      <alignment vertical="center"/>
    </xf>
    <xf numFmtId="180" fontId="37" fillId="0" borderId="0" xfId="0" applyNumberFormat="1" applyFont="1">
      <alignment vertical="center"/>
    </xf>
    <xf numFmtId="176" fontId="7" fillId="0" borderId="1" xfId="0" applyFont="1" applyBorder="1">
      <alignment vertical="center"/>
    </xf>
    <xf numFmtId="180" fontId="6" fillId="0" borderId="1" xfId="0" applyNumberFormat="1" applyFont="1" applyBorder="1" applyAlignment="1"/>
    <xf numFmtId="176" fontId="0" fillId="0" borderId="1" xfId="0" applyBorder="1">
      <alignment vertical="center"/>
    </xf>
    <xf numFmtId="180" fontId="0" fillId="0" borderId="0" xfId="0" applyNumberFormat="1">
      <alignment vertical="center"/>
    </xf>
    <xf numFmtId="176" fontId="37" fillId="0" borderId="0" xfId="0" applyFont="1" applyFill="1" applyAlignment="1">
      <alignment vertical="center"/>
    </xf>
    <xf numFmtId="176" fontId="37" fillId="0" borderId="0" xfId="0" applyFont="1" applyFill="1">
      <alignment vertical="center"/>
    </xf>
    <xf numFmtId="176" fontId="28" fillId="0" borderId="1" xfId="0" applyFont="1" applyFill="1" applyBorder="1" applyAlignment="1">
      <alignment horizontal="center" vertical="center"/>
    </xf>
    <xf numFmtId="176" fontId="37" fillId="0" borderId="1" xfId="0" applyFont="1" applyBorder="1" applyAlignment="1">
      <alignment vertical="center"/>
    </xf>
    <xf numFmtId="176" fontId="28" fillId="0" borderId="0" xfId="0" applyFont="1" applyFill="1" applyBorder="1" applyAlignment="1"/>
    <xf numFmtId="176" fontId="37" fillId="0" borderId="1" xfId="0" applyFont="1" applyFill="1" applyBorder="1" applyAlignment="1">
      <alignment horizontal="center" vertical="center"/>
    </xf>
    <xf numFmtId="176" fontId="37" fillId="0" borderId="1" xfId="0" applyFont="1" applyFill="1" applyBorder="1" applyAlignment="1">
      <alignment vertical="center" wrapText="1"/>
    </xf>
    <xf numFmtId="176" fontId="37" fillId="0" borderId="1" xfId="0" applyFont="1" applyFill="1" applyBorder="1" applyAlignment="1">
      <alignment vertical="center"/>
    </xf>
    <xf numFmtId="176" fontId="37" fillId="0" borderId="0" xfId="0" applyFont="1" applyFill="1" applyBorder="1" applyAlignment="1">
      <alignment vertical="center"/>
    </xf>
    <xf numFmtId="176" fontId="28" fillId="0" borderId="1" xfId="0" applyFont="1" applyFill="1" applyBorder="1" applyAlignment="1"/>
    <xf numFmtId="176" fontId="37" fillId="0" borderId="0" xfId="0" applyFont="1" applyAlignment="1">
      <alignment horizontal="left" vertical="center"/>
    </xf>
    <xf numFmtId="176" fontId="28" fillId="0" borderId="1" xfId="0" applyFont="1" applyFill="1" applyBorder="1" applyAlignment="1">
      <alignment horizontal="left" vertical="center"/>
    </xf>
    <xf numFmtId="176" fontId="37" fillId="0" borderId="0" xfId="0" applyFont="1" applyAlignment="1">
      <alignment vertical="center" wrapText="1"/>
    </xf>
    <xf numFmtId="176" fontId="0" fillId="0" borderId="0" xfId="0" applyFont="1" applyBorder="1">
      <alignment vertical="center"/>
    </xf>
    <xf numFmtId="176" fontId="0" fillId="0" borderId="0" xfId="0" applyBorder="1">
      <alignment vertical="center"/>
    </xf>
    <xf numFmtId="176" fontId="45" fillId="0" borderId="0" xfId="0" applyFont="1">
      <alignment vertical="center"/>
    </xf>
    <xf numFmtId="180" fontId="45" fillId="0" borderId="0" xfId="0" applyNumberFormat="1" applyFont="1">
      <alignment vertical="center"/>
    </xf>
    <xf numFmtId="176" fontId="45" fillId="0" borderId="1" xfId="0" applyFont="1" applyBorder="1" applyAlignment="1">
      <alignment horizontal="center" vertical="center"/>
    </xf>
    <xf numFmtId="176" fontId="46" fillId="0" borderId="6" xfId="0" applyFont="1" applyFill="1" applyBorder="1" applyAlignment="1"/>
    <xf numFmtId="183" fontId="37" fillId="0" borderId="0" xfId="0" applyNumberFormat="1" applyFont="1">
      <alignment vertical="center"/>
    </xf>
    <xf numFmtId="176" fontId="37" fillId="0" borderId="0" xfId="0" applyFont="1" applyBorder="1" applyAlignment="1">
      <alignment horizontal="center" vertical="center"/>
    </xf>
    <xf numFmtId="14" fontId="37" fillId="0" borderId="0" xfId="0" applyNumberFormat="1" applyFont="1">
      <alignment vertical="center"/>
    </xf>
    <xf numFmtId="180" fontId="28" fillId="0" borderId="1" xfId="0" applyNumberFormat="1" applyFont="1" applyFill="1" applyBorder="1" applyAlignment="1">
      <alignment horizontal="center" vertical="center"/>
    </xf>
    <xf numFmtId="176" fontId="37" fillId="0" borderId="0" xfId="0" applyFont="1" applyAlignment="1">
      <alignment horizontal="center" vertical="center" wrapText="1"/>
    </xf>
    <xf numFmtId="176" fontId="37" fillId="0" borderId="0" xfId="0" applyFont="1" applyBorder="1" applyAlignment="1">
      <alignment horizontal="center" vertical="center" wrapText="1"/>
    </xf>
    <xf numFmtId="14" fontId="37" fillId="0" borderId="0" xfId="0" applyNumberFormat="1" applyFont="1" applyAlignment="1">
      <alignment vertical="center" wrapText="1"/>
    </xf>
    <xf numFmtId="176" fontId="0" fillId="0" borderId="0" xfId="0" applyFill="1">
      <alignment vertical="center"/>
    </xf>
    <xf numFmtId="176" fontId="9" fillId="8" borderId="1" xfId="0" applyFont="1" applyFill="1" applyBorder="1" applyAlignment="1">
      <alignment horizontal="center" vertical="center"/>
    </xf>
    <xf numFmtId="180" fontId="37" fillId="0" borderId="1" xfId="0" applyNumberFormat="1" applyFont="1" applyFill="1" applyBorder="1">
      <alignment vertical="center"/>
    </xf>
    <xf numFmtId="176" fontId="4" fillId="0" borderId="1" xfId="0" applyFont="1" applyBorder="1" applyAlignment="1">
      <alignment horizontal="center" vertical="center"/>
    </xf>
    <xf numFmtId="178" fontId="30" fillId="0" borderId="1" xfId="0" applyNumberFormat="1" applyFont="1" applyFill="1" applyBorder="1" applyAlignment="1">
      <alignment horizontal="center" vertical="center"/>
    </xf>
    <xf numFmtId="176" fontId="30" fillId="0" borderId="1" xfId="0" applyFont="1" applyFill="1" applyBorder="1" applyAlignment="1">
      <alignment horizontal="center" vertical="center"/>
    </xf>
    <xf numFmtId="176" fontId="48" fillId="0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79" fontId="30" fillId="0" borderId="1" xfId="0" applyNumberFormat="1" applyFont="1" applyFill="1" applyBorder="1" applyAlignment="1">
      <alignment horizontal="center" vertical="center"/>
    </xf>
    <xf numFmtId="183" fontId="4" fillId="0" borderId="1" xfId="0" applyNumberFormat="1" applyFont="1" applyBorder="1" applyAlignment="1">
      <alignment horizontal="center" vertical="center"/>
    </xf>
    <xf numFmtId="176" fontId="4" fillId="0" borderId="8" xfId="0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77" fontId="30" fillId="0" borderId="1" xfId="0" applyNumberFormat="1" applyFont="1" applyFill="1" applyBorder="1" applyAlignment="1">
      <alignment horizontal="center" vertical="center"/>
    </xf>
    <xf numFmtId="179" fontId="4" fillId="0" borderId="1" xfId="0" applyNumberFormat="1" applyFont="1" applyFill="1" applyBorder="1" applyAlignment="1">
      <alignment horizontal="center" vertical="center"/>
    </xf>
    <xf numFmtId="176" fontId="31" fillId="0" borderId="1" xfId="0" applyFont="1" applyFill="1" applyBorder="1" applyAlignment="1">
      <alignment horizontal="center" vertical="center"/>
    </xf>
    <xf numFmtId="176" fontId="4" fillId="9" borderId="1" xfId="0" applyFont="1" applyFill="1" applyBorder="1" applyAlignment="1">
      <alignment horizontal="center" vertical="center"/>
    </xf>
    <xf numFmtId="176" fontId="30" fillId="0" borderId="1" xfId="0" applyFont="1" applyBorder="1" applyAlignment="1">
      <alignment horizontal="center" vertical="center"/>
    </xf>
    <xf numFmtId="178" fontId="49" fillId="0" borderId="1" xfId="0" applyNumberFormat="1" applyFont="1" applyFill="1" applyBorder="1" applyAlignment="1">
      <alignment horizontal="center" vertical="center"/>
    </xf>
    <xf numFmtId="178" fontId="31" fillId="0" borderId="1" xfId="0" applyNumberFormat="1" applyFont="1" applyFill="1" applyBorder="1" applyAlignment="1">
      <alignment horizontal="center" vertical="center"/>
    </xf>
    <xf numFmtId="176" fontId="1" fillId="0" borderId="0" xfId="0" applyFont="1" applyFill="1" applyBorder="1" applyAlignment="1">
      <alignment vertical="center"/>
    </xf>
    <xf numFmtId="176" fontId="1" fillId="0" borderId="0" xfId="0" applyFont="1" applyFill="1" applyBorder="1" applyAlignment="1">
      <alignment horizontal="center" vertical="center"/>
    </xf>
    <xf numFmtId="176" fontId="1" fillId="0" borderId="0" xfId="0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176" fontId="0" fillId="0" borderId="0" xfId="0" applyAlignment="1">
      <alignment vertical="center"/>
    </xf>
    <xf numFmtId="176" fontId="4" fillId="0" borderId="0" xfId="0" applyFont="1" applyBorder="1" applyAlignment="1">
      <alignment horizontal="center" vertical="center"/>
    </xf>
    <xf numFmtId="176" fontId="16" fillId="0" borderId="1" xfId="0" applyFont="1" applyBorder="1">
      <alignment vertical="center"/>
    </xf>
    <xf numFmtId="14" fontId="37" fillId="0" borderId="1" xfId="0" applyNumberFormat="1" applyFont="1" applyBorder="1">
      <alignment vertical="center"/>
    </xf>
    <xf numFmtId="176" fontId="37" fillId="0" borderId="0" xfId="0" applyFont="1">
      <alignment vertical="center"/>
    </xf>
    <xf numFmtId="183" fontId="32" fillId="0" borderId="0" xfId="0" applyNumberFormat="1" applyFont="1">
      <alignment vertical="center"/>
    </xf>
    <xf numFmtId="176" fontId="37" fillId="0" borderId="0" xfId="0" applyFont="1" applyFill="1">
      <alignment vertical="center"/>
    </xf>
    <xf numFmtId="176" fontId="37" fillId="0" borderId="1" xfId="0" applyFont="1" applyBorder="1" applyAlignment="1">
      <alignment horizontal="left" vertical="center" wrapText="1"/>
    </xf>
    <xf numFmtId="180" fontId="37" fillId="0" borderId="1" xfId="0" applyNumberFormat="1" applyFont="1" applyBorder="1">
      <alignment vertical="center"/>
    </xf>
    <xf numFmtId="176" fontId="37" fillId="0" borderId="0" xfId="0" applyFont="1" applyBorder="1">
      <alignment vertical="center"/>
    </xf>
    <xf numFmtId="176" fontId="37" fillId="0" borderId="0" xfId="0" applyFont="1" applyBorder="1" applyAlignment="1">
      <alignment horizontal="left" vertical="center" wrapText="1"/>
    </xf>
    <xf numFmtId="180" fontId="37" fillId="0" borderId="0" xfId="0" applyNumberFormat="1" applyFont="1" applyBorder="1">
      <alignment vertical="center"/>
    </xf>
    <xf numFmtId="176" fontId="37" fillId="0" borderId="0" xfId="0" applyFont="1" applyBorder="1" applyAlignment="1">
      <alignment vertical="center" wrapText="1"/>
    </xf>
    <xf numFmtId="14" fontId="45" fillId="0" borderId="1" xfId="0" applyNumberFormat="1" applyFont="1" applyBorder="1" applyAlignment="1">
      <alignment horizontal="center" vertical="center"/>
    </xf>
    <xf numFmtId="176" fontId="45" fillId="0" borderId="0" xfId="0" applyFont="1">
      <alignment vertical="center"/>
    </xf>
    <xf numFmtId="176" fontId="45" fillId="0" borderId="1" xfId="0" applyFont="1" applyFill="1" applyBorder="1" applyAlignment="1">
      <alignment horizontal="center" vertical="center"/>
    </xf>
    <xf numFmtId="176" fontId="45" fillId="0" borderId="6" xfId="0" applyFont="1" applyFill="1" applyBorder="1" applyAlignment="1">
      <alignment horizontal="center" vertical="center"/>
    </xf>
    <xf numFmtId="176" fontId="23" fillId="0" borderId="1" xfId="0" applyFont="1" applyFill="1" applyBorder="1" applyAlignment="1">
      <alignment horizontal="center" vertical="center"/>
    </xf>
    <xf numFmtId="176" fontId="23" fillId="0" borderId="6" xfId="0" applyFont="1" applyFill="1" applyBorder="1" applyAlignment="1">
      <alignment horizontal="center" vertical="center"/>
    </xf>
    <xf numFmtId="176" fontId="23" fillId="0" borderId="7" xfId="0" applyFont="1" applyFill="1" applyBorder="1" applyAlignment="1">
      <alignment horizontal="center" vertical="center"/>
    </xf>
    <xf numFmtId="176" fontId="45" fillId="0" borderId="1" xfId="0" applyFont="1" applyBorder="1">
      <alignment vertical="center"/>
    </xf>
    <xf numFmtId="176" fontId="50" fillId="0" borderId="1" xfId="0" applyFont="1" applyFill="1" applyBorder="1" applyAlignment="1">
      <alignment horizontal="left" vertical="center"/>
    </xf>
    <xf numFmtId="176" fontId="28" fillId="0" borderId="1" xfId="0" applyFont="1" applyFill="1" applyBorder="1" applyAlignment="1">
      <alignment horizontal="left"/>
    </xf>
    <xf numFmtId="176" fontId="28" fillId="0" borderId="0" xfId="0" applyFont="1" applyFill="1" applyBorder="1" applyAlignment="1">
      <alignment horizontal="left"/>
    </xf>
    <xf numFmtId="180" fontId="28" fillId="0" borderId="0" xfId="0" applyNumberFormat="1" applyFont="1" applyFill="1" applyBorder="1" applyAlignment="1"/>
    <xf numFmtId="176" fontId="37" fillId="0" borderId="0" xfId="0" applyFont="1" applyAlignment="1">
      <alignment horizontal="left" vertical="center"/>
    </xf>
    <xf numFmtId="180" fontId="37" fillId="0" borderId="0" xfId="0" applyNumberFormat="1" applyFont="1">
      <alignment vertical="center"/>
    </xf>
    <xf numFmtId="176" fontId="50" fillId="0" borderId="0" xfId="0" applyFont="1">
      <alignment vertical="center"/>
    </xf>
    <xf numFmtId="176" fontId="50" fillId="0" borderId="1" xfId="0" applyFont="1" applyFill="1" applyBorder="1" applyAlignment="1">
      <alignment horizontal="center"/>
    </xf>
    <xf numFmtId="176" fontId="17" fillId="0" borderId="0" xfId="0" applyFont="1" applyFill="1" applyAlignment="1">
      <alignment vertical="center"/>
    </xf>
    <xf numFmtId="176" fontId="53" fillId="0" borderId="0" xfId="0" applyFont="1" applyAlignment="1">
      <alignment horizontal="center" vertical="center"/>
    </xf>
    <xf numFmtId="176" fontId="50" fillId="0" borderId="1" xfId="0" applyFont="1" applyBorder="1">
      <alignment vertical="center"/>
    </xf>
    <xf numFmtId="176" fontId="45" fillId="0" borderId="0" xfId="0" applyFont="1" applyBorder="1">
      <alignment vertical="center"/>
    </xf>
    <xf numFmtId="176" fontId="23" fillId="0" borderId="1" xfId="0" applyFont="1" applyFill="1" applyBorder="1" applyAlignment="1">
      <alignment vertical="center"/>
    </xf>
    <xf numFmtId="176" fontId="55" fillId="0" borderId="0" xfId="0" applyFont="1" applyBorder="1">
      <alignment vertical="center"/>
    </xf>
    <xf numFmtId="176" fontId="23" fillId="0" borderId="1" xfId="0" applyFont="1" applyBorder="1">
      <alignment vertical="center"/>
    </xf>
    <xf numFmtId="49" fontId="45" fillId="0" borderId="0" xfId="0" applyNumberFormat="1" applyFont="1" applyBorder="1">
      <alignment vertical="center"/>
    </xf>
    <xf numFmtId="49" fontId="45" fillId="0" borderId="0" xfId="0" applyNumberFormat="1" applyFont="1" applyBorder="1" applyAlignment="1">
      <alignment horizontal="left" vertical="center"/>
    </xf>
    <xf numFmtId="182" fontId="45" fillId="0" borderId="1" xfId="0" applyNumberFormat="1" applyFont="1" applyBorder="1" applyAlignment="1">
      <alignment horizontal="center" vertical="center"/>
    </xf>
    <xf numFmtId="176" fontId="45" fillId="0" borderId="0" xfId="0" applyFont="1" applyFill="1" applyBorder="1">
      <alignment vertical="center"/>
    </xf>
    <xf numFmtId="176" fontId="23" fillId="0" borderId="0" xfId="0" applyFont="1" applyBorder="1">
      <alignment vertical="center"/>
    </xf>
    <xf numFmtId="180" fontId="37" fillId="8" borderId="1" xfId="0" applyNumberFormat="1" applyFont="1" applyFill="1" applyBorder="1">
      <alignment vertical="center"/>
    </xf>
    <xf numFmtId="176" fontId="37" fillId="0" borderId="0" xfId="0" applyFont="1" applyAlignment="1">
      <alignment horizontal="center" vertical="center"/>
    </xf>
    <xf numFmtId="176" fontId="20" fillId="0" borderId="1" xfId="0" applyFont="1" applyBorder="1">
      <alignment vertical="center"/>
    </xf>
    <xf numFmtId="176" fontId="41" fillId="0" borderId="1" xfId="4" applyFont="1" applyFill="1" applyBorder="1">
      <alignment vertical="center"/>
    </xf>
    <xf numFmtId="176" fontId="21" fillId="0" borderId="0" xfId="0" applyFont="1">
      <alignment vertical="center"/>
    </xf>
    <xf numFmtId="176" fontId="20" fillId="0" borderId="0" xfId="0" applyFont="1">
      <alignment vertical="center"/>
    </xf>
    <xf numFmtId="176" fontId="20" fillId="0" borderId="1" xfId="0" applyFont="1" applyBorder="1" applyAlignment="1">
      <alignment horizontal="center" vertical="center"/>
    </xf>
    <xf numFmtId="176" fontId="41" fillId="5" borderId="1" xfId="4" applyFont="1" applyFill="1" applyBorder="1">
      <alignment vertical="center"/>
    </xf>
    <xf numFmtId="176" fontId="41" fillId="4" borderId="1" xfId="4" applyFont="1" applyFill="1" applyBorder="1">
      <alignment vertical="center"/>
    </xf>
    <xf numFmtId="176" fontId="41" fillId="3" borderId="1" xfId="4" applyFont="1" applyFill="1" applyBorder="1">
      <alignment vertical="center"/>
    </xf>
    <xf numFmtId="180" fontId="37" fillId="0" borderId="1" xfId="0" applyNumberFormat="1" applyFont="1" applyBorder="1" applyAlignment="1">
      <alignment vertical="center"/>
    </xf>
    <xf numFmtId="176" fontId="37" fillId="0" borderId="1" xfId="0" applyFont="1" applyBorder="1">
      <alignment vertical="center"/>
    </xf>
    <xf numFmtId="14" fontId="37" fillId="0" borderId="1" xfId="0" applyNumberFormat="1" applyFont="1" applyBorder="1">
      <alignment vertical="center"/>
    </xf>
    <xf numFmtId="176" fontId="41" fillId="2" borderId="1" xfId="4" applyFont="1" applyFill="1" applyBorder="1">
      <alignment vertical="center"/>
    </xf>
    <xf numFmtId="176" fontId="32" fillId="0" borderId="1" xfId="0" applyFont="1" applyBorder="1">
      <alignment vertical="center"/>
    </xf>
    <xf numFmtId="176" fontId="45" fillId="0" borderId="1" xfId="0" applyFont="1" applyBorder="1">
      <alignment vertical="center"/>
    </xf>
    <xf numFmtId="176" fontId="45" fillId="0" borderId="1" xfId="0" applyFont="1" applyBorder="1" applyAlignment="1">
      <alignment horizontal="left" vertical="center"/>
    </xf>
    <xf numFmtId="176" fontId="21" fillId="0" borderId="0" xfId="0" applyFont="1" applyAlignment="1">
      <alignment horizontal="left" vertical="center"/>
    </xf>
    <xf numFmtId="180" fontId="21" fillId="0" borderId="0" xfId="0" applyNumberFormat="1" applyFont="1">
      <alignment vertical="center"/>
    </xf>
    <xf numFmtId="180" fontId="37" fillId="0" borderId="0" xfId="0" applyNumberFormat="1" applyFont="1" applyAlignment="1">
      <alignment vertical="center" wrapText="1"/>
    </xf>
    <xf numFmtId="180" fontId="37" fillId="0" borderId="0" xfId="0" applyNumberFormat="1" applyFont="1" applyBorder="1" applyAlignment="1">
      <alignment vertical="center" wrapText="1"/>
    </xf>
    <xf numFmtId="176" fontId="37" fillId="0" borderId="1" xfId="0" applyFont="1" applyBorder="1">
      <alignment vertical="center"/>
    </xf>
    <xf numFmtId="176" fontId="37" fillId="0" borderId="1" xfId="0" applyFont="1" applyBorder="1" applyAlignment="1">
      <alignment horizontal="center" vertical="center"/>
    </xf>
    <xf numFmtId="176" fontId="37" fillId="0" borderId="1" xfId="0" applyFont="1" applyBorder="1" applyAlignment="1">
      <alignment horizontal="center" vertical="center"/>
    </xf>
    <xf numFmtId="176" fontId="37" fillId="0" borderId="1" xfId="0" applyFont="1" applyBorder="1" applyAlignment="1">
      <alignment horizontal="center" vertical="center" wrapText="1"/>
    </xf>
    <xf numFmtId="176" fontId="37" fillId="0" borderId="0" xfId="0" applyFont="1" applyAlignment="1">
      <alignment horizontal="center" vertical="center"/>
    </xf>
    <xf numFmtId="180" fontId="37" fillId="0" borderId="1" xfId="0" applyNumberFormat="1" applyFont="1" applyBorder="1" applyAlignment="1">
      <alignment vertical="center" wrapText="1"/>
    </xf>
    <xf numFmtId="176" fontId="0" fillId="0" borderId="1" xfId="0" applyFont="1" applyBorder="1" applyAlignment="1">
      <alignment horizontal="center" vertical="center"/>
    </xf>
    <xf numFmtId="14" fontId="37" fillId="0" borderId="1" xfId="0" applyNumberFormat="1" applyFont="1" applyFill="1" applyBorder="1" applyAlignment="1">
      <alignment horizontal="center" vertical="center"/>
    </xf>
    <xf numFmtId="176" fontId="37" fillId="0" borderId="1" xfId="0" applyFont="1" applyFill="1" applyBorder="1" applyAlignment="1">
      <alignment horizontal="center" vertical="center"/>
    </xf>
    <xf numFmtId="176" fontId="37" fillId="0" borderId="1" xfId="0" applyFont="1" applyBorder="1" applyAlignment="1">
      <alignment vertical="center" wrapText="1"/>
    </xf>
    <xf numFmtId="176" fontId="37" fillId="0" borderId="1" xfId="0" applyFont="1" applyBorder="1" applyAlignment="1">
      <alignment horizontal="center" vertical="center"/>
    </xf>
    <xf numFmtId="176" fontId="37" fillId="0" borderId="0" xfId="0" applyFont="1" applyAlignment="1">
      <alignment horizontal="center" vertical="center"/>
    </xf>
    <xf numFmtId="14" fontId="37" fillId="0" borderId="1" xfId="0" applyNumberFormat="1" applyFont="1" applyBorder="1" applyAlignment="1">
      <alignment horizontal="center" vertical="center"/>
    </xf>
    <xf numFmtId="176" fontId="28" fillId="0" borderId="1" xfId="0" applyFont="1" applyFill="1" applyBorder="1" applyAlignment="1">
      <alignment horizontal="center" vertical="center"/>
    </xf>
    <xf numFmtId="176" fontId="46" fillId="0" borderId="6" xfId="0" applyFont="1" applyFill="1" applyBorder="1" applyAlignment="1">
      <alignment horizontal="center"/>
    </xf>
    <xf numFmtId="176" fontId="46" fillId="0" borderId="1" xfId="0" applyFont="1" applyFill="1" applyBorder="1" applyAlignment="1">
      <alignment horizontal="center"/>
    </xf>
    <xf numFmtId="176" fontId="50" fillId="0" borderId="1" xfId="0" applyFont="1" applyFill="1" applyBorder="1" applyAlignment="1">
      <alignment horizontal="center" vertical="center"/>
    </xf>
    <xf numFmtId="176" fontId="0" fillId="0" borderId="1" xfId="0" applyFont="1" applyBorder="1" applyAlignment="1">
      <alignment horizontal="center" vertical="center"/>
    </xf>
    <xf numFmtId="14" fontId="28" fillId="0" borderId="1" xfId="0" applyNumberFormat="1" applyFont="1" applyFill="1" applyBorder="1" applyAlignment="1">
      <alignment horizontal="center" vertical="center"/>
    </xf>
    <xf numFmtId="176" fontId="37" fillId="0" borderId="1" xfId="0" applyFont="1" applyFill="1" applyBorder="1" applyAlignment="1">
      <alignment horizontal="center" vertical="center"/>
    </xf>
    <xf numFmtId="176" fontId="28" fillId="0" borderId="0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76" fontId="0" fillId="0" borderId="1" xfId="0" applyFont="1" applyBorder="1" applyAlignment="1">
      <alignment horizontal="left" vertical="center"/>
    </xf>
    <xf numFmtId="176" fontId="50" fillId="0" borderId="1" xfId="0" applyFont="1" applyBorder="1" applyAlignment="1">
      <alignment horizontal="center" vertical="center"/>
    </xf>
    <xf numFmtId="176" fontId="37" fillId="0" borderId="1" xfId="0" applyFont="1" applyBorder="1" applyAlignment="1">
      <alignment vertical="center" wrapText="1"/>
    </xf>
    <xf numFmtId="176" fontId="1" fillId="0" borderId="12" xfId="0" applyFont="1" applyFill="1" applyBorder="1" applyAlignment="1">
      <alignment horizontal="center" vertical="center"/>
    </xf>
    <xf numFmtId="49" fontId="45" fillId="0" borderId="1" xfId="0" applyNumberFormat="1" applyFont="1" applyFill="1" applyBorder="1" applyAlignment="1">
      <alignment horizontal="center" vertical="center"/>
    </xf>
    <xf numFmtId="176" fontId="45" fillId="0" borderId="1" xfId="0" applyFont="1" applyBorder="1" applyAlignment="1">
      <alignment horizontal="center" vertical="center"/>
    </xf>
    <xf numFmtId="176" fontId="45" fillId="0" borderId="1" xfId="0" applyFont="1" applyBorder="1" applyAlignment="1">
      <alignment horizontal="center" vertical="center" wrapText="1"/>
    </xf>
    <xf numFmtId="14" fontId="38" fillId="5" borderId="1" xfId="0" applyNumberFormat="1" applyFont="1" applyFill="1" applyBorder="1" applyAlignment="1">
      <alignment horizontal="center" vertical="center"/>
    </xf>
    <xf numFmtId="176" fontId="38" fillId="5" borderId="1" xfId="0" applyFont="1" applyFill="1" applyBorder="1" applyAlignment="1">
      <alignment horizontal="center"/>
    </xf>
    <xf numFmtId="176" fontId="38" fillId="5" borderId="1" xfId="0" applyFont="1" applyFill="1" applyBorder="1" applyAlignment="1">
      <alignment horizontal="center" vertical="center"/>
    </xf>
    <xf numFmtId="14" fontId="37" fillId="0" borderId="0" xfId="0" applyNumberFormat="1" applyFont="1" applyAlignment="1">
      <alignment horizontal="center" vertical="center"/>
    </xf>
    <xf numFmtId="176" fontId="56" fillId="0" borderId="0" xfId="0" applyFont="1">
      <alignment vertical="center"/>
    </xf>
    <xf numFmtId="176" fontId="37" fillId="0" borderId="8" xfId="0" applyFont="1" applyBorder="1" applyAlignment="1">
      <alignment vertical="center"/>
    </xf>
    <xf numFmtId="176" fontId="38" fillId="5" borderId="1" xfId="0" applyFont="1" applyFill="1" applyBorder="1" applyAlignment="1">
      <alignment vertical="center"/>
    </xf>
    <xf numFmtId="176" fontId="37" fillId="0" borderId="1" xfId="0" applyFont="1" applyFill="1" applyBorder="1" applyAlignment="1">
      <alignment horizontal="center" vertical="center" wrapText="1"/>
    </xf>
    <xf numFmtId="14" fontId="37" fillId="0" borderId="1" xfId="0" applyNumberFormat="1" applyFont="1" applyBorder="1" applyAlignment="1">
      <alignment horizontal="center" vertical="center" wrapText="1"/>
    </xf>
    <xf numFmtId="14" fontId="37" fillId="0" borderId="1" xfId="0" applyNumberFormat="1" applyFont="1" applyFill="1" applyBorder="1" applyAlignment="1">
      <alignment horizontal="center" vertical="center" wrapText="1"/>
    </xf>
    <xf numFmtId="176" fontId="38" fillId="5" borderId="1" xfId="0" applyFont="1" applyFill="1" applyBorder="1" applyAlignment="1">
      <alignment horizontal="right" vertical="center"/>
    </xf>
    <xf numFmtId="176" fontId="57" fillId="0" borderId="0" xfId="0" applyFont="1" applyAlignment="1">
      <alignment vertical="center"/>
    </xf>
    <xf numFmtId="14" fontId="57" fillId="0" borderId="0" xfId="0" applyNumberFormat="1" applyFont="1" applyAlignment="1">
      <alignment vertical="center"/>
    </xf>
    <xf numFmtId="176" fontId="57" fillId="0" borderId="0" xfId="0" applyFont="1" applyAlignment="1">
      <alignment horizontal="right" vertical="center"/>
    </xf>
    <xf numFmtId="176" fontId="16" fillId="0" borderId="0" xfId="0" applyFont="1" applyAlignment="1">
      <alignment horizontal="center" vertical="center"/>
    </xf>
    <xf numFmtId="180" fontId="57" fillId="0" borderId="0" xfId="0" applyNumberFormat="1" applyFont="1" applyAlignment="1">
      <alignment vertical="center"/>
    </xf>
    <xf numFmtId="14" fontId="37" fillId="0" borderId="0" xfId="0" applyNumberFormat="1" applyFont="1" applyBorder="1">
      <alignment vertical="center"/>
    </xf>
    <xf numFmtId="14" fontId="32" fillId="0" borderId="0" xfId="0" applyNumberFormat="1" applyFont="1" applyBorder="1">
      <alignment vertical="center"/>
    </xf>
    <xf numFmtId="176" fontId="32" fillId="0" borderId="0" xfId="0" applyFont="1" applyBorder="1" applyAlignment="1">
      <alignment horizontal="center" vertical="center"/>
    </xf>
    <xf numFmtId="14" fontId="37" fillId="0" borderId="0" xfId="0" applyNumberFormat="1" applyFont="1" applyBorder="1" applyAlignment="1">
      <alignment horizontal="center" vertical="center" wrapText="1"/>
    </xf>
    <xf numFmtId="176" fontId="39" fillId="0" borderId="0" xfId="4" applyFont="1" applyFill="1" applyBorder="1" applyAlignment="1">
      <alignment horizontal="center" vertical="center" wrapText="1"/>
    </xf>
    <xf numFmtId="14" fontId="37" fillId="0" borderId="0" xfId="0" applyNumberFormat="1" applyFont="1" applyAlignment="1">
      <alignment horizontal="center" vertical="center" wrapText="1"/>
    </xf>
    <xf numFmtId="176" fontId="40" fillId="0" borderId="1" xfId="0" applyFont="1" applyFill="1" applyBorder="1" applyAlignment="1">
      <alignment horizontal="left" vertical="center" wrapText="1"/>
    </xf>
    <xf numFmtId="176" fontId="37" fillId="0" borderId="0" xfId="0" applyFont="1" applyAlignment="1">
      <alignment horizontal="left" vertical="center" wrapText="1"/>
    </xf>
    <xf numFmtId="176" fontId="42" fillId="0" borderId="1" xfId="0" applyFont="1" applyFill="1" applyBorder="1" applyAlignment="1">
      <alignment vertical="center" wrapText="1"/>
    </xf>
    <xf numFmtId="176" fontId="37" fillId="0" borderId="0" xfId="0" applyFont="1" applyBorder="1" applyAlignment="1">
      <alignment vertical="center"/>
    </xf>
    <xf numFmtId="176" fontId="28" fillId="0" borderId="0" xfId="0" applyFont="1" applyFill="1" applyBorder="1" applyAlignment="1">
      <alignment vertical="center"/>
    </xf>
    <xf numFmtId="176" fontId="37" fillId="0" borderId="1" xfId="0" applyFont="1" applyFill="1" applyBorder="1" applyAlignment="1">
      <alignment horizontal="right"/>
    </xf>
    <xf numFmtId="176" fontId="37" fillId="0" borderId="1" xfId="0" applyFont="1" applyFill="1" applyBorder="1" applyAlignment="1"/>
    <xf numFmtId="179" fontId="37" fillId="0" borderId="1" xfId="0" applyNumberFormat="1" applyFont="1" applyFill="1" applyBorder="1" applyAlignment="1">
      <alignment horizontal="center" vertical="center"/>
    </xf>
    <xf numFmtId="176" fontId="37" fillId="0" borderId="1" xfId="0" applyFont="1" applyFill="1" applyBorder="1" applyAlignment="1">
      <alignment horizontal="center"/>
    </xf>
    <xf numFmtId="176" fontId="37" fillId="0" borderId="1" xfId="0" applyFont="1" applyBorder="1" applyAlignment="1"/>
    <xf numFmtId="176" fontId="37" fillId="0" borderId="1" xfId="1" applyFont="1" applyBorder="1" applyAlignment="1"/>
    <xf numFmtId="176" fontId="58" fillId="0" borderId="0" xfId="0" applyFont="1" applyFill="1" applyBorder="1" applyAlignment="1">
      <alignment horizontal="center" vertical="center"/>
    </xf>
    <xf numFmtId="176" fontId="37" fillId="0" borderId="0" xfId="0" applyFont="1" applyFill="1" applyBorder="1" applyAlignment="1">
      <alignment horizontal="center" vertical="center"/>
    </xf>
    <xf numFmtId="176" fontId="50" fillId="0" borderId="0" xfId="0" applyFont="1" applyFill="1" applyBorder="1" applyAlignment="1">
      <alignment horizontal="right"/>
    </xf>
    <xf numFmtId="176" fontId="58" fillId="0" borderId="0" xfId="0" applyFont="1" applyFill="1" applyBorder="1" applyAlignment="1">
      <alignment horizontal="center"/>
    </xf>
    <xf numFmtId="176" fontId="58" fillId="0" borderId="0" xfId="0" applyFont="1" applyFill="1" applyBorder="1" applyAlignment="1"/>
    <xf numFmtId="176" fontId="37" fillId="0" borderId="1" xfId="0" applyFont="1" applyFill="1" applyBorder="1" applyAlignment="1">
      <alignment horizontal="left"/>
    </xf>
    <xf numFmtId="180" fontId="37" fillId="0" borderId="0" xfId="0" applyNumberFormat="1" applyFont="1" applyAlignment="1">
      <alignment vertical="center"/>
    </xf>
    <xf numFmtId="176" fontId="37" fillId="0" borderId="0" xfId="0" applyFont="1" applyAlignment="1">
      <alignment vertical="center"/>
    </xf>
    <xf numFmtId="183" fontId="37" fillId="0" borderId="1" xfId="0" applyNumberFormat="1" applyFont="1" applyBorder="1" applyAlignment="1">
      <alignment horizontal="right" vertical="center"/>
    </xf>
    <xf numFmtId="176" fontId="59" fillId="0" borderId="0" xfId="0" applyFont="1">
      <alignment vertical="center"/>
    </xf>
    <xf numFmtId="14" fontId="38" fillId="5" borderId="6" xfId="0" applyNumberFormat="1" applyFont="1" applyFill="1" applyBorder="1" applyAlignment="1">
      <alignment horizontal="center" vertical="center"/>
    </xf>
    <xf numFmtId="176" fontId="45" fillId="0" borderId="6" xfId="0" applyFont="1" applyBorder="1" applyAlignment="1">
      <alignment horizontal="center" vertical="center"/>
    </xf>
    <xf numFmtId="14" fontId="45" fillId="0" borderId="6" xfId="0" applyNumberFormat="1" applyFont="1" applyBorder="1" applyAlignment="1">
      <alignment horizontal="center" vertical="center"/>
    </xf>
    <xf numFmtId="176" fontId="45" fillId="0" borderId="1" xfId="0" applyFont="1" applyBorder="1" applyAlignment="1">
      <alignment horizontal="left" vertical="center" wrapText="1"/>
    </xf>
    <xf numFmtId="176" fontId="45" fillId="0" borderId="0" xfId="0" applyFont="1" applyAlignment="1">
      <alignment horizontal="center" vertical="center"/>
    </xf>
    <xf numFmtId="14" fontId="46" fillId="0" borderId="6" xfId="0" applyNumberFormat="1" applyFont="1" applyFill="1" applyBorder="1" applyAlignment="1">
      <alignment horizontal="center"/>
    </xf>
    <xf numFmtId="180" fontId="45" fillId="0" borderId="1" xfId="0" applyNumberFormat="1" applyFont="1" applyBorder="1" applyAlignment="1">
      <alignment horizontal="right" vertical="center"/>
    </xf>
    <xf numFmtId="176" fontId="45" fillId="0" borderId="1" xfId="0" applyFont="1" applyFill="1" applyBorder="1" applyAlignment="1">
      <alignment horizontal="left" vertical="center"/>
    </xf>
    <xf numFmtId="176" fontId="23" fillId="0" borderId="1" xfId="0" applyFont="1" applyFill="1" applyBorder="1" applyAlignment="1">
      <alignment horizontal="left" vertical="center"/>
    </xf>
    <xf numFmtId="176" fontId="50" fillId="0" borderId="0" xfId="0" applyFont="1" applyAlignment="1">
      <alignment vertical="center"/>
    </xf>
    <xf numFmtId="176" fontId="50" fillId="0" borderId="0" xfId="0" applyFont="1" applyAlignment="1">
      <alignment horizontal="center" vertical="center"/>
    </xf>
    <xf numFmtId="176" fontId="32" fillId="0" borderId="1" xfId="0" applyFont="1" applyBorder="1" applyAlignment="1">
      <alignment horizontal="left" vertical="center"/>
    </xf>
    <xf numFmtId="176" fontId="0" fillId="0" borderId="0" xfId="0" applyAlignment="1">
      <alignment horizontal="left" vertical="center"/>
    </xf>
    <xf numFmtId="176" fontId="32" fillId="0" borderId="0" xfId="0" applyNumberFormat="1" applyFont="1" applyBorder="1">
      <alignment vertical="center"/>
    </xf>
    <xf numFmtId="176" fontId="37" fillId="0" borderId="0" xfId="0" applyFont="1" applyFill="1" applyBorder="1" applyAlignment="1">
      <alignment horizontal="right" vertical="center"/>
    </xf>
    <xf numFmtId="14" fontId="37" fillId="0" borderId="0" xfId="0" applyNumberFormat="1" applyFont="1" applyFill="1" applyBorder="1" applyAlignment="1">
      <alignment horizontal="center" vertical="center"/>
    </xf>
    <xf numFmtId="176" fontId="44" fillId="0" borderId="1" xfId="0" applyFont="1" applyFill="1" applyBorder="1" applyAlignment="1">
      <alignment vertical="center"/>
    </xf>
    <xf numFmtId="14" fontId="16" fillId="0" borderId="1" xfId="0" applyNumberFormat="1" applyFont="1" applyBorder="1" applyAlignment="1">
      <alignment horizontal="center" vertical="center"/>
    </xf>
    <xf numFmtId="2" fontId="0" fillId="0" borderId="0" xfId="0" applyNumberFormat="1">
      <alignment vertical="center"/>
    </xf>
    <xf numFmtId="178" fontId="42" fillId="0" borderId="1" xfId="0" applyNumberFormat="1" applyFont="1" applyFill="1" applyBorder="1" applyAlignment="1">
      <alignment horizontal="center" vertical="center"/>
    </xf>
    <xf numFmtId="179" fontId="28" fillId="0" borderId="1" xfId="0" applyNumberFormat="1" applyFont="1" applyFill="1" applyBorder="1" applyAlignment="1">
      <alignment horizontal="center" vertical="center"/>
    </xf>
    <xf numFmtId="176" fontId="27" fillId="0" borderId="1" xfId="0" applyFont="1" applyFill="1" applyBorder="1" applyAlignment="1">
      <alignment horizontal="center" vertical="center"/>
    </xf>
    <xf numFmtId="176" fontId="28" fillId="8" borderId="1" xfId="0" applyFont="1" applyFill="1" applyBorder="1" applyAlignment="1">
      <alignment horizontal="center" vertical="center"/>
    </xf>
    <xf numFmtId="176" fontId="42" fillId="0" borderId="1" xfId="0" applyFont="1" applyFill="1" applyBorder="1" applyAlignment="1">
      <alignment horizontal="center" vertical="center"/>
    </xf>
    <xf numFmtId="176" fontId="27" fillId="0" borderId="1" xfId="0" applyFont="1" applyFill="1" applyBorder="1" applyAlignment="1">
      <alignment horizontal="left" vertical="center"/>
    </xf>
    <xf numFmtId="176" fontId="43" fillId="0" borderId="1" xfId="0" applyFont="1" applyFill="1" applyBorder="1" applyAlignment="1">
      <alignment horizontal="center" vertical="center"/>
    </xf>
    <xf numFmtId="176" fontId="51" fillId="0" borderId="0" xfId="0" applyFont="1" applyFill="1" applyBorder="1" applyAlignment="1">
      <alignment horizontal="left" vertical="center"/>
    </xf>
    <xf numFmtId="180" fontId="51" fillId="0" borderId="0" xfId="0" applyNumberFormat="1" applyFont="1" applyFill="1" applyBorder="1" applyAlignment="1">
      <alignment horizontal="right" vertical="center"/>
    </xf>
    <xf numFmtId="176" fontId="52" fillId="0" borderId="1" xfId="0" applyFont="1" applyFill="1" applyBorder="1" applyAlignment="1">
      <alignment horizontal="center" vertical="center"/>
    </xf>
    <xf numFmtId="176" fontId="17" fillId="0" borderId="0" xfId="0" applyFont="1" applyAlignment="1">
      <alignment horizontal="left" vertical="center"/>
    </xf>
    <xf numFmtId="176" fontId="17" fillId="0" borderId="0" xfId="0" applyFont="1" applyAlignment="1">
      <alignment horizontal="center" vertical="center"/>
    </xf>
    <xf numFmtId="176" fontId="50" fillId="0" borderId="1" xfId="0" applyFont="1" applyFill="1" applyBorder="1" applyAlignment="1">
      <alignment horizontal="left"/>
    </xf>
    <xf numFmtId="176" fontId="50" fillId="0" borderId="3" xfId="0" applyFont="1" applyFill="1" applyBorder="1" applyAlignment="1">
      <alignment horizontal="center" vertical="center"/>
    </xf>
    <xf numFmtId="176" fontId="50" fillId="0" borderId="14" xfId="0" applyFont="1" applyFill="1" applyBorder="1" applyAlignment="1">
      <alignment horizontal="center"/>
    </xf>
    <xf numFmtId="176" fontId="50" fillId="0" borderId="1" xfId="0" applyFont="1" applyBorder="1" applyAlignment="1">
      <alignment horizontal="left" vertical="center"/>
    </xf>
    <xf numFmtId="180" fontId="37" fillId="0" borderId="0" xfId="0" applyNumberFormat="1" applyFont="1" applyBorder="1" applyAlignment="1">
      <alignment horizontal="right" vertical="center"/>
    </xf>
    <xf numFmtId="176" fontId="33" fillId="0" borderId="12" xfId="0" applyFont="1" applyFill="1" applyBorder="1" applyAlignment="1">
      <alignment horizontal="center"/>
    </xf>
    <xf numFmtId="176" fontId="33" fillId="0" borderId="1" xfId="0" applyFont="1" applyFill="1" applyBorder="1" applyAlignment="1">
      <alignment horizontal="center"/>
    </xf>
    <xf numFmtId="176" fontId="33" fillId="0" borderId="1" xfId="0" applyFont="1" applyFill="1" applyBorder="1" applyAlignment="1">
      <alignment horizontal="center" vertical="center"/>
    </xf>
    <xf numFmtId="176" fontId="1" fillId="0" borderId="1" xfId="0" applyFont="1" applyFill="1" applyBorder="1" applyAlignment="1">
      <alignment horizontal="left"/>
    </xf>
    <xf numFmtId="176" fontId="1" fillId="0" borderId="12" xfId="0" applyFont="1" applyFill="1" applyBorder="1" applyAlignment="1">
      <alignment horizontal="left"/>
    </xf>
    <xf numFmtId="176" fontId="32" fillId="0" borderId="0" xfId="0" applyFont="1" applyAlignment="1">
      <alignment horizontal="left" vertical="center"/>
    </xf>
    <xf numFmtId="176" fontId="36" fillId="0" borderId="0" xfId="4" applyFont="1" applyBorder="1">
      <alignment vertical="center"/>
    </xf>
    <xf numFmtId="176" fontId="35" fillId="0" borderId="0" xfId="0" applyFont="1" applyBorder="1" applyAlignment="1">
      <alignment horizontal="center" vertical="center"/>
    </xf>
    <xf numFmtId="176" fontId="36" fillId="0" borderId="0" xfId="4" applyFont="1" applyBorder="1" applyAlignment="1">
      <alignment horizontal="center" vertical="center"/>
    </xf>
    <xf numFmtId="2" fontId="35" fillId="0" borderId="0" xfId="0" applyNumberFormat="1" applyFont="1" applyBorder="1">
      <alignment vertical="center"/>
    </xf>
    <xf numFmtId="176" fontId="45" fillId="0" borderId="0" xfId="0" applyFont="1" applyBorder="1" applyAlignment="1">
      <alignment horizontal="center" vertical="center"/>
    </xf>
    <xf numFmtId="49" fontId="55" fillId="0" borderId="1" xfId="0" applyNumberFormat="1" applyFont="1" applyFill="1" applyBorder="1" applyAlignment="1">
      <alignment horizontal="center" vertical="center"/>
    </xf>
    <xf numFmtId="182" fontId="45" fillId="0" borderId="0" xfId="0" applyNumberFormat="1" applyFont="1" applyBorder="1" applyAlignment="1">
      <alignment horizontal="center" vertical="center"/>
    </xf>
    <xf numFmtId="176" fontId="37" fillId="0" borderId="1" xfId="0" applyFont="1" applyBorder="1" applyAlignment="1">
      <alignment horizontal="center" vertical="center"/>
    </xf>
    <xf numFmtId="14" fontId="37" fillId="0" borderId="1" xfId="0" applyNumberFormat="1" applyFont="1" applyBorder="1" applyAlignment="1">
      <alignment horizontal="center" vertical="center" wrapText="1"/>
    </xf>
    <xf numFmtId="14" fontId="37" fillId="0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76" fontId="0" fillId="0" borderId="1" xfId="0" applyFont="1" applyBorder="1" applyAlignment="1">
      <alignment horizontal="center" vertical="center"/>
    </xf>
    <xf numFmtId="176" fontId="37" fillId="0" borderId="1" xfId="0" applyNumberFormat="1" applyFont="1" applyBorder="1" applyAlignment="1">
      <alignment horizontal="center" vertical="center"/>
    </xf>
    <xf numFmtId="14" fontId="37" fillId="0" borderId="1" xfId="0" applyNumberFormat="1" applyFont="1" applyFill="1" applyBorder="1" applyAlignment="1">
      <alignment horizontal="center"/>
    </xf>
    <xf numFmtId="180" fontId="37" fillId="0" borderId="1" xfId="0" applyNumberFormat="1" applyFont="1" applyFill="1" applyBorder="1" applyAlignment="1">
      <alignment horizontal="right" vertical="center"/>
    </xf>
    <xf numFmtId="180" fontId="38" fillId="5" borderId="1" xfId="0" applyNumberFormat="1" applyFont="1" applyFill="1" applyBorder="1" applyAlignment="1">
      <alignment horizontal="center" vertical="center"/>
    </xf>
    <xf numFmtId="180" fontId="37" fillId="0" borderId="1" xfId="0" applyNumberFormat="1" applyFont="1" applyFill="1" applyBorder="1" applyAlignment="1">
      <alignment horizontal="center" vertical="center"/>
    </xf>
    <xf numFmtId="180" fontId="27" fillId="0" borderId="1" xfId="0" applyNumberFormat="1" applyFont="1" applyFill="1" applyBorder="1" applyAlignment="1">
      <alignment horizontal="center" vertical="center"/>
    </xf>
    <xf numFmtId="180" fontId="28" fillId="0" borderId="1" xfId="0" applyNumberFormat="1" applyFont="1" applyFill="1" applyBorder="1" applyAlignment="1"/>
    <xf numFmtId="180" fontId="37" fillId="0" borderId="1" xfId="0" applyNumberFormat="1" applyFont="1" applyBorder="1" applyAlignment="1">
      <alignment horizontal="center" vertical="center"/>
    </xf>
    <xf numFmtId="180" fontId="0" fillId="0" borderId="0" xfId="0" applyNumberFormat="1" applyFont="1">
      <alignment vertical="center"/>
    </xf>
    <xf numFmtId="176" fontId="37" fillId="0" borderId="1" xfId="0" applyFont="1" applyBorder="1" applyAlignment="1">
      <alignment horizontal="center" vertical="center"/>
    </xf>
    <xf numFmtId="14" fontId="37" fillId="0" borderId="1" xfId="0" applyNumberFormat="1" applyFont="1" applyBorder="1" applyAlignment="1">
      <alignment horizontal="center" vertical="center" wrapText="1"/>
    </xf>
    <xf numFmtId="14" fontId="28" fillId="0" borderId="0" xfId="0" applyNumberFormat="1" applyFont="1" applyFill="1" applyBorder="1" applyAlignment="1">
      <alignment horizontal="center" vertical="center"/>
    </xf>
    <xf numFmtId="176" fontId="37" fillId="0" borderId="1" xfId="0" applyFont="1" applyBorder="1" applyAlignment="1">
      <alignment horizontal="center" vertical="center"/>
    </xf>
    <xf numFmtId="176" fontId="37" fillId="0" borderId="1" xfId="0" applyFont="1" applyBorder="1" applyAlignment="1">
      <alignment horizontal="center" vertical="center" wrapText="1"/>
    </xf>
    <xf numFmtId="176" fontId="37" fillId="0" borderId="1" xfId="0" applyFont="1" applyBorder="1" applyAlignment="1">
      <alignment vertical="center" wrapText="1"/>
    </xf>
    <xf numFmtId="176" fontId="37" fillId="0" borderId="1" xfId="0" applyFont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/>
    </xf>
    <xf numFmtId="176" fontId="16" fillId="0" borderId="0" xfId="0" applyFont="1" applyBorder="1">
      <alignment vertical="center"/>
    </xf>
    <xf numFmtId="176" fontId="37" fillId="0" borderId="1" xfId="0" applyFont="1" applyBorder="1" applyAlignment="1">
      <alignment horizontal="center" vertical="center"/>
    </xf>
    <xf numFmtId="176" fontId="45" fillId="0" borderId="1" xfId="0" applyFont="1" applyBorder="1" applyAlignment="1">
      <alignment horizontal="center" vertical="center"/>
    </xf>
    <xf numFmtId="176" fontId="37" fillId="0" borderId="1" xfId="0" applyFont="1" applyBorder="1" applyAlignment="1">
      <alignment horizontal="center" vertical="center"/>
    </xf>
    <xf numFmtId="14" fontId="45" fillId="0" borderId="1" xfId="0" applyNumberFormat="1" applyFont="1" applyFill="1" applyBorder="1" applyAlignment="1">
      <alignment horizontal="left" vertical="center"/>
    </xf>
    <xf numFmtId="180" fontId="38" fillId="5" borderId="1" xfId="0" applyNumberFormat="1" applyFont="1" applyFill="1" applyBorder="1" applyAlignment="1">
      <alignment horizontal="right" vertical="center"/>
    </xf>
    <xf numFmtId="180" fontId="45" fillId="0" borderId="0" xfId="0" applyNumberFormat="1" applyFont="1" applyBorder="1" applyAlignment="1">
      <alignment horizontal="right" vertical="center"/>
    </xf>
    <xf numFmtId="176" fontId="37" fillId="0" borderId="1" xfId="0" applyFont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/>
    </xf>
    <xf numFmtId="176" fontId="50" fillId="0" borderId="1" xfId="0" applyFont="1" applyFill="1" applyBorder="1" applyAlignment="1">
      <alignment horizontal="center" vertical="center"/>
    </xf>
    <xf numFmtId="176" fontId="0" fillId="0" borderId="0" xfId="0" applyFont="1" applyAlignment="1">
      <alignment horizontal="center" vertical="center"/>
    </xf>
    <xf numFmtId="176" fontId="16" fillId="0" borderId="0" xfId="0" applyFont="1" applyBorder="1" applyAlignment="1">
      <alignment horizontal="center" vertical="center"/>
    </xf>
    <xf numFmtId="14" fontId="16" fillId="0" borderId="1" xfId="0" applyNumberFormat="1" applyFont="1" applyBorder="1" applyAlignment="1">
      <alignment horizontal="left" vertical="center"/>
    </xf>
    <xf numFmtId="176" fontId="16" fillId="0" borderId="1" xfId="0" applyFont="1" applyBorder="1" applyAlignment="1">
      <alignment horizontal="left" vertical="center"/>
    </xf>
    <xf numFmtId="49" fontId="45" fillId="0" borderId="1" xfId="0" applyNumberFormat="1" applyFont="1" applyFill="1" applyBorder="1" applyAlignment="1">
      <alignment horizontal="left" vertical="center" wrapText="1"/>
    </xf>
    <xf numFmtId="176" fontId="37" fillId="0" borderId="1" xfId="0" applyFont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/>
    </xf>
    <xf numFmtId="183" fontId="50" fillId="0" borderId="0" xfId="0" applyNumberFormat="1" applyFont="1" applyFill="1" applyBorder="1" applyAlignment="1">
      <alignment horizontal="right"/>
    </xf>
    <xf numFmtId="176" fontId="20" fillId="0" borderId="0" xfId="0" applyFont="1" applyAlignment="1">
      <alignment horizontal="center" vertical="center"/>
    </xf>
    <xf numFmtId="176" fontId="16" fillId="0" borderId="0" xfId="0" applyFont="1">
      <alignment vertical="center"/>
    </xf>
    <xf numFmtId="176" fontId="0" fillId="8" borderId="1" xfId="0" applyFill="1" applyBorder="1" applyAlignment="1">
      <alignment horizontal="center" vertical="center"/>
    </xf>
    <xf numFmtId="176" fontId="9" fillId="8" borderId="1" xfId="0" applyFont="1" applyFill="1" applyBorder="1">
      <alignment vertical="center"/>
    </xf>
    <xf numFmtId="176" fontId="65" fillId="8" borderId="1" xfId="4" applyFont="1" applyFill="1" applyBorder="1">
      <alignment vertical="center"/>
    </xf>
    <xf numFmtId="176" fontId="47" fillId="0" borderId="1" xfId="4" applyFont="1" applyFill="1" applyBorder="1" applyAlignment="1">
      <alignment horizontal="center" vertical="center"/>
    </xf>
    <xf numFmtId="176" fontId="47" fillId="5" borderId="1" xfId="4" applyFont="1" applyFill="1" applyBorder="1" applyAlignment="1">
      <alignment horizontal="center" vertical="center"/>
    </xf>
    <xf numFmtId="176" fontId="47" fillId="4" borderId="1" xfId="4" applyFont="1" applyFill="1" applyBorder="1" applyAlignment="1">
      <alignment horizontal="center" vertical="center"/>
    </xf>
    <xf numFmtId="176" fontId="47" fillId="3" borderId="1" xfId="4" applyFont="1" applyFill="1" applyBorder="1" applyAlignment="1">
      <alignment horizontal="center" vertical="center"/>
    </xf>
    <xf numFmtId="176" fontId="47" fillId="2" borderId="1" xfId="4" applyFont="1" applyFill="1" applyBorder="1" applyAlignment="1">
      <alignment horizontal="center" vertical="center"/>
    </xf>
    <xf numFmtId="176" fontId="37" fillId="0" borderId="1" xfId="0" applyFont="1" applyBorder="1" applyAlignment="1">
      <alignment horizontal="center" vertical="center"/>
    </xf>
    <xf numFmtId="176" fontId="45" fillId="0" borderId="1" xfId="0" applyFont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/>
    </xf>
    <xf numFmtId="176" fontId="37" fillId="0" borderId="1" xfId="0" applyFont="1" applyBorder="1" applyAlignment="1">
      <alignment horizontal="center" vertical="center"/>
    </xf>
    <xf numFmtId="14" fontId="37" fillId="0" borderId="1" xfId="0" applyNumberFormat="1" applyFont="1" applyBorder="1" applyAlignment="1">
      <alignment horizontal="center" vertical="center"/>
    </xf>
    <xf numFmtId="176" fontId="50" fillId="0" borderId="1" xfId="0" applyFont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/>
    </xf>
    <xf numFmtId="176" fontId="0" fillId="0" borderId="1" xfId="0" applyFont="1" applyBorder="1" applyAlignment="1">
      <alignment horizontal="center" vertical="center"/>
    </xf>
    <xf numFmtId="176" fontId="50" fillId="0" borderId="1" xfId="0" applyFont="1" applyFill="1" applyBorder="1" applyAlignment="1">
      <alignment horizontal="center" vertical="center"/>
    </xf>
    <xf numFmtId="49" fontId="45" fillId="0" borderId="1" xfId="0" applyNumberFormat="1" applyFont="1" applyFill="1" applyBorder="1" applyAlignment="1">
      <alignment horizontal="center" vertical="center"/>
    </xf>
    <xf numFmtId="180" fontId="37" fillId="0" borderId="1" xfId="0" applyNumberFormat="1" applyFont="1" applyFill="1" applyBorder="1" applyAlignment="1">
      <alignment vertical="center"/>
    </xf>
    <xf numFmtId="43" fontId="0" fillId="0" borderId="1" xfId="5" applyFont="1" applyFill="1" applyBorder="1">
      <alignment vertical="center"/>
    </xf>
    <xf numFmtId="43" fontId="9" fillId="8" borderId="1" xfId="5" applyFont="1" applyFill="1" applyBorder="1" applyAlignment="1">
      <alignment horizontal="center" vertical="center"/>
    </xf>
    <xf numFmtId="43" fontId="0" fillId="5" borderId="1" xfId="5" applyFont="1" applyFill="1" applyBorder="1">
      <alignment vertical="center"/>
    </xf>
    <xf numFmtId="43" fontId="0" fillId="4" borderId="1" xfId="5" applyFont="1" applyFill="1" applyBorder="1">
      <alignment vertical="center"/>
    </xf>
    <xf numFmtId="43" fontId="0" fillId="3" borderId="1" xfId="5" applyFont="1" applyFill="1" applyBorder="1">
      <alignment vertical="center"/>
    </xf>
    <xf numFmtId="43" fontId="16" fillId="3" borderId="8" xfId="5" applyFont="1" applyFill="1" applyBorder="1">
      <alignment vertical="center"/>
    </xf>
    <xf numFmtId="43" fontId="0" fillId="3" borderId="8" xfId="5" applyFont="1" applyFill="1" applyBorder="1">
      <alignment vertical="center"/>
    </xf>
    <xf numFmtId="43" fontId="0" fillId="2" borderId="1" xfId="5" applyFont="1" applyFill="1" applyBorder="1">
      <alignment vertical="center"/>
    </xf>
    <xf numFmtId="43" fontId="9" fillId="8" borderId="1" xfId="5" applyFont="1" applyFill="1" applyBorder="1">
      <alignment vertical="center"/>
    </xf>
    <xf numFmtId="43" fontId="16" fillId="0" borderId="1" xfId="5" applyFont="1" applyFill="1" applyBorder="1">
      <alignment vertical="center"/>
    </xf>
    <xf numFmtId="43" fontId="0" fillId="0" borderId="0" xfId="5" applyFont="1">
      <alignment vertical="center"/>
    </xf>
    <xf numFmtId="43" fontId="3" fillId="0" borderId="1" xfId="5" applyFont="1" applyFill="1" applyBorder="1">
      <alignment vertical="center"/>
    </xf>
    <xf numFmtId="176" fontId="37" fillId="0" borderId="1" xfId="0" applyFont="1" applyBorder="1" applyAlignment="1">
      <alignment horizontal="center" vertical="center"/>
    </xf>
    <xf numFmtId="176" fontId="0" fillId="0" borderId="1" xfId="0" applyFont="1" applyBorder="1" applyAlignment="1">
      <alignment horizontal="center" vertical="center"/>
    </xf>
    <xf numFmtId="43" fontId="37" fillId="0" borderId="1" xfId="5" applyFont="1" applyBorder="1">
      <alignment vertical="center"/>
    </xf>
    <xf numFmtId="176" fontId="32" fillId="0" borderId="1" xfId="0" applyFont="1" applyBorder="1" applyAlignment="1">
      <alignment vertical="center"/>
    </xf>
    <xf numFmtId="176" fontId="20" fillId="0" borderId="0" xfId="0" applyFont="1" applyAlignment="1">
      <alignment vertical="center"/>
    </xf>
    <xf numFmtId="176" fontId="37" fillId="0" borderId="1" xfId="0" applyFont="1" applyBorder="1" applyAlignment="1">
      <alignment horizontal="center" vertical="center"/>
    </xf>
    <xf numFmtId="14" fontId="37" fillId="0" borderId="1" xfId="0" applyNumberFormat="1" applyFont="1" applyBorder="1" applyAlignment="1">
      <alignment horizontal="center" vertical="center"/>
    </xf>
    <xf numFmtId="2" fontId="37" fillId="0" borderId="1" xfId="0" applyNumberFormat="1" applyFont="1" applyFill="1" applyBorder="1" applyAlignment="1">
      <alignment horizontal="right" vertical="center"/>
    </xf>
    <xf numFmtId="2" fontId="37" fillId="0" borderId="1" xfId="0" applyNumberFormat="1" applyFont="1" applyFill="1" applyBorder="1" applyAlignment="1">
      <alignment horizontal="right" vertical="center" wrapText="1"/>
    </xf>
    <xf numFmtId="180" fontId="37" fillId="0" borderId="1" xfId="0" applyNumberFormat="1" applyFont="1" applyFill="1" applyBorder="1" applyAlignment="1">
      <alignment vertical="center" wrapText="1"/>
    </xf>
    <xf numFmtId="176" fontId="37" fillId="0" borderId="1" xfId="0" applyFont="1" applyBorder="1" applyAlignment="1">
      <alignment horizontal="center" vertical="center"/>
    </xf>
    <xf numFmtId="176" fontId="37" fillId="0" borderId="1" xfId="0" applyFont="1" applyBorder="1" applyAlignment="1">
      <alignment horizontal="center" vertical="center"/>
    </xf>
    <xf numFmtId="176" fontId="37" fillId="0" borderId="1" xfId="0" applyFont="1" applyFill="1" applyBorder="1" applyAlignment="1">
      <alignment vertical="center"/>
    </xf>
    <xf numFmtId="176" fontId="37" fillId="0" borderId="1" xfId="0" applyFont="1" applyFill="1" applyBorder="1" applyAlignment="1">
      <alignment horizontal="center" vertical="center"/>
    </xf>
    <xf numFmtId="176" fontId="0" fillId="0" borderId="1" xfId="0" applyFont="1" applyBorder="1" applyAlignment="1">
      <alignment horizontal="center" vertical="center"/>
    </xf>
    <xf numFmtId="176" fontId="37" fillId="0" borderId="1" xfId="0" applyFont="1" applyBorder="1" applyAlignment="1">
      <alignment horizontal="center" vertical="center"/>
    </xf>
    <xf numFmtId="176" fontId="0" fillId="0" borderId="8" xfId="0" applyFont="1" applyBorder="1" applyAlignment="1">
      <alignment vertical="center"/>
    </xf>
    <xf numFmtId="183" fontId="37" fillId="0" borderId="0" xfId="0" applyNumberFormat="1" applyFont="1" applyBorder="1">
      <alignment vertical="center"/>
    </xf>
    <xf numFmtId="176" fontId="37" fillId="0" borderId="1" xfId="0" applyFont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/>
    </xf>
    <xf numFmtId="176" fontId="28" fillId="0" borderId="1" xfId="0" applyFont="1" applyFill="1" applyBorder="1" applyAlignment="1">
      <alignment horizontal="center" vertical="center"/>
    </xf>
    <xf numFmtId="176" fontId="28" fillId="0" borderId="0" xfId="0" applyFont="1" applyFill="1" applyBorder="1" applyAlignment="1">
      <alignment horizontal="left" vertical="center"/>
    </xf>
    <xf numFmtId="180" fontId="28" fillId="0" borderId="0" xfId="0" applyNumberFormat="1" applyFont="1" applyFill="1" applyBorder="1" applyAlignment="1">
      <alignment vertical="center"/>
    </xf>
    <xf numFmtId="176" fontId="37" fillId="0" borderId="1" xfId="0" applyFont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/>
    </xf>
    <xf numFmtId="176" fontId="37" fillId="0" borderId="1" xfId="0" applyFont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/>
    </xf>
    <xf numFmtId="176" fontId="67" fillId="0" borderId="1" xfId="0" applyFont="1" applyFill="1" applyBorder="1" applyAlignment="1">
      <alignment horizontal="left"/>
    </xf>
    <xf numFmtId="176" fontId="37" fillId="0" borderId="1" xfId="0" applyFont="1" applyBorder="1" applyAlignment="1">
      <alignment horizontal="center" vertical="center"/>
    </xf>
    <xf numFmtId="176" fontId="45" fillId="0" borderId="1" xfId="0" applyFont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 wrapText="1"/>
    </xf>
    <xf numFmtId="184" fontId="0" fillId="0" borderId="1" xfId="0" applyNumberFormat="1" applyBorder="1" applyAlignment="1">
      <alignment horizontal="center" vertical="center"/>
    </xf>
    <xf numFmtId="184" fontId="0" fillId="4" borderId="1" xfId="0" applyNumberFormat="1" applyFill="1" applyBorder="1" applyAlignment="1">
      <alignment horizontal="center" vertical="center"/>
    </xf>
    <xf numFmtId="184" fontId="0" fillId="3" borderId="1" xfId="0" applyNumberFormat="1" applyFill="1" applyBorder="1" applyAlignment="1">
      <alignment horizontal="center" vertical="center"/>
    </xf>
    <xf numFmtId="184" fontId="0" fillId="3" borderId="1" xfId="0" applyNumberFormat="1" applyFont="1" applyFill="1" applyBorder="1" applyAlignment="1">
      <alignment horizontal="center" vertical="center"/>
    </xf>
    <xf numFmtId="184" fontId="0" fillId="2" borderId="1" xfId="0" applyNumberFormat="1" applyFill="1" applyBorder="1" applyAlignment="1">
      <alignment horizontal="center" vertical="center"/>
    </xf>
    <xf numFmtId="184" fontId="16" fillId="2" borderId="1" xfId="0" applyNumberFormat="1" applyFont="1" applyFill="1" applyBorder="1" applyAlignment="1">
      <alignment horizontal="center" vertical="center"/>
    </xf>
    <xf numFmtId="184" fontId="0" fillId="0" borderId="1" xfId="0" applyNumberFormat="1" applyFill="1" applyBorder="1" applyAlignment="1">
      <alignment horizontal="center" vertical="center"/>
    </xf>
    <xf numFmtId="184" fontId="16" fillId="0" borderId="1" xfId="0" applyNumberFormat="1" applyFont="1" applyFill="1" applyBorder="1" applyAlignment="1">
      <alignment horizontal="center" vertical="center"/>
    </xf>
    <xf numFmtId="184" fontId="9" fillId="8" borderId="1" xfId="0" applyNumberFormat="1" applyFont="1" applyFill="1" applyBorder="1" applyAlignment="1">
      <alignment horizontal="center" vertical="center"/>
    </xf>
    <xf numFmtId="184" fontId="16" fillId="0" borderId="1" xfId="0" applyNumberFormat="1" applyFont="1" applyBorder="1" applyAlignment="1">
      <alignment horizontal="center" vertical="center"/>
    </xf>
    <xf numFmtId="176" fontId="38" fillId="5" borderId="1" xfId="0" applyNumberFormat="1" applyFont="1" applyFill="1" applyBorder="1" applyAlignment="1">
      <alignment horizontal="center" vertical="center"/>
    </xf>
    <xf numFmtId="176" fontId="38" fillId="5" borderId="1" xfId="0" applyNumberFormat="1" applyFont="1" applyFill="1" applyBorder="1" applyAlignment="1">
      <alignment horizontal="center"/>
    </xf>
    <xf numFmtId="176" fontId="16" fillId="0" borderId="1" xfId="0" applyNumberFormat="1" applyFont="1" applyFill="1" applyBorder="1" applyAlignment="1">
      <alignment horizontal="center" vertical="center"/>
    </xf>
    <xf numFmtId="176" fontId="16" fillId="0" borderId="1" xfId="0" applyNumberFormat="1" applyFont="1" applyFill="1" applyBorder="1" applyAlignment="1">
      <alignment vertical="center"/>
    </xf>
    <xf numFmtId="176" fontId="32" fillId="0" borderId="1" xfId="0" applyNumberFormat="1" applyFont="1" applyFill="1" applyBorder="1" applyAlignment="1">
      <alignment vertical="center"/>
    </xf>
    <xf numFmtId="176" fontId="16" fillId="0" borderId="0" xfId="0" applyNumberFormat="1" applyFont="1" applyFill="1" applyAlignment="1">
      <alignment vertical="center"/>
    </xf>
    <xf numFmtId="176" fontId="16" fillId="0" borderId="0" xfId="0" applyNumberFormat="1" applyFont="1" applyFill="1" applyAlignment="1">
      <alignment horizontal="center" vertical="center"/>
    </xf>
    <xf numFmtId="180" fontId="16" fillId="0" borderId="0" xfId="0" applyNumberFormat="1" applyFont="1" applyFill="1" applyAlignment="1">
      <alignment vertical="center"/>
    </xf>
    <xf numFmtId="176" fontId="16" fillId="0" borderId="0" xfId="0" applyNumberFormat="1" applyFont="1" applyFill="1" applyAlignment="1">
      <alignment horizontal="right" vertical="center"/>
    </xf>
    <xf numFmtId="176" fontId="16" fillId="0" borderId="8" xfId="0" applyNumberFormat="1" applyFont="1" applyFill="1" applyBorder="1" applyAlignment="1">
      <alignment horizontal="center" vertical="center"/>
    </xf>
    <xf numFmtId="176" fontId="37" fillId="0" borderId="1" xfId="0" applyFont="1" applyBorder="1" applyAlignment="1">
      <alignment horizontal="center" vertical="center"/>
    </xf>
    <xf numFmtId="176" fontId="45" fillId="0" borderId="1" xfId="0" applyFont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/>
    </xf>
    <xf numFmtId="176" fontId="0" fillId="0" borderId="1" xfId="0" applyFont="1" applyBorder="1" applyAlignment="1">
      <alignment horizontal="center" vertical="center"/>
    </xf>
    <xf numFmtId="43" fontId="16" fillId="0" borderId="1" xfId="5" applyFont="1" applyBorder="1">
      <alignment vertical="center"/>
    </xf>
    <xf numFmtId="176" fontId="37" fillId="0" borderId="1" xfId="0" applyFont="1" applyBorder="1" applyAlignment="1">
      <alignment horizontal="center" vertical="center"/>
    </xf>
    <xf numFmtId="176" fontId="37" fillId="0" borderId="1" xfId="0" applyFont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/>
    </xf>
    <xf numFmtId="176" fontId="28" fillId="0" borderId="1" xfId="0" applyFont="1" applyFill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/>
    </xf>
    <xf numFmtId="176" fontId="37" fillId="0" borderId="1" xfId="0" applyFont="1" applyBorder="1" applyAlignment="1">
      <alignment horizontal="center" vertical="center"/>
    </xf>
    <xf numFmtId="176" fontId="45" fillId="0" borderId="1" xfId="0" applyFont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/>
    </xf>
    <xf numFmtId="176" fontId="50" fillId="0" borderId="1" xfId="0" applyFont="1" applyFill="1" applyBorder="1" applyAlignment="1">
      <alignment horizontal="center" vertical="center"/>
    </xf>
    <xf numFmtId="14" fontId="32" fillId="0" borderId="1" xfId="0" applyNumberFormat="1" applyFont="1" applyBorder="1">
      <alignment vertical="center"/>
    </xf>
    <xf numFmtId="176" fontId="37" fillId="0" borderId="1" xfId="0" applyFont="1" applyBorder="1" applyAlignment="1">
      <alignment horizontal="center" vertical="center"/>
    </xf>
    <xf numFmtId="176" fontId="45" fillId="0" borderId="1" xfId="0" applyFont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/>
    </xf>
    <xf numFmtId="176" fontId="16" fillId="0" borderId="1" xfId="0" applyNumberFormat="1" applyFont="1" applyFill="1" applyBorder="1" applyAlignment="1">
      <alignment horizontal="center" vertical="center"/>
    </xf>
    <xf numFmtId="176" fontId="0" fillId="0" borderId="1" xfId="0" applyFont="1" applyBorder="1" applyAlignment="1">
      <alignment horizontal="center" vertical="center"/>
    </xf>
    <xf numFmtId="176" fontId="16" fillId="0" borderId="1" xfId="0" applyFont="1" applyBorder="1" applyAlignment="1">
      <alignment horizontal="left" vertical="center" wrapText="1"/>
    </xf>
    <xf numFmtId="176" fontId="16" fillId="0" borderId="0" xfId="0" applyFont="1" applyFill="1">
      <alignment vertical="center"/>
    </xf>
    <xf numFmtId="176" fontId="37" fillId="0" borderId="1" xfId="0" applyFont="1" applyBorder="1" applyAlignment="1">
      <alignment horizontal="center" vertical="center"/>
    </xf>
    <xf numFmtId="176" fontId="37" fillId="0" borderId="8" xfId="0" applyFont="1" applyFill="1" applyBorder="1" applyAlignment="1">
      <alignment horizontal="center" vertical="center"/>
    </xf>
    <xf numFmtId="14" fontId="37" fillId="0" borderId="8" xfId="0" applyNumberFormat="1" applyFont="1" applyFill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/>
    </xf>
    <xf numFmtId="176" fontId="37" fillId="0" borderId="1" xfId="0" applyFont="1" applyBorder="1" applyAlignment="1">
      <alignment horizontal="center" vertical="center" wrapText="1"/>
    </xf>
    <xf numFmtId="176" fontId="37" fillId="0" borderId="1" xfId="0" applyFont="1" applyFill="1" applyBorder="1" applyAlignment="1">
      <alignment horizontal="center" vertical="center"/>
    </xf>
    <xf numFmtId="14" fontId="37" fillId="0" borderId="1" xfId="0" applyNumberFormat="1" applyFont="1" applyFill="1" applyBorder="1" applyAlignment="1">
      <alignment horizontal="center" vertical="center"/>
    </xf>
    <xf numFmtId="176" fontId="32" fillId="0" borderId="1" xfId="0" applyFont="1" applyBorder="1" applyAlignment="1">
      <alignment horizontal="center" vertical="center"/>
    </xf>
    <xf numFmtId="176" fontId="28" fillId="0" borderId="1" xfId="0" applyFont="1" applyFill="1" applyBorder="1" applyAlignment="1">
      <alignment horizontal="center" vertical="center"/>
    </xf>
    <xf numFmtId="180" fontId="37" fillId="0" borderId="1" xfId="0" applyNumberFormat="1" applyFont="1" applyFill="1" applyBorder="1" applyAlignment="1">
      <alignment horizontal="center" vertical="center"/>
    </xf>
    <xf numFmtId="14" fontId="16" fillId="0" borderId="1" xfId="0" applyNumberFormat="1" applyFont="1" applyBorder="1" applyAlignment="1">
      <alignment horizontal="left" vertical="center"/>
    </xf>
    <xf numFmtId="176" fontId="0" fillId="0" borderId="0" xfId="0" applyFont="1" applyAlignment="1">
      <alignment horizontal="center" vertical="center"/>
    </xf>
    <xf numFmtId="176" fontId="32" fillId="0" borderId="1" xfId="0" applyFont="1" applyBorder="1" applyAlignment="1">
      <alignment horizontal="left" vertical="center" wrapText="1"/>
    </xf>
    <xf numFmtId="176" fontId="37" fillId="0" borderId="0" xfId="0" applyFont="1" applyAlignment="1">
      <alignment horizontal="right" vertical="center"/>
    </xf>
    <xf numFmtId="43" fontId="38" fillId="5" borderId="1" xfId="5" applyFont="1" applyFill="1" applyBorder="1" applyAlignment="1">
      <alignment horizontal="center" vertical="center"/>
    </xf>
    <xf numFmtId="43" fontId="37" fillId="0" borderId="1" xfId="5" applyFont="1" applyBorder="1" applyAlignment="1">
      <alignment horizontal="center" vertical="center"/>
    </xf>
    <xf numFmtId="43" fontId="37" fillId="0" borderId="0" xfId="5" applyFont="1" applyAlignment="1">
      <alignment horizontal="center" vertical="center"/>
    </xf>
    <xf numFmtId="43" fontId="37" fillId="0" borderId="1" xfId="5" applyFont="1" applyFill="1" applyBorder="1" applyAlignment="1">
      <alignment horizontal="center" vertical="center"/>
    </xf>
    <xf numFmtId="180" fontId="37" fillId="0" borderId="8" xfId="0" applyNumberFormat="1" applyFont="1" applyFill="1" applyBorder="1" applyAlignment="1">
      <alignment vertical="center"/>
    </xf>
    <xf numFmtId="180" fontId="37" fillId="0" borderId="3" xfId="0" applyNumberFormat="1" applyFont="1" applyFill="1" applyBorder="1" applyAlignment="1">
      <alignment vertical="center"/>
    </xf>
    <xf numFmtId="43" fontId="50" fillId="0" borderId="1" xfId="5" applyFont="1" applyFill="1" applyBorder="1" applyAlignment="1">
      <alignment horizontal="center" vertical="center"/>
    </xf>
    <xf numFmtId="176" fontId="50" fillId="0" borderId="1" xfId="0" applyFont="1" applyFill="1" applyBorder="1" applyAlignment="1">
      <alignment horizontal="right" vertical="center"/>
    </xf>
    <xf numFmtId="176" fontId="17" fillId="0" borderId="0" xfId="0" applyFont="1" applyAlignment="1">
      <alignment horizontal="right" vertical="center"/>
    </xf>
    <xf numFmtId="43" fontId="37" fillId="0" borderId="0" xfId="5" applyFont="1" applyBorder="1" applyAlignment="1">
      <alignment horizontal="center" vertical="center"/>
    </xf>
    <xf numFmtId="176" fontId="37" fillId="0" borderId="0" xfId="0" applyFont="1" applyBorder="1" applyAlignment="1">
      <alignment horizontal="right" vertical="center"/>
    </xf>
    <xf numFmtId="176" fontId="32" fillId="0" borderId="0" xfId="0" applyFont="1" applyAlignment="1">
      <alignment horizontal="right" vertical="center"/>
    </xf>
    <xf numFmtId="43" fontId="32" fillId="0" borderId="0" xfId="5" applyFont="1" applyAlignment="1">
      <alignment horizontal="center" vertical="center"/>
    </xf>
    <xf numFmtId="176" fontId="37" fillId="0" borderId="3" xfId="0" applyFont="1" applyBorder="1" applyAlignment="1">
      <alignment horizontal="center" vertical="center" wrapText="1"/>
    </xf>
    <xf numFmtId="176" fontId="37" fillId="0" borderId="1" xfId="0" applyFont="1" applyBorder="1" applyAlignment="1">
      <alignment horizontal="center" vertical="center" wrapText="1"/>
    </xf>
    <xf numFmtId="14" fontId="37" fillId="0" borderId="1" xfId="0" applyNumberFormat="1" applyFont="1" applyBorder="1" applyAlignment="1">
      <alignment horizontal="center" vertical="center" wrapText="1"/>
    </xf>
    <xf numFmtId="43" fontId="37" fillId="0" borderId="0" xfId="5" applyFont="1" applyAlignment="1">
      <alignment horizontal="center" vertical="center" wrapText="1"/>
    </xf>
    <xf numFmtId="43" fontId="37" fillId="0" borderId="0" xfId="5" applyFont="1">
      <alignment vertical="center"/>
    </xf>
    <xf numFmtId="43" fontId="16" fillId="0" borderId="0" xfId="5" applyFont="1" applyAlignment="1">
      <alignment horizontal="center" vertical="center"/>
    </xf>
    <xf numFmtId="176" fontId="37" fillId="0" borderId="0" xfId="0" applyFont="1" applyAlignment="1">
      <alignment horizontal="right" vertical="center" wrapText="1"/>
    </xf>
    <xf numFmtId="176" fontId="16" fillId="0" borderId="0" xfId="0" applyFont="1" applyAlignment="1">
      <alignment horizontal="right" vertical="center"/>
    </xf>
    <xf numFmtId="176" fontId="38" fillId="5" borderId="1" xfId="0" applyFont="1" applyFill="1" applyBorder="1" applyAlignment="1">
      <alignment horizontal="left" vertical="center"/>
    </xf>
    <xf numFmtId="43" fontId="37" fillId="0" borderId="0" xfId="5" applyFont="1" applyFill="1" applyBorder="1" applyAlignment="1">
      <alignment horizontal="center" vertical="center"/>
    </xf>
    <xf numFmtId="43" fontId="37" fillId="0" borderId="0" xfId="5" applyFont="1" applyBorder="1" applyAlignment="1">
      <alignment vertical="center"/>
    </xf>
    <xf numFmtId="176" fontId="37" fillId="0" borderId="1" xfId="0" applyFont="1" applyBorder="1" applyAlignment="1">
      <alignment horizontal="center" vertical="center"/>
    </xf>
    <xf numFmtId="176" fontId="45" fillId="0" borderId="1" xfId="0" applyFont="1" applyBorder="1" applyAlignment="1">
      <alignment horizontal="center" vertical="center"/>
    </xf>
    <xf numFmtId="176" fontId="50" fillId="0" borderId="1" xfId="0" applyFont="1" applyBorder="1" applyAlignment="1">
      <alignment horizontal="center" vertical="center"/>
    </xf>
    <xf numFmtId="176" fontId="28" fillId="0" borderId="1" xfId="0" applyFont="1" applyFill="1" applyBorder="1" applyAlignment="1">
      <alignment horizontal="center" vertical="center"/>
    </xf>
    <xf numFmtId="176" fontId="37" fillId="0" borderId="1" xfId="0" applyFont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/>
    </xf>
    <xf numFmtId="176" fontId="45" fillId="0" borderId="1" xfId="0" applyFont="1" applyBorder="1" applyAlignment="1">
      <alignment horizontal="center" vertical="center"/>
    </xf>
    <xf numFmtId="43" fontId="0" fillId="0" borderId="0" xfId="5" applyFont="1" applyAlignment="1">
      <alignment horizontal="center" vertical="center"/>
    </xf>
    <xf numFmtId="43" fontId="51" fillId="0" borderId="0" xfId="5" applyFont="1" applyFill="1" applyBorder="1" applyAlignment="1">
      <alignment horizontal="center" vertical="center"/>
    </xf>
    <xf numFmtId="176" fontId="51" fillId="0" borderId="0" xfId="0" applyFont="1" applyFill="1" applyBorder="1" applyAlignment="1">
      <alignment horizontal="right" vertical="center"/>
    </xf>
    <xf numFmtId="43" fontId="20" fillId="0" borderId="0" xfId="5" applyFont="1" applyAlignment="1">
      <alignment horizontal="center" vertical="center"/>
    </xf>
    <xf numFmtId="43" fontId="32" fillId="0" borderId="0" xfId="5" applyFont="1">
      <alignment vertical="center"/>
    </xf>
    <xf numFmtId="43" fontId="28" fillId="0" borderId="0" xfId="5" applyFont="1" applyFill="1" applyBorder="1" applyAlignment="1">
      <alignment horizontal="center" vertical="center"/>
    </xf>
    <xf numFmtId="176" fontId="28" fillId="0" borderId="0" xfId="0" applyFont="1" applyFill="1" applyBorder="1" applyAlignment="1">
      <alignment horizontal="right" vertical="center"/>
    </xf>
    <xf numFmtId="43" fontId="50" fillId="0" borderId="0" xfId="5" applyFont="1">
      <alignment vertical="center"/>
    </xf>
    <xf numFmtId="43" fontId="37" fillId="0" borderId="0" xfId="5" applyFont="1" applyAlignment="1">
      <alignment vertical="center"/>
    </xf>
    <xf numFmtId="43" fontId="21" fillId="0" borderId="0" xfId="5" applyFont="1">
      <alignment vertical="center"/>
    </xf>
    <xf numFmtId="176" fontId="21" fillId="0" borderId="0" xfId="0" applyFont="1" applyAlignment="1">
      <alignment horizontal="right" vertical="center"/>
    </xf>
    <xf numFmtId="176" fontId="36" fillId="0" borderId="0" xfId="4" applyFont="1" applyBorder="1" applyAlignment="1">
      <alignment horizontal="right" vertical="center"/>
    </xf>
    <xf numFmtId="176" fontId="35" fillId="0" borderId="0" xfId="0" applyFont="1" applyBorder="1" applyAlignment="1">
      <alignment horizontal="right" vertical="center"/>
    </xf>
    <xf numFmtId="43" fontId="36" fillId="0" borderId="0" xfId="5" applyFont="1" applyBorder="1" applyAlignment="1">
      <alignment horizontal="right" vertical="center"/>
    </xf>
    <xf numFmtId="43" fontId="35" fillId="0" borderId="0" xfId="5" applyFont="1" applyBorder="1" applyAlignment="1">
      <alignment horizontal="right" vertical="center"/>
    </xf>
    <xf numFmtId="43" fontId="45" fillId="0" borderId="0" xfId="5" applyFont="1" applyBorder="1" applyAlignment="1">
      <alignment horizontal="center" vertical="center"/>
    </xf>
    <xf numFmtId="176" fontId="1" fillId="0" borderId="22" xfId="0" applyFont="1" applyFill="1" applyBorder="1" applyAlignment="1">
      <alignment horizontal="center"/>
    </xf>
    <xf numFmtId="43" fontId="1" fillId="0" borderId="1" xfId="5" applyFont="1" applyFill="1" applyBorder="1" applyAlignment="1">
      <alignment horizontal="center"/>
    </xf>
    <xf numFmtId="43" fontId="33" fillId="0" borderId="1" xfId="5" applyFont="1" applyFill="1" applyBorder="1" applyAlignment="1">
      <alignment horizontal="center"/>
    </xf>
    <xf numFmtId="43" fontId="16" fillId="5" borderId="1" xfId="5" applyFont="1" applyFill="1" applyBorder="1">
      <alignment vertical="center"/>
    </xf>
    <xf numFmtId="184" fontId="16" fillId="5" borderId="1" xfId="0" applyNumberFormat="1" applyFont="1" applyFill="1" applyBorder="1" applyAlignment="1">
      <alignment horizontal="center" vertical="center"/>
    </xf>
    <xf numFmtId="43" fontId="16" fillId="4" borderId="1" xfId="5" applyFont="1" applyFill="1" applyBorder="1">
      <alignment vertical="center"/>
    </xf>
    <xf numFmtId="184" fontId="16" fillId="4" borderId="1" xfId="0" applyNumberFormat="1" applyFont="1" applyFill="1" applyBorder="1" applyAlignment="1">
      <alignment horizontal="center" vertical="center"/>
    </xf>
    <xf numFmtId="176" fontId="28" fillId="0" borderId="1" xfId="0" applyFont="1" applyFill="1" applyBorder="1" applyAlignment="1">
      <alignment horizontal="center" vertical="center"/>
    </xf>
    <xf numFmtId="176" fontId="37" fillId="0" borderId="1" xfId="0" applyFont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/>
    </xf>
    <xf numFmtId="176" fontId="37" fillId="0" borderId="1" xfId="0" applyFont="1" applyBorder="1" applyAlignment="1">
      <alignment horizontal="center" vertical="center" wrapText="1"/>
    </xf>
    <xf numFmtId="176" fontId="45" fillId="0" borderId="3" xfId="0" applyFont="1" applyBorder="1" applyAlignment="1">
      <alignment horizontal="center" vertical="center"/>
    </xf>
    <xf numFmtId="176" fontId="45" fillId="0" borderId="1" xfId="0" applyFont="1" applyBorder="1" applyAlignment="1">
      <alignment horizontal="center" vertical="center"/>
    </xf>
    <xf numFmtId="176" fontId="28" fillId="0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3" fontId="16" fillId="3" borderId="1" xfId="5" applyFont="1" applyFill="1" applyBorder="1">
      <alignment vertical="center"/>
    </xf>
    <xf numFmtId="176" fontId="16" fillId="8" borderId="1" xfId="0" applyFont="1" applyFill="1" applyBorder="1" applyAlignment="1">
      <alignment horizontal="center" vertical="center"/>
    </xf>
    <xf numFmtId="176" fontId="0" fillId="2" borderId="1" xfId="0" applyFont="1" applyFill="1" applyBorder="1" applyAlignment="1">
      <alignment horizontal="center" vertical="center"/>
    </xf>
    <xf numFmtId="43" fontId="16" fillId="2" borderId="1" xfId="5" applyFont="1" applyFill="1" applyBorder="1">
      <alignment vertical="center"/>
    </xf>
    <xf numFmtId="176" fontId="16" fillId="0" borderId="1" xfId="0" applyFont="1" applyBorder="1" applyAlignment="1">
      <alignment horizontal="center" vertical="center"/>
    </xf>
    <xf numFmtId="176" fontId="45" fillId="0" borderId="1" xfId="0" applyFont="1" applyBorder="1" applyAlignment="1">
      <alignment horizontal="center" vertical="center"/>
    </xf>
    <xf numFmtId="176" fontId="28" fillId="0" borderId="1" xfId="0" applyFont="1" applyFill="1" applyBorder="1" applyAlignment="1">
      <alignment horizontal="center" vertical="center"/>
    </xf>
    <xf numFmtId="176" fontId="50" fillId="0" borderId="1" xfId="0" applyFont="1" applyFill="1" applyBorder="1" applyAlignment="1">
      <alignment horizontal="center" vertical="center"/>
    </xf>
    <xf numFmtId="43" fontId="16" fillId="0" borderId="0" xfId="5" applyFont="1">
      <alignment vertical="center"/>
    </xf>
    <xf numFmtId="176" fontId="16" fillId="0" borderId="1" xfId="0" applyFont="1" applyFill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/>
    </xf>
    <xf numFmtId="14" fontId="16" fillId="0" borderId="1" xfId="0" applyNumberFormat="1" applyFont="1" applyBorder="1" applyAlignment="1">
      <alignment horizontal="left" vertical="center"/>
    </xf>
    <xf numFmtId="176" fontId="8" fillId="0" borderId="1" xfId="0" applyFont="1" applyBorder="1" applyAlignment="1">
      <alignment horizontal="left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8" xfId="0" applyNumberFormat="1" applyFont="1" applyFill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/>
    </xf>
    <xf numFmtId="176" fontId="45" fillId="0" borderId="1" xfId="0" applyFont="1" applyBorder="1" applyAlignment="1">
      <alignment horizontal="center" vertical="center"/>
    </xf>
    <xf numFmtId="176" fontId="37" fillId="0" borderId="1" xfId="0" applyFont="1" applyBorder="1" applyAlignment="1">
      <alignment horizontal="center" vertical="center"/>
    </xf>
    <xf numFmtId="176" fontId="0" fillId="0" borderId="1" xfId="0" applyFont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/>
    </xf>
    <xf numFmtId="176" fontId="51" fillId="0" borderId="1" xfId="0" applyFont="1" applyFill="1" applyBorder="1" applyAlignment="1">
      <alignment horizontal="center" vertical="center"/>
    </xf>
    <xf numFmtId="176" fontId="51" fillId="0" borderId="0" xfId="0" applyFont="1" applyFill="1" applyBorder="1" applyAlignment="1">
      <alignment horizontal="center" vertical="center"/>
    </xf>
    <xf numFmtId="176" fontId="50" fillId="0" borderId="1" xfId="0" applyFont="1" applyFill="1" applyBorder="1" applyAlignment="1">
      <alignment horizontal="center" vertical="center"/>
    </xf>
    <xf numFmtId="176" fontId="7" fillId="0" borderId="1" xfId="0" applyFont="1" applyBorder="1" applyAlignment="1">
      <alignment vertical="center"/>
    </xf>
    <xf numFmtId="176" fontId="6" fillId="0" borderId="1" xfId="0" applyFont="1" applyBorder="1" applyAlignment="1">
      <alignment vertical="center"/>
    </xf>
    <xf numFmtId="176" fontId="0" fillId="0" borderId="1" xfId="0" applyBorder="1" applyAlignment="1">
      <alignment vertical="center"/>
    </xf>
    <xf numFmtId="43" fontId="0" fillId="0" borderId="0" xfId="5" applyFont="1" applyAlignment="1">
      <alignment vertical="center"/>
    </xf>
    <xf numFmtId="180" fontId="0" fillId="0" borderId="0" xfId="0" applyNumberFormat="1" applyAlignment="1">
      <alignment vertical="center"/>
    </xf>
    <xf numFmtId="180" fontId="71" fillId="0" borderId="1" xfId="0" applyNumberFormat="1" applyFont="1" applyBorder="1" applyAlignment="1">
      <alignment horizontal="right" vertical="center"/>
    </xf>
    <xf numFmtId="14" fontId="73" fillId="0" borderId="1" xfId="0" applyNumberFormat="1" applyFont="1" applyFill="1" applyBorder="1" applyAlignment="1">
      <alignment horizontal="center" vertical="center"/>
    </xf>
    <xf numFmtId="176" fontId="73" fillId="0" borderId="1" xfId="0" applyFont="1" applyFill="1" applyBorder="1" applyAlignment="1">
      <alignment horizontal="center" vertical="center"/>
    </xf>
    <xf numFmtId="180" fontId="73" fillId="0" borderId="1" xfId="0" applyNumberFormat="1" applyFont="1" applyBorder="1" applyAlignment="1">
      <alignment horizontal="right" vertical="center"/>
    </xf>
    <xf numFmtId="43" fontId="73" fillId="0" borderId="1" xfId="5" applyFont="1" applyBorder="1" applyAlignment="1">
      <alignment horizontal="right" vertical="center"/>
    </xf>
    <xf numFmtId="180" fontId="73" fillId="0" borderId="1" xfId="0" applyNumberFormat="1" applyFont="1" applyBorder="1">
      <alignment vertical="center"/>
    </xf>
    <xf numFmtId="2" fontId="73" fillId="0" borderId="1" xfId="0" applyNumberFormat="1" applyFont="1" applyBorder="1">
      <alignment vertical="center"/>
    </xf>
    <xf numFmtId="14" fontId="6" fillId="0" borderId="1" xfId="0" applyNumberFormat="1" applyFont="1" applyFill="1" applyBorder="1" applyAlignment="1">
      <alignment horizontal="center" vertical="center"/>
    </xf>
    <xf numFmtId="176" fontId="6" fillId="0" borderId="1" xfId="0" applyFont="1" applyFill="1" applyBorder="1" applyAlignment="1">
      <alignment horizontal="center" vertical="center"/>
    </xf>
    <xf numFmtId="180" fontId="6" fillId="0" borderId="1" xfId="0" applyNumberFormat="1" applyFont="1" applyBorder="1" applyAlignment="1">
      <alignment horizontal="right" vertical="center"/>
    </xf>
    <xf numFmtId="43" fontId="6" fillId="0" borderId="1" xfId="5" applyFont="1" applyBorder="1" applyAlignment="1">
      <alignment horizontal="right" vertical="center"/>
    </xf>
    <xf numFmtId="180" fontId="6" fillId="0" borderId="1" xfId="0" applyNumberFormat="1" applyFont="1" applyBorder="1">
      <alignment vertical="center"/>
    </xf>
    <xf numFmtId="14" fontId="6" fillId="0" borderId="8" xfId="0" applyNumberFormat="1" applyFont="1" applyFill="1" applyBorder="1" applyAlignment="1">
      <alignment horizontal="center" vertical="center"/>
    </xf>
    <xf numFmtId="180" fontId="40" fillId="0" borderId="1" xfId="0" applyNumberFormat="1" applyFont="1" applyBorder="1" applyAlignment="1">
      <alignment horizontal="right" vertical="center"/>
    </xf>
    <xf numFmtId="43" fontId="40" fillId="0" borderId="1" xfId="5" applyFont="1" applyBorder="1" applyAlignment="1">
      <alignment horizontal="right" vertical="center"/>
    </xf>
    <xf numFmtId="176" fontId="6" fillId="0" borderId="1" xfId="0" applyFont="1" applyBorder="1" applyAlignment="1">
      <alignment horizontal="center" vertical="center"/>
    </xf>
    <xf numFmtId="176" fontId="74" fillId="0" borderId="1" xfId="4" applyFont="1" applyBorder="1" applyAlignment="1">
      <alignment horizontal="center" vertical="center"/>
    </xf>
    <xf numFmtId="180" fontId="6" fillId="8" borderId="1" xfId="0" applyNumberFormat="1" applyFont="1" applyFill="1" applyBorder="1">
      <alignment vertical="center"/>
    </xf>
    <xf numFmtId="176" fontId="74" fillId="0" borderId="1" xfId="4" applyFont="1" applyBorder="1">
      <alignment vertical="center"/>
    </xf>
    <xf numFmtId="176" fontId="75" fillId="0" borderId="1" xfId="4" applyFont="1" applyBorder="1" applyAlignment="1">
      <alignment horizontal="center" vertical="center"/>
    </xf>
    <xf numFmtId="14" fontId="40" fillId="0" borderId="1" xfId="0" applyNumberFormat="1" applyFont="1" applyBorder="1" applyAlignment="1">
      <alignment horizontal="center" vertical="center"/>
    </xf>
    <xf numFmtId="176" fontId="40" fillId="0" borderId="1" xfId="0" applyFont="1" applyBorder="1" applyAlignment="1">
      <alignment horizontal="center" vertical="center"/>
    </xf>
    <xf numFmtId="2" fontId="40" fillId="0" borderId="1" xfId="0" applyNumberFormat="1" applyFont="1" applyBorder="1">
      <alignment vertical="center"/>
    </xf>
    <xf numFmtId="14" fontId="73" fillId="0" borderId="1" xfId="0" applyNumberFormat="1" applyFont="1" applyBorder="1" applyAlignment="1">
      <alignment horizontal="center" vertical="center"/>
    </xf>
    <xf numFmtId="176" fontId="73" fillId="0" borderId="1" xfId="0" applyFont="1" applyBorder="1" applyAlignment="1">
      <alignment horizontal="center" vertical="center"/>
    </xf>
    <xf numFmtId="2" fontId="40" fillId="8" borderId="1" xfId="0" applyNumberFormat="1" applyFont="1" applyFill="1" applyBorder="1">
      <alignment vertical="center"/>
    </xf>
    <xf numFmtId="2" fontId="62" fillId="0" borderId="1" xfId="0" applyNumberFormat="1" applyFont="1" applyBorder="1">
      <alignment vertical="center"/>
    </xf>
    <xf numFmtId="43" fontId="72" fillId="0" borderId="1" xfId="5" applyFont="1" applyBorder="1" applyAlignment="1">
      <alignment horizontal="center" vertical="center"/>
    </xf>
    <xf numFmtId="176" fontId="6" fillId="0" borderId="8" xfId="0" applyFont="1" applyBorder="1" applyAlignment="1">
      <alignment vertical="center"/>
    </xf>
    <xf numFmtId="2" fontId="6" fillId="0" borderId="8" xfId="0" applyNumberFormat="1" applyFont="1" applyBorder="1" applyAlignment="1">
      <alignment vertical="center"/>
    </xf>
    <xf numFmtId="14" fontId="6" fillId="0" borderId="8" xfId="0" applyNumberFormat="1" applyFont="1" applyBorder="1" applyAlignment="1">
      <alignment horizontal="center" vertical="center"/>
    </xf>
    <xf numFmtId="2" fontId="6" fillId="0" borderId="1" xfId="0" applyNumberFormat="1" applyFont="1" applyBorder="1">
      <alignment vertical="center"/>
    </xf>
    <xf numFmtId="14" fontId="6" fillId="0" borderId="1" xfId="0" applyNumberFormat="1" applyFont="1" applyBorder="1" applyAlignment="1">
      <alignment horizontal="center" vertical="center"/>
    </xf>
    <xf numFmtId="43" fontId="40" fillId="0" borderId="1" xfId="5" applyFont="1" applyBorder="1" applyAlignment="1">
      <alignment horizontal="center" vertical="center"/>
    </xf>
    <xf numFmtId="176" fontId="40" fillId="0" borderId="1" xfId="0" applyFont="1" applyBorder="1">
      <alignment vertical="center"/>
    </xf>
    <xf numFmtId="14" fontId="40" fillId="5" borderId="1" xfId="0" applyNumberFormat="1" applyFont="1" applyFill="1" applyBorder="1" applyAlignment="1">
      <alignment horizontal="center" vertical="center"/>
    </xf>
    <xf numFmtId="176" fontId="40" fillId="5" borderId="1" xfId="0" applyFont="1" applyFill="1" applyBorder="1" applyAlignment="1">
      <alignment horizontal="center"/>
    </xf>
    <xf numFmtId="176" fontId="40" fillId="5" borderId="1" xfId="0" applyFont="1" applyFill="1" applyBorder="1" applyAlignment="1">
      <alignment horizontal="center" vertical="center"/>
    </xf>
    <xf numFmtId="43" fontId="40" fillId="5" borderId="1" xfId="5" applyFont="1" applyFill="1" applyBorder="1" applyAlignment="1">
      <alignment horizontal="center" vertical="center"/>
    </xf>
    <xf numFmtId="180" fontId="40" fillId="0" borderId="1" xfId="0" applyNumberFormat="1" applyFont="1" applyBorder="1">
      <alignment vertical="center"/>
    </xf>
    <xf numFmtId="176" fontId="40" fillId="0" borderId="1" xfId="0" applyFont="1" applyBorder="1" applyAlignment="1">
      <alignment horizontal="right" vertical="center"/>
    </xf>
    <xf numFmtId="14" fontId="40" fillId="0" borderId="1" xfId="0" applyNumberFormat="1" applyFont="1" applyBorder="1">
      <alignment vertical="center"/>
    </xf>
    <xf numFmtId="43" fontId="71" fillId="0" borderId="1" xfId="5" applyFont="1" applyBorder="1" applyAlignment="1">
      <alignment horizontal="center" vertical="center"/>
    </xf>
    <xf numFmtId="2" fontId="62" fillId="8" borderId="1" xfId="0" applyNumberFormat="1" applyFont="1" applyFill="1" applyBorder="1">
      <alignment vertical="center"/>
    </xf>
    <xf numFmtId="43" fontId="73" fillId="0" borderId="1" xfId="5" applyFont="1" applyBorder="1" applyAlignment="1">
      <alignment horizontal="center" vertical="center"/>
    </xf>
    <xf numFmtId="2" fontId="6" fillId="8" borderId="1" xfId="0" applyNumberFormat="1" applyFont="1" applyFill="1" applyBorder="1">
      <alignment vertical="center"/>
    </xf>
    <xf numFmtId="43" fontId="62" fillId="0" borderId="1" xfId="5" applyFont="1" applyBorder="1" applyAlignment="1">
      <alignment horizontal="center" vertical="center"/>
    </xf>
    <xf numFmtId="176" fontId="40" fillId="0" borderId="1" xfId="0" applyFont="1" applyBorder="1" applyAlignment="1">
      <alignment horizontal="center" vertical="center" wrapText="1"/>
    </xf>
    <xf numFmtId="176" fontId="6" fillId="0" borderId="1" xfId="0" applyFont="1" applyBorder="1" applyAlignment="1">
      <alignment horizontal="center" vertical="center" wrapText="1"/>
    </xf>
    <xf numFmtId="43" fontId="6" fillId="0" borderId="1" xfId="5" applyFont="1" applyBorder="1" applyAlignment="1">
      <alignment horizontal="center" vertical="center"/>
    </xf>
    <xf numFmtId="176" fontId="73" fillId="0" borderId="1" xfId="0" applyFont="1" applyBorder="1" applyAlignment="1">
      <alignment horizontal="center" vertical="center" wrapText="1"/>
    </xf>
    <xf numFmtId="180" fontId="40" fillId="8" borderId="1" xfId="0" applyNumberFormat="1" applyFont="1" applyFill="1" applyBorder="1">
      <alignment vertical="center"/>
    </xf>
    <xf numFmtId="14" fontId="40" fillId="0" borderId="8" xfId="0" applyNumberFormat="1" applyFont="1" applyBorder="1" applyAlignment="1">
      <alignment horizontal="center" vertical="center"/>
    </xf>
    <xf numFmtId="14" fontId="40" fillId="0" borderId="3" xfId="0" applyNumberFormat="1" applyFont="1" applyBorder="1" applyAlignment="1">
      <alignment horizontal="center" vertical="center"/>
    </xf>
    <xf numFmtId="176" fontId="40" fillId="0" borderId="3" xfId="0" applyFont="1" applyBorder="1" applyAlignment="1">
      <alignment horizontal="center" vertical="center"/>
    </xf>
    <xf numFmtId="183" fontId="40" fillId="0" borderId="3" xfId="0" applyNumberFormat="1" applyFont="1" applyBorder="1" applyAlignment="1">
      <alignment horizontal="right" vertical="center"/>
    </xf>
    <xf numFmtId="183" fontId="40" fillId="0" borderId="1" xfId="0" applyNumberFormat="1" applyFont="1" applyBorder="1">
      <alignment vertical="center"/>
    </xf>
    <xf numFmtId="183" fontId="40" fillId="8" borderId="1" xfId="0" applyNumberFormat="1" applyFont="1" applyFill="1" applyBorder="1">
      <alignment vertical="center"/>
    </xf>
    <xf numFmtId="183" fontId="40" fillId="0" borderId="1" xfId="0" applyNumberFormat="1" applyFont="1" applyBorder="1" applyAlignment="1">
      <alignment vertical="center"/>
    </xf>
    <xf numFmtId="183" fontId="6" fillId="0" borderId="1" xfId="0" applyNumberFormat="1" applyFont="1" applyBorder="1" applyAlignment="1">
      <alignment vertical="center"/>
    </xf>
    <xf numFmtId="183" fontId="6" fillId="0" borderId="1" xfId="0" applyNumberFormat="1" applyFont="1" applyBorder="1">
      <alignment vertical="center"/>
    </xf>
    <xf numFmtId="2" fontId="40" fillId="0" borderId="3" xfId="0" applyNumberFormat="1" applyFont="1" applyBorder="1" applyAlignment="1">
      <alignment horizontal="right" vertical="center"/>
    </xf>
    <xf numFmtId="176" fontId="75" fillId="0" borderId="1" xfId="4" applyFont="1" applyBorder="1" applyAlignment="1">
      <alignment horizontal="center" vertical="center" wrapText="1"/>
    </xf>
    <xf numFmtId="176" fontId="75" fillId="0" borderId="1" xfId="4" applyFont="1" applyBorder="1" applyAlignment="1">
      <alignment horizontal="right" vertical="center" wrapText="1"/>
    </xf>
    <xf numFmtId="14" fontId="40" fillId="0" borderId="1" xfId="0" applyNumberFormat="1" applyFont="1" applyBorder="1" applyAlignment="1">
      <alignment horizontal="center" vertical="center" wrapText="1"/>
    </xf>
    <xf numFmtId="180" fontId="40" fillId="0" borderId="1" xfId="0" applyNumberFormat="1" applyFont="1" applyBorder="1" applyAlignment="1">
      <alignment vertical="center" wrapText="1"/>
    </xf>
    <xf numFmtId="176" fontId="40" fillId="0" borderId="1" xfId="0" applyFont="1" applyBorder="1" applyAlignment="1">
      <alignment horizontal="right" vertical="center" wrapText="1"/>
    </xf>
    <xf numFmtId="43" fontId="40" fillId="0" borderId="1" xfId="5" applyFont="1" applyBorder="1" applyAlignment="1">
      <alignment horizontal="center" vertical="center" wrapText="1"/>
    </xf>
    <xf numFmtId="14" fontId="40" fillId="0" borderId="1" xfId="0" applyNumberFormat="1" applyFont="1" applyFill="1" applyBorder="1" applyAlignment="1">
      <alignment horizontal="center" vertical="center" wrapText="1"/>
    </xf>
    <xf numFmtId="176" fontId="40" fillId="0" borderId="1" xfId="0" applyFont="1" applyFill="1" applyBorder="1" applyAlignment="1">
      <alignment horizontal="center" vertical="center" wrapText="1"/>
    </xf>
    <xf numFmtId="176" fontId="40" fillId="0" borderId="1" xfId="0" applyFont="1" applyFill="1" applyBorder="1" applyAlignment="1">
      <alignment horizontal="right" vertical="center" wrapText="1"/>
    </xf>
    <xf numFmtId="43" fontId="40" fillId="0" borderId="1" xfId="5" applyFont="1" applyFill="1" applyBorder="1" applyAlignment="1">
      <alignment horizontal="center" vertical="center" wrapText="1"/>
    </xf>
    <xf numFmtId="180" fontId="40" fillId="0" borderId="1" xfId="0" applyNumberFormat="1" applyFont="1" applyFill="1" applyBorder="1">
      <alignment vertical="center"/>
    </xf>
    <xf numFmtId="14" fontId="40" fillId="0" borderId="1" xfId="0" applyNumberFormat="1" applyFont="1" applyFill="1" applyBorder="1" applyAlignment="1">
      <alignment horizontal="center" vertical="center"/>
    </xf>
    <xf numFmtId="14" fontId="40" fillId="0" borderId="8" xfId="0" applyNumberFormat="1" applyFont="1" applyFill="1" applyBorder="1" applyAlignment="1">
      <alignment horizontal="center" vertical="center" wrapText="1"/>
    </xf>
    <xf numFmtId="14" fontId="6" fillId="0" borderId="8" xfId="0" applyNumberFormat="1" applyFont="1" applyFill="1" applyBorder="1" applyAlignment="1">
      <alignment horizontal="center" vertical="center" wrapText="1"/>
    </xf>
    <xf numFmtId="14" fontId="6" fillId="0" borderId="1" xfId="0" applyNumberFormat="1" applyFont="1" applyFill="1" applyBorder="1" applyAlignment="1">
      <alignment horizontal="center" vertical="center" wrapText="1"/>
    </xf>
    <xf numFmtId="176" fontId="6" fillId="0" borderId="1" xfId="0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14" fontId="73" fillId="0" borderId="1" xfId="0" applyNumberFormat="1" applyFont="1" applyBorder="1" applyAlignment="1">
      <alignment horizontal="center" vertical="center" wrapText="1"/>
    </xf>
    <xf numFmtId="180" fontId="40" fillId="0" borderId="1" xfId="0" applyNumberFormat="1" applyFont="1" applyBorder="1" applyAlignment="1">
      <alignment vertical="center"/>
    </xf>
    <xf numFmtId="14" fontId="73" fillId="0" borderId="1" xfId="0" applyNumberFormat="1" applyFont="1" applyFill="1" applyBorder="1" applyAlignment="1">
      <alignment horizontal="center" vertical="center" wrapText="1"/>
    </xf>
    <xf numFmtId="176" fontId="73" fillId="0" borderId="1" xfId="0" applyFont="1" applyFill="1" applyBorder="1" applyAlignment="1">
      <alignment horizontal="center" vertical="center" wrapText="1"/>
    </xf>
    <xf numFmtId="176" fontId="40" fillId="0" borderId="1" xfId="0" applyFont="1" applyBorder="1" applyAlignment="1">
      <alignment vertical="center" wrapText="1"/>
    </xf>
    <xf numFmtId="176" fontId="75" fillId="0" borderId="1" xfId="4" applyFont="1" applyBorder="1" applyAlignment="1">
      <alignment horizontal="right" vertical="center"/>
    </xf>
    <xf numFmtId="176" fontId="40" fillId="0" borderId="1" xfId="0" applyFont="1" applyBorder="1" applyAlignment="1">
      <alignment horizontal="left" vertical="center"/>
    </xf>
    <xf numFmtId="180" fontId="6" fillId="0" borderId="8" xfId="0" applyNumberFormat="1" applyFont="1" applyBorder="1">
      <alignment vertical="center"/>
    </xf>
    <xf numFmtId="43" fontId="73" fillId="0" borderId="8" xfId="5" applyFont="1" applyBorder="1" applyAlignment="1">
      <alignment vertical="center"/>
    </xf>
    <xf numFmtId="176" fontId="75" fillId="0" borderId="1" xfId="4" applyFont="1" applyFill="1" applyBorder="1" applyAlignment="1">
      <alignment horizontal="center" vertical="center" wrapText="1"/>
    </xf>
    <xf numFmtId="2" fontId="40" fillId="0" borderId="1" xfId="0" applyNumberFormat="1" applyFont="1" applyBorder="1" applyAlignment="1">
      <alignment vertical="center" wrapText="1"/>
    </xf>
    <xf numFmtId="2" fontId="40" fillId="0" borderId="3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vertical="center" wrapText="1"/>
    </xf>
    <xf numFmtId="2" fontId="73" fillId="0" borderId="1" xfId="0" applyNumberFormat="1" applyFont="1" applyBorder="1" applyAlignment="1">
      <alignment vertical="center" wrapText="1"/>
    </xf>
    <xf numFmtId="180" fontId="40" fillId="8" borderId="1" xfId="0" applyNumberFormat="1" applyFont="1" applyFill="1" applyBorder="1" applyAlignment="1">
      <alignment vertical="center" wrapText="1"/>
    </xf>
    <xf numFmtId="43" fontId="40" fillId="0" borderId="1" xfId="5" applyFont="1" applyFill="1" applyBorder="1" applyAlignment="1">
      <alignment horizontal="center" vertical="center"/>
    </xf>
    <xf numFmtId="180" fontId="40" fillId="0" borderId="1" xfId="0" applyNumberFormat="1" applyFont="1" applyFill="1" applyBorder="1" applyAlignment="1">
      <alignment vertical="center"/>
    </xf>
    <xf numFmtId="180" fontId="40" fillId="0" borderId="1" xfId="0" applyNumberFormat="1" applyFont="1" applyFill="1" applyBorder="1" applyAlignment="1">
      <alignment horizontal="right" vertical="center"/>
    </xf>
    <xf numFmtId="180" fontId="6" fillId="0" borderId="1" xfId="0" applyNumberFormat="1" applyFont="1" applyFill="1" applyBorder="1" applyAlignment="1">
      <alignment vertical="center"/>
    </xf>
    <xf numFmtId="180" fontId="73" fillId="0" borderId="1" xfId="0" applyNumberFormat="1" applyFont="1" applyFill="1" applyBorder="1" applyAlignment="1">
      <alignment vertical="center"/>
    </xf>
    <xf numFmtId="180" fontId="73" fillId="0" borderId="1" xfId="0" applyNumberFormat="1" applyFont="1" applyFill="1" applyBorder="1" applyAlignment="1">
      <alignment horizontal="right" vertical="center"/>
    </xf>
    <xf numFmtId="43" fontId="73" fillId="0" borderId="1" xfId="5" applyFont="1" applyFill="1" applyBorder="1" applyAlignment="1">
      <alignment horizontal="center" vertical="center"/>
    </xf>
    <xf numFmtId="176" fontId="40" fillId="0" borderId="1" xfId="0" applyFont="1" applyFill="1" applyBorder="1" applyAlignment="1">
      <alignment horizontal="center" vertical="center"/>
    </xf>
    <xf numFmtId="176" fontId="75" fillId="0" borderId="1" xfId="4" applyFont="1" applyFill="1" applyBorder="1" applyAlignment="1">
      <alignment horizontal="center" vertical="center"/>
    </xf>
    <xf numFmtId="176" fontId="75" fillId="0" borderId="1" xfId="4" applyFont="1" applyFill="1" applyBorder="1" applyAlignment="1">
      <alignment horizontal="right" vertical="center"/>
    </xf>
    <xf numFmtId="180" fontId="40" fillId="8" borderId="1" xfId="0" applyNumberFormat="1" applyFont="1" applyFill="1" applyBorder="1" applyAlignment="1">
      <alignment vertical="center"/>
    </xf>
    <xf numFmtId="176" fontId="76" fillId="0" borderId="1" xfId="0" applyFont="1" applyFill="1" applyBorder="1" applyAlignment="1">
      <alignment horizontal="right"/>
    </xf>
    <xf numFmtId="180" fontId="40" fillId="0" borderId="1" xfId="0" applyNumberFormat="1" applyFont="1" applyFill="1" applyBorder="1" applyAlignment="1">
      <alignment horizontal="center" vertical="center"/>
    </xf>
    <xf numFmtId="176" fontId="40" fillId="0" borderId="1" xfId="0" applyFont="1" applyFill="1" applyBorder="1" applyAlignment="1">
      <alignment horizontal="center"/>
    </xf>
    <xf numFmtId="176" fontId="6" fillId="0" borderId="1" xfId="0" applyFont="1" applyBorder="1">
      <alignment vertical="center"/>
    </xf>
    <xf numFmtId="183" fontId="73" fillId="0" borderId="1" xfId="0" applyNumberFormat="1" applyFont="1" applyBorder="1">
      <alignment vertical="center"/>
    </xf>
    <xf numFmtId="43" fontId="73" fillId="0" borderId="1" xfId="5" applyFont="1" applyFill="1" applyBorder="1" applyAlignment="1">
      <alignment horizontal="right" vertical="center"/>
    </xf>
    <xf numFmtId="176" fontId="75" fillId="0" borderId="1" xfId="4" applyFont="1" applyBorder="1">
      <alignment vertical="center"/>
    </xf>
    <xf numFmtId="43" fontId="40" fillId="0" borderId="1" xfId="5" applyFont="1" applyFill="1" applyBorder="1" applyAlignment="1">
      <alignment horizontal="right" vertical="center"/>
    </xf>
    <xf numFmtId="180" fontId="6" fillId="0" borderId="1" xfId="0" applyNumberFormat="1" applyFont="1" applyFill="1" applyBorder="1" applyAlignment="1">
      <alignment horizontal="right" vertical="center"/>
    </xf>
    <xf numFmtId="43" fontId="6" fillId="0" borderId="1" xfId="5" applyFont="1" applyFill="1" applyBorder="1" applyAlignment="1">
      <alignment horizontal="right" vertical="center"/>
    </xf>
    <xf numFmtId="183" fontId="40" fillId="0" borderId="1" xfId="0" applyNumberFormat="1" applyFont="1" applyBorder="1" applyAlignment="1">
      <alignment horizontal="right" vertical="center"/>
    </xf>
    <xf numFmtId="183" fontId="6" fillId="0" borderId="1" xfId="0" applyNumberFormat="1" applyFont="1" applyBorder="1" applyAlignment="1">
      <alignment horizontal="right" vertical="center"/>
    </xf>
    <xf numFmtId="14" fontId="40" fillId="0" borderId="1" xfId="0" applyNumberFormat="1" applyFont="1" applyFill="1" applyBorder="1" applyAlignment="1">
      <alignment vertical="center"/>
    </xf>
    <xf numFmtId="180" fontId="6" fillId="0" borderId="1" xfId="0" applyNumberFormat="1" applyFont="1" applyBorder="1" applyAlignment="1">
      <alignment vertical="center"/>
    </xf>
    <xf numFmtId="180" fontId="6" fillId="0" borderId="3" xfId="0" applyNumberFormat="1" applyFont="1" applyBorder="1" applyAlignment="1">
      <alignment horizontal="right" vertical="center"/>
    </xf>
    <xf numFmtId="180" fontId="73" fillId="0" borderId="1" xfId="0" applyNumberFormat="1" applyFont="1" applyBorder="1" applyAlignment="1">
      <alignment vertical="center"/>
    </xf>
    <xf numFmtId="14" fontId="73" fillId="0" borderId="1" xfId="0" applyNumberFormat="1" applyFont="1" applyBorder="1">
      <alignment vertical="center"/>
    </xf>
    <xf numFmtId="43" fontId="6" fillId="0" borderId="1" xfId="5" applyFont="1" applyFill="1" applyBorder="1" applyAlignment="1">
      <alignment horizontal="center" vertical="center"/>
    </xf>
    <xf numFmtId="14" fontId="40" fillId="0" borderId="6" xfId="0" applyNumberFormat="1" applyFont="1" applyBorder="1" applyAlignment="1">
      <alignment horizontal="center" vertical="center"/>
    </xf>
    <xf numFmtId="43" fontId="62" fillId="0" borderId="1" xfId="5" applyFont="1" applyBorder="1">
      <alignment vertical="center"/>
    </xf>
    <xf numFmtId="14" fontId="40" fillId="0" borderId="6" xfId="0" applyNumberFormat="1" applyFont="1" applyBorder="1" applyAlignment="1">
      <alignment horizontal="center" vertical="center" wrapText="1"/>
    </xf>
    <xf numFmtId="14" fontId="6" fillId="0" borderId="6" xfId="0" applyNumberFormat="1" applyFont="1" applyBorder="1" applyAlignment="1">
      <alignment horizontal="center" vertical="center"/>
    </xf>
    <xf numFmtId="14" fontId="73" fillId="0" borderId="6" xfId="0" applyNumberFormat="1" applyFont="1" applyBorder="1" applyAlignment="1">
      <alignment horizontal="center" vertical="center"/>
    </xf>
    <xf numFmtId="14" fontId="40" fillId="0" borderId="7" xfId="0" applyNumberFormat="1" applyFont="1" applyBorder="1" applyAlignment="1">
      <alignment horizontal="center" vertical="center"/>
    </xf>
    <xf numFmtId="180" fontId="40" fillId="8" borderId="1" xfId="0" applyNumberFormat="1" applyFont="1" applyFill="1" applyBorder="1" applyAlignment="1">
      <alignment horizontal="right" vertical="center"/>
    </xf>
    <xf numFmtId="180" fontId="40" fillId="0" borderId="1" xfId="0" applyNumberFormat="1" applyFont="1" applyBorder="1" applyAlignment="1">
      <alignment horizontal="center" vertical="center"/>
    </xf>
    <xf numFmtId="43" fontId="6" fillId="0" borderId="1" xfId="5" applyFont="1" applyBorder="1">
      <alignment vertical="center"/>
    </xf>
    <xf numFmtId="43" fontId="73" fillId="0" borderId="1" xfId="5" applyFont="1" applyBorder="1">
      <alignment vertical="center"/>
    </xf>
    <xf numFmtId="183" fontId="40" fillId="0" borderId="1" xfId="0" applyNumberFormat="1" applyFont="1" applyFill="1" applyBorder="1" applyAlignment="1">
      <alignment horizontal="right" vertical="center"/>
    </xf>
    <xf numFmtId="14" fontId="40" fillId="0" borderId="1" xfId="0" applyNumberFormat="1" applyFont="1" applyFill="1" applyBorder="1" applyAlignment="1">
      <alignment horizontal="center"/>
    </xf>
    <xf numFmtId="180" fontId="40" fillId="0" borderId="4" xfId="0" applyNumberFormat="1" applyFont="1" applyFill="1" applyBorder="1" applyAlignment="1">
      <alignment horizontal="right" vertical="center"/>
    </xf>
    <xf numFmtId="14" fontId="40" fillId="0" borderId="3" xfId="0" applyNumberFormat="1" applyFont="1" applyFill="1" applyBorder="1" applyAlignment="1">
      <alignment horizontal="center" vertical="center"/>
    </xf>
    <xf numFmtId="176" fontId="40" fillId="0" borderId="3" xfId="0" applyFont="1" applyFill="1" applyBorder="1" applyAlignment="1">
      <alignment horizontal="center" vertical="center"/>
    </xf>
    <xf numFmtId="2" fontId="40" fillId="0" borderId="1" xfId="0" applyNumberFormat="1" applyFont="1" applyBorder="1" applyAlignment="1">
      <alignment horizontal="right" vertical="center"/>
    </xf>
    <xf numFmtId="2" fontId="40" fillId="8" borderId="1" xfId="0" applyNumberFormat="1" applyFont="1" applyFill="1" applyBorder="1" applyAlignment="1">
      <alignment horizontal="right" vertical="center"/>
    </xf>
    <xf numFmtId="43" fontId="6" fillId="0" borderId="1" xfId="5" applyFont="1" applyBorder="1" applyAlignment="1">
      <alignment horizontal="center" vertical="center" wrapText="1"/>
    </xf>
    <xf numFmtId="176" fontId="73" fillId="0" borderId="1" xfId="0" applyFont="1" applyBorder="1">
      <alignment vertical="center"/>
    </xf>
    <xf numFmtId="2" fontId="6" fillId="0" borderId="1" xfId="0" applyNumberFormat="1" applyFont="1" applyBorder="1" applyAlignment="1">
      <alignment horizontal="right" vertical="center"/>
    </xf>
    <xf numFmtId="179" fontId="40" fillId="0" borderId="1" xfId="0" applyNumberFormat="1" applyFont="1" applyFill="1" applyBorder="1" applyAlignment="1">
      <alignment horizontal="center" vertical="center"/>
    </xf>
    <xf numFmtId="180" fontId="40" fillId="0" borderId="1" xfId="0" applyNumberFormat="1" applyFont="1" applyFill="1" applyBorder="1" applyAlignment="1">
      <alignment horizontal="right"/>
    </xf>
    <xf numFmtId="180" fontId="6" fillId="0" borderId="1" xfId="0" applyNumberFormat="1" applyFont="1" applyFill="1" applyBorder="1" applyAlignment="1">
      <alignment horizontal="right"/>
    </xf>
    <xf numFmtId="180" fontId="73" fillId="0" borderId="1" xfId="0" applyNumberFormat="1" applyFont="1" applyFill="1" applyBorder="1" applyAlignment="1">
      <alignment horizontal="right"/>
    </xf>
    <xf numFmtId="14" fontId="6" fillId="0" borderId="1" xfId="0" applyNumberFormat="1" applyFont="1" applyBorder="1">
      <alignment vertical="center"/>
    </xf>
    <xf numFmtId="180" fontId="6" fillId="0" borderId="1" xfId="0" applyNumberFormat="1" applyFont="1" applyFill="1" applyBorder="1">
      <alignment vertical="center"/>
    </xf>
    <xf numFmtId="180" fontId="73" fillId="0" borderId="1" xfId="0" applyNumberFormat="1" applyFont="1" applyFill="1" applyBorder="1">
      <alignment vertical="center"/>
    </xf>
    <xf numFmtId="176" fontId="40" fillId="0" borderId="1" xfId="0" applyFont="1" applyBorder="1" applyAlignment="1">
      <alignment vertical="center"/>
    </xf>
    <xf numFmtId="176" fontId="40" fillId="0" borderId="1" xfId="0" applyFont="1" applyFill="1" applyBorder="1">
      <alignment vertical="center"/>
    </xf>
    <xf numFmtId="176" fontId="6" fillId="0" borderId="8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vertical="center"/>
    </xf>
    <xf numFmtId="180" fontId="6" fillId="0" borderId="1" xfId="0" applyNumberFormat="1" applyFont="1" applyBorder="1" applyAlignment="1">
      <alignment horizontal="center" vertical="center"/>
    </xf>
    <xf numFmtId="180" fontId="6" fillId="8" borderId="1" xfId="0" applyNumberFormat="1" applyFont="1" applyFill="1" applyBorder="1" applyAlignment="1">
      <alignment vertical="center"/>
    </xf>
    <xf numFmtId="177" fontId="40" fillId="0" borderId="1" xfId="0" applyNumberFormat="1" applyFont="1" applyFill="1" applyBorder="1" applyAlignment="1">
      <alignment horizontal="center" vertical="center"/>
    </xf>
    <xf numFmtId="180" fontId="40" fillId="0" borderId="3" xfId="0" applyNumberFormat="1" applyFont="1" applyFill="1" applyBorder="1" applyAlignment="1">
      <alignment horizontal="right" vertical="center"/>
    </xf>
    <xf numFmtId="176" fontId="51" fillId="0" borderId="1" xfId="0" applyFont="1" applyFill="1" applyBorder="1" applyAlignment="1">
      <alignment vertical="center"/>
    </xf>
    <xf numFmtId="176" fontId="51" fillId="0" borderId="0" xfId="0" applyFont="1" applyFill="1" applyBorder="1" applyAlignment="1">
      <alignment vertical="center"/>
    </xf>
    <xf numFmtId="180" fontId="6" fillId="0" borderId="1" xfId="0" applyNumberFormat="1" applyFont="1" applyFill="1" applyBorder="1" applyAlignment="1">
      <alignment horizontal="center" vertical="center"/>
    </xf>
    <xf numFmtId="176" fontId="67" fillId="0" borderId="1" xfId="0" applyFont="1" applyFill="1" applyBorder="1" applyAlignment="1">
      <alignment horizontal="left" vertical="center"/>
    </xf>
    <xf numFmtId="180" fontId="51" fillId="0" borderId="0" xfId="0" applyNumberFormat="1" applyFont="1" applyFill="1" applyBorder="1" applyAlignment="1">
      <alignment vertical="center"/>
    </xf>
    <xf numFmtId="176" fontId="74" fillId="0" borderId="1" xfId="4" applyNumberFormat="1" applyFont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4" fontId="6" fillId="0" borderId="3" xfId="0" applyNumberFormat="1" applyFont="1" applyFill="1" applyBorder="1" applyAlignment="1">
      <alignment horizontal="center" vertical="center"/>
    </xf>
    <xf numFmtId="180" fontId="6" fillId="0" borderId="8" xfId="0" applyNumberFormat="1" applyFont="1" applyFill="1" applyBorder="1" applyAlignment="1">
      <alignment vertical="center"/>
    </xf>
    <xf numFmtId="176" fontId="73" fillId="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vertical="center"/>
    </xf>
    <xf numFmtId="43" fontId="40" fillId="0" borderId="1" xfId="5" applyFont="1" applyBorder="1">
      <alignment vertical="center"/>
    </xf>
    <xf numFmtId="43" fontId="40" fillId="8" borderId="1" xfId="5" applyFont="1" applyFill="1" applyBorder="1">
      <alignment vertical="center"/>
    </xf>
    <xf numFmtId="43" fontId="73" fillId="0" borderId="1" xfId="5" applyFont="1" applyBorder="1" applyAlignment="1">
      <alignment vertical="center"/>
    </xf>
    <xf numFmtId="2" fontId="40" fillId="0" borderId="1" xfId="0" applyNumberFormat="1" applyFont="1" applyFill="1" applyBorder="1" applyAlignment="1">
      <alignment horizontal="right" vertical="center"/>
    </xf>
    <xf numFmtId="14" fontId="40" fillId="0" borderId="4" xfId="0" applyNumberFormat="1" applyFont="1" applyFill="1" applyBorder="1" applyAlignment="1">
      <alignment horizontal="center" vertical="center"/>
    </xf>
    <xf numFmtId="176" fontId="40" fillId="0" borderId="4" xfId="0" applyFont="1" applyFill="1" applyBorder="1" applyAlignment="1">
      <alignment horizontal="center" vertical="center"/>
    </xf>
    <xf numFmtId="176" fontId="6" fillId="0" borderId="8" xfId="0" applyFont="1" applyFill="1" applyBorder="1" applyAlignment="1">
      <alignment horizontal="center" vertical="center"/>
    </xf>
    <xf numFmtId="180" fontId="6" fillId="0" borderId="8" xfId="0" applyNumberFormat="1" applyFont="1" applyBorder="1" applyAlignment="1">
      <alignment horizontal="right" vertical="center"/>
    </xf>
    <xf numFmtId="43" fontId="6" fillId="0" borderId="8" xfId="5" applyFont="1" applyBorder="1" applyAlignment="1">
      <alignment horizontal="center" vertical="center"/>
    </xf>
    <xf numFmtId="180" fontId="6" fillId="0" borderId="3" xfId="0" applyNumberFormat="1" applyFont="1" applyFill="1" applyBorder="1" applyAlignment="1">
      <alignment horizontal="right" vertical="center"/>
    </xf>
    <xf numFmtId="176" fontId="40" fillId="0" borderId="12" xfId="0" applyFont="1" applyFill="1" applyBorder="1" applyAlignment="1">
      <alignment horizontal="left" vertical="center"/>
    </xf>
    <xf numFmtId="176" fontId="75" fillId="0" borderId="14" xfId="4" applyFont="1" applyFill="1" applyBorder="1" applyAlignment="1">
      <alignment horizontal="right" vertical="center"/>
    </xf>
    <xf numFmtId="180" fontId="40" fillId="8" borderId="14" xfId="0" applyNumberFormat="1" applyFont="1" applyFill="1" applyBorder="1" applyAlignment="1">
      <alignment horizontal="right" vertical="center"/>
    </xf>
    <xf numFmtId="180" fontId="40" fillId="0" borderId="14" xfId="0" applyNumberFormat="1" applyFont="1" applyFill="1" applyBorder="1" applyAlignment="1">
      <alignment horizontal="center" vertical="center"/>
    </xf>
    <xf numFmtId="176" fontId="40" fillId="0" borderId="14" xfId="0" applyFont="1" applyFill="1" applyBorder="1" applyAlignment="1">
      <alignment horizontal="center" vertical="center"/>
    </xf>
    <xf numFmtId="14" fontId="40" fillId="0" borderId="14" xfId="0" applyNumberFormat="1" applyFont="1" applyFill="1" applyBorder="1" applyAlignment="1">
      <alignment horizontal="center" vertical="center"/>
    </xf>
    <xf numFmtId="178" fontId="40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right" vertical="center" wrapText="1"/>
    </xf>
    <xf numFmtId="2" fontId="40" fillId="0" borderId="1" xfId="0" applyNumberFormat="1" applyFont="1" applyFill="1" applyBorder="1" applyAlignment="1">
      <alignment horizontal="right"/>
    </xf>
    <xf numFmtId="176" fontId="6" fillId="0" borderId="1" xfId="0" applyFont="1" applyFill="1" applyBorder="1" applyAlignment="1">
      <alignment horizontal="center" wrapText="1"/>
    </xf>
    <xf numFmtId="2" fontId="6" fillId="0" borderId="1" xfId="0" applyNumberFormat="1" applyFont="1" applyFill="1" applyBorder="1" applyAlignment="1">
      <alignment horizontal="right"/>
    </xf>
    <xf numFmtId="176" fontId="73" fillId="0" borderId="1" xfId="0" applyFont="1" applyFill="1" applyBorder="1" applyAlignment="1">
      <alignment horizontal="center" wrapText="1"/>
    </xf>
    <xf numFmtId="176" fontId="75" fillId="0" borderId="12" xfId="4" applyFont="1" applyFill="1" applyBorder="1" applyAlignment="1">
      <alignment horizontal="center"/>
    </xf>
    <xf numFmtId="180" fontId="40" fillId="8" borderId="12" xfId="0" applyNumberFormat="1" applyFont="1" applyFill="1" applyBorder="1" applyAlignment="1">
      <alignment horizontal="right"/>
    </xf>
    <xf numFmtId="176" fontId="40" fillId="0" borderId="22" xfId="0" applyFont="1" applyFill="1" applyBorder="1" applyAlignment="1">
      <alignment horizontal="center"/>
    </xf>
    <xf numFmtId="14" fontId="40" fillId="8" borderId="1" xfId="0" applyNumberFormat="1" applyFont="1" applyFill="1" applyBorder="1" applyAlignment="1">
      <alignment horizontal="center" vertical="center" wrapText="1"/>
    </xf>
    <xf numFmtId="176" fontId="74" fillId="0" borderId="1" xfId="4" applyFont="1" applyBorder="1" applyAlignment="1">
      <alignment horizontal="right" vertical="center"/>
    </xf>
    <xf numFmtId="49" fontId="40" fillId="0" borderId="1" xfId="0" applyNumberFormat="1" applyFont="1" applyFill="1" applyBorder="1" applyAlignment="1">
      <alignment horizontal="center" vertical="center"/>
    </xf>
    <xf numFmtId="14" fontId="76" fillId="0" borderId="1" xfId="0" applyNumberFormat="1" applyFont="1" applyFill="1" applyBorder="1" applyAlignment="1">
      <alignment horizontal="center" vertical="center"/>
    </xf>
    <xf numFmtId="176" fontId="40" fillId="0" borderId="0" xfId="0" applyFont="1" applyBorder="1" applyAlignment="1">
      <alignment horizontal="center" vertical="center"/>
    </xf>
    <xf numFmtId="49" fontId="40" fillId="0" borderId="1" xfId="0" applyNumberFormat="1" applyFont="1" applyFill="1" applyBorder="1" applyAlignment="1">
      <alignment horizontal="center" vertical="center" wrapText="1"/>
    </xf>
    <xf numFmtId="2" fontId="62" fillId="0" borderId="1" xfId="0" applyNumberFormat="1" applyFont="1" applyFill="1" applyBorder="1">
      <alignment vertical="center"/>
    </xf>
    <xf numFmtId="180" fontId="6" fillId="0" borderId="8" xfId="0" applyNumberFormat="1" applyFont="1" applyFill="1" applyBorder="1" applyAlignment="1">
      <alignment horizontal="right" vertical="center"/>
    </xf>
    <xf numFmtId="181" fontId="40" fillId="0" borderId="1" xfId="0" applyNumberFormat="1" applyFont="1" applyFill="1" applyBorder="1" applyAlignment="1">
      <alignment horizontal="center" vertical="center"/>
    </xf>
    <xf numFmtId="182" fontId="40" fillId="0" borderId="1" xfId="0" applyNumberFormat="1" applyFont="1" applyFill="1" applyBorder="1" applyAlignment="1">
      <alignment horizontal="right" vertical="center"/>
    </xf>
    <xf numFmtId="176" fontId="76" fillId="0" borderId="1" xfId="0" applyFont="1" applyBorder="1" applyAlignment="1">
      <alignment horizontal="center" vertical="center"/>
    </xf>
    <xf numFmtId="182" fontId="76" fillId="0" borderId="1" xfId="0" applyNumberFormat="1" applyFont="1" applyFill="1" applyBorder="1">
      <alignment vertical="center"/>
    </xf>
    <xf numFmtId="180" fontId="76" fillId="0" borderId="1" xfId="0" applyNumberFormat="1" applyFont="1" applyBorder="1" applyAlignment="1">
      <alignment horizontal="right" vertical="center"/>
    </xf>
    <xf numFmtId="176" fontId="40" fillId="0" borderId="8" xfId="0" applyFont="1" applyBorder="1" applyAlignment="1">
      <alignment horizontal="center" vertical="center"/>
    </xf>
    <xf numFmtId="180" fontId="75" fillId="0" borderId="1" xfId="4" applyNumberFormat="1" applyFont="1" applyBorder="1" applyAlignment="1">
      <alignment horizontal="center" vertical="center"/>
    </xf>
    <xf numFmtId="176" fontId="37" fillId="0" borderId="1" xfId="0" applyFont="1" applyBorder="1" applyAlignment="1">
      <alignment horizontal="center" vertical="center"/>
    </xf>
    <xf numFmtId="14" fontId="40" fillId="0" borderId="1" xfId="0" applyNumberFormat="1" applyFont="1" applyBorder="1" applyAlignment="1">
      <alignment horizontal="center" vertical="center"/>
    </xf>
    <xf numFmtId="176" fontId="40" fillId="0" borderId="1" xfId="0" applyFont="1" applyBorder="1" applyAlignment="1">
      <alignment horizontal="center" vertical="center"/>
    </xf>
    <xf numFmtId="14" fontId="40" fillId="0" borderId="4" xfId="0" applyNumberFormat="1" applyFont="1" applyFill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/>
    </xf>
    <xf numFmtId="43" fontId="6" fillId="0" borderId="1" xfId="5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180" fontId="40" fillId="0" borderId="3" xfId="0" applyNumberFormat="1" applyFont="1" applyFill="1" applyBorder="1" applyAlignment="1">
      <alignment horizontal="right" vertical="center"/>
    </xf>
    <xf numFmtId="176" fontId="6" fillId="0" borderId="1" xfId="0" applyFont="1" applyBorder="1" applyAlignment="1">
      <alignment horizontal="center" vertical="center"/>
    </xf>
    <xf numFmtId="176" fontId="45" fillId="0" borderId="1" xfId="0" applyFont="1" applyBorder="1" applyAlignment="1">
      <alignment horizontal="center" vertical="center"/>
    </xf>
    <xf numFmtId="176" fontId="40" fillId="0" borderId="8" xfId="0" applyFont="1" applyFill="1" applyBorder="1" applyAlignment="1">
      <alignment horizontal="center" vertical="center"/>
    </xf>
    <xf numFmtId="176" fontId="28" fillId="0" borderId="1" xfId="0" applyFont="1" applyFill="1" applyBorder="1" applyAlignment="1">
      <alignment horizontal="center" vertical="center"/>
    </xf>
    <xf numFmtId="14" fontId="6" fillId="0" borderId="8" xfId="0" applyNumberFormat="1" applyFont="1" applyFill="1" applyBorder="1" applyAlignment="1">
      <alignment horizontal="center" vertical="center"/>
    </xf>
    <xf numFmtId="180" fontId="6" fillId="0" borderId="1" xfId="0" applyNumberFormat="1" applyFont="1" applyBorder="1" applyAlignment="1">
      <alignment horizontal="right" vertical="center"/>
    </xf>
    <xf numFmtId="14" fontId="6" fillId="0" borderId="1" xfId="0" applyNumberFormat="1" applyFont="1" applyFill="1" applyBorder="1" applyAlignment="1">
      <alignment horizontal="center" vertical="center"/>
    </xf>
    <xf numFmtId="180" fontId="6" fillId="0" borderId="1" xfId="0" applyNumberFormat="1" applyFont="1" applyFill="1" applyBorder="1" applyAlignment="1">
      <alignment horizontal="right" vertical="center"/>
    </xf>
    <xf numFmtId="43" fontId="37" fillId="0" borderId="0" xfId="5" applyFont="1" applyBorder="1">
      <alignment vertical="center"/>
    </xf>
    <xf numFmtId="43" fontId="32" fillId="0" borderId="0" xfId="5" applyFont="1" applyBorder="1">
      <alignment vertical="center"/>
    </xf>
    <xf numFmtId="176" fontId="33" fillId="0" borderId="1" xfId="0" applyFont="1" applyFill="1" applyBorder="1" applyAlignment="1">
      <alignment horizontal="left" vertical="center"/>
    </xf>
    <xf numFmtId="176" fontId="1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40" fillId="0" borderId="1" xfId="0" applyNumberFormat="1" applyFont="1" applyBorder="1" applyAlignment="1">
      <alignment horizontal="center" vertical="center" wrapText="1"/>
    </xf>
    <xf numFmtId="176" fontId="37" fillId="0" borderId="1" xfId="0" applyFont="1" applyBorder="1" applyAlignment="1">
      <alignment horizontal="center" vertical="center" wrapText="1"/>
    </xf>
    <xf numFmtId="176" fontId="6" fillId="0" borderId="1" xfId="0" applyFont="1" applyBorder="1" applyAlignment="1">
      <alignment horizontal="center" vertical="center"/>
    </xf>
    <xf numFmtId="180" fontId="6" fillId="0" borderId="1" xfId="0" applyNumberFormat="1" applyFont="1" applyBorder="1" applyAlignment="1">
      <alignment horizontal="right" vertical="center"/>
    </xf>
    <xf numFmtId="180" fontId="6" fillId="0" borderId="1" xfId="0" applyNumberFormat="1" applyFont="1" applyFill="1" applyBorder="1" applyAlignment="1">
      <alignment vertical="center"/>
    </xf>
    <xf numFmtId="180" fontId="6" fillId="0" borderId="1" xfId="0" applyNumberFormat="1" applyFont="1" applyFill="1" applyBorder="1" applyAlignment="1">
      <alignment horizontal="right" vertical="center"/>
    </xf>
    <xf numFmtId="176" fontId="37" fillId="0" borderId="1" xfId="0" applyFont="1" applyBorder="1" applyAlignment="1">
      <alignment horizontal="center" vertical="center"/>
    </xf>
    <xf numFmtId="14" fontId="40" fillId="0" borderId="1" xfId="0" applyNumberFormat="1" applyFont="1" applyBorder="1" applyAlignment="1">
      <alignment horizontal="center" vertical="center"/>
    </xf>
    <xf numFmtId="176" fontId="40" fillId="0" borderId="1" xfId="0" applyFont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/>
    </xf>
    <xf numFmtId="43" fontId="6" fillId="0" borderId="1" xfId="5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176" fontId="6" fillId="0" borderId="1" xfId="0" applyFont="1" applyBorder="1" applyAlignment="1">
      <alignment horizontal="center" vertical="center"/>
    </xf>
    <xf numFmtId="180" fontId="6" fillId="0" borderId="1" xfId="0" applyNumberFormat="1" applyFont="1" applyBorder="1" applyAlignment="1">
      <alignment horizontal="right" vertical="center"/>
    </xf>
    <xf numFmtId="14" fontId="6" fillId="0" borderId="1" xfId="0" applyNumberFormat="1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76" fontId="37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76" fontId="6" fillId="0" borderId="1" xfId="0" applyFont="1" applyBorder="1" applyAlignment="1">
      <alignment horizontal="center" vertical="center"/>
    </xf>
    <xf numFmtId="180" fontId="6" fillId="0" borderId="1" xfId="0" applyNumberFormat="1" applyFont="1" applyBorder="1" applyAlignment="1">
      <alignment horizontal="right" vertical="center"/>
    </xf>
    <xf numFmtId="180" fontId="6" fillId="0" borderId="1" xfId="0" applyNumberFormat="1" applyFont="1" applyFill="1" applyBorder="1" applyAlignment="1">
      <alignment horizontal="right" vertical="center"/>
    </xf>
    <xf numFmtId="14" fontId="40" fillId="0" borderId="1" xfId="0" applyNumberFormat="1" applyFont="1" applyBorder="1" applyAlignment="1">
      <alignment horizontal="center" vertical="center"/>
    </xf>
    <xf numFmtId="176" fontId="40" fillId="0" borderId="1" xfId="0" applyFont="1" applyBorder="1" applyAlignment="1">
      <alignment horizontal="center" vertical="center"/>
    </xf>
    <xf numFmtId="176" fontId="79" fillId="0" borderId="7" xfId="0" applyFont="1" applyFill="1" applyBorder="1" applyAlignment="1">
      <alignment horizontal="center" vertical="center"/>
    </xf>
    <xf numFmtId="176" fontId="79" fillId="0" borderId="1" xfId="0" applyFont="1" applyFill="1" applyBorder="1" applyAlignment="1">
      <alignment horizontal="center" vertical="center"/>
    </xf>
    <xf numFmtId="176" fontId="8" fillId="0" borderId="1" xfId="0" applyFont="1" applyBorder="1">
      <alignment vertical="center"/>
    </xf>
    <xf numFmtId="176" fontId="37" fillId="0" borderId="1" xfId="0" applyFont="1" applyBorder="1" applyAlignment="1">
      <alignment horizontal="center" vertical="center"/>
    </xf>
    <xf numFmtId="14" fontId="40" fillId="0" borderId="1" xfId="0" applyNumberFormat="1" applyFont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/>
    </xf>
    <xf numFmtId="43" fontId="6" fillId="0" borderId="1" xfId="5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14" fontId="40" fillId="0" borderId="1" xfId="0" applyNumberFormat="1" applyFont="1" applyBorder="1" applyAlignment="1">
      <alignment horizontal="center" vertical="center" wrapText="1"/>
    </xf>
    <xf numFmtId="176" fontId="37" fillId="0" borderId="1" xfId="0" applyFont="1" applyBorder="1" applyAlignment="1">
      <alignment horizontal="center" vertical="center" wrapText="1"/>
    </xf>
    <xf numFmtId="176" fontId="6" fillId="0" borderId="1" xfId="0" applyFont="1" applyBorder="1" applyAlignment="1">
      <alignment horizontal="center" vertical="center"/>
    </xf>
    <xf numFmtId="180" fontId="40" fillId="0" borderId="1" xfId="0" applyNumberFormat="1" applyFont="1" applyBorder="1" applyAlignment="1">
      <alignment vertical="center"/>
    </xf>
    <xf numFmtId="176" fontId="50" fillId="0" borderId="1" xfId="0" applyFont="1" applyFill="1" applyBorder="1" applyAlignment="1">
      <alignment horizontal="left" vertical="center"/>
    </xf>
    <xf numFmtId="180" fontId="6" fillId="0" borderId="1" xfId="0" applyNumberFormat="1" applyFont="1" applyBorder="1" applyAlignment="1">
      <alignment horizontal="right" vertical="center"/>
    </xf>
    <xf numFmtId="180" fontId="6" fillId="0" borderId="1" xfId="0" applyNumberFormat="1" applyFont="1" applyFill="1" applyBorder="1" applyAlignment="1">
      <alignment horizontal="right" vertical="center"/>
    </xf>
    <xf numFmtId="14" fontId="16" fillId="0" borderId="1" xfId="0" applyNumberFormat="1" applyFont="1" applyBorder="1" applyAlignment="1">
      <alignment horizontal="left" vertical="center"/>
    </xf>
    <xf numFmtId="176" fontId="37" fillId="0" borderId="1" xfId="0" applyFont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76" fontId="6" fillId="0" borderId="1" xfId="0" applyFont="1" applyBorder="1" applyAlignment="1">
      <alignment horizontal="center" vertical="center"/>
    </xf>
    <xf numFmtId="180" fontId="6" fillId="0" borderId="1" xfId="0" applyNumberFormat="1" applyFont="1" applyBorder="1" applyAlignment="1">
      <alignment horizontal="right" vertical="center"/>
    </xf>
    <xf numFmtId="180" fontId="6" fillId="0" borderId="1" xfId="0" applyNumberFormat="1" applyFont="1" applyFill="1" applyBorder="1" applyAlignment="1">
      <alignment horizontal="right" vertical="center"/>
    </xf>
    <xf numFmtId="176" fontId="80" fillId="3" borderId="1" xfId="4" applyFont="1" applyFill="1" applyBorder="1">
      <alignment vertical="center"/>
    </xf>
    <xf numFmtId="176" fontId="37" fillId="0" borderId="1" xfId="0" applyFont="1" applyBorder="1" applyAlignment="1">
      <alignment horizontal="center" vertical="center"/>
    </xf>
    <xf numFmtId="14" fontId="40" fillId="0" borderId="1" xfId="0" applyNumberFormat="1" applyFont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76" fontId="0" fillId="0" borderId="1" xfId="0" applyFont="1" applyBorder="1" applyAlignment="1">
      <alignment horizontal="center" vertical="center"/>
    </xf>
    <xf numFmtId="176" fontId="0" fillId="0" borderId="1" xfId="0" applyFont="1" applyFill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/>
    </xf>
    <xf numFmtId="43" fontId="6" fillId="0" borderId="1" xfId="5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176" fontId="6" fillId="0" borderId="1" xfId="0" applyFont="1" applyBorder="1" applyAlignment="1">
      <alignment horizontal="center" vertical="center"/>
    </xf>
    <xf numFmtId="180" fontId="6" fillId="0" borderId="1" xfId="0" applyNumberFormat="1" applyFont="1" applyBorder="1" applyAlignment="1">
      <alignment horizontal="right" vertical="center"/>
    </xf>
    <xf numFmtId="176" fontId="73" fillId="0" borderId="8" xfId="0" applyFont="1" applyBorder="1" applyAlignment="1">
      <alignment vertical="center"/>
    </xf>
    <xf numFmtId="2" fontId="73" fillId="0" borderId="8" xfId="0" applyNumberFormat="1" applyFont="1" applyBorder="1" applyAlignment="1">
      <alignment vertical="center"/>
    </xf>
    <xf numFmtId="176" fontId="37" fillId="0" borderId="1" xfId="0" applyFont="1" applyBorder="1" applyAlignment="1">
      <alignment horizontal="center" vertical="center"/>
    </xf>
    <xf numFmtId="14" fontId="40" fillId="0" borderId="1" xfId="0" applyNumberFormat="1" applyFont="1" applyBorder="1" applyAlignment="1">
      <alignment horizontal="center" vertical="center"/>
    </xf>
    <xf numFmtId="176" fontId="40" fillId="0" borderId="1" xfId="0" applyFont="1" applyBorder="1" applyAlignment="1">
      <alignment horizontal="center" vertical="center"/>
    </xf>
    <xf numFmtId="176" fontId="16" fillId="0" borderId="8" xfId="0" applyFont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/>
    </xf>
    <xf numFmtId="43" fontId="6" fillId="0" borderId="1" xfId="5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 wrapText="1"/>
    </xf>
    <xf numFmtId="176" fontId="6" fillId="0" borderId="1" xfId="0" applyFont="1" applyBorder="1" applyAlignment="1">
      <alignment horizontal="center" vertical="center"/>
    </xf>
    <xf numFmtId="176" fontId="45" fillId="0" borderId="1" xfId="0" applyFont="1" applyBorder="1" applyAlignment="1">
      <alignment horizontal="center" vertical="center"/>
    </xf>
    <xf numFmtId="180" fontId="6" fillId="0" borderId="1" xfId="0" applyNumberFormat="1" applyFont="1" applyBorder="1" applyAlignment="1">
      <alignment horizontal="right" vertical="center"/>
    </xf>
    <xf numFmtId="2" fontId="73" fillId="0" borderId="1" xfId="0" applyNumberFormat="1" applyFont="1" applyBorder="1" applyAlignment="1">
      <alignment horizontal="right" vertical="center"/>
    </xf>
    <xf numFmtId="14" fontId="32" fillId="0" borderId="1" xfId="0" applyNumberFormat="1" applyFont="1" applyBorder="1" applyAlignment="1">
      <alignment horizontal="center" vertical="center"/>
    </xf>
    <xf numFmtId="176" fontId="47" fillId="0" borderId="7" xfId="0" applyFont="1" applyFill="1" applyBorder="1" applyAlignment="1">
      <alignment horizontal="center" vertical="center"/>
    </xf>
    <xf numFmtId="180" fontId="16" fillId="0" borderId="0" xfId="0" applyNumberFormat="1" applyFont="1">
      <alignment vertical="center"/>
    </xf>
    <xf numFmtId="176" fontId="37" fillId="0" borderId="1" xfId="0" applyFont="1" applyBorder="1" applyAlignment="1">
      <alignment horizontal="center" vertical="center"/>
    </xf>
    <xf numFmtId="14" fontId="40" fillId="0" borderId="1" xfId="0" applyNumberFormat="1" applyFont="1" applyBorder="1" applyAlignment="1">
      <alignment horizontal="center" vertical="center"/>
    </xf>
    <xf numFmtId="43" fontId="6" fillId="0" borderId="1" xfId="5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176" fontId="6" fillId="0" borderId="1" xfId="0" applyFont="1" applyBorder="1" applyAlignment="1">
      <alignment horizontal="center" vertical="center"/>
    </xf>
    <xf numFmtId="14" fontId="37" fillId="0" borderId="1" xfId="0" applyNumberFormat="1" applyFont="1" applyBorder="1" applyAlignment="1">
      <alignment horizontal="center" vertical="center"/>
    </xf>
    <xf numFmtId="176" fontId="45" fillId="0" borderId="1" xfId="0" applyFont="1" applyBorder="1" applyAlignment="1">
      <alignment horizontal="center" vertical="center"/>
    </xf>
    <xf numFmtId="176" fontId="28" fillId="0" borderId="1" xfId="0" applyFont="1" applyFill="1" applyBorder="1" applyAlignment="1">
      <alignment horizontal="center" vertical="center"/>
    </xf>
    <xf numFmtId="180" fontId="6" fillId="0" borderId="1" xfId="0" applyNumberFormat="1" applyFont="1" applyBorder="1" applyAlignment="1">
      <alignment horizontal="right" vertical="center"/>
    </xf>
    <xf numFmtId="14" fontId="6" fillId="0" borderId="1" xfId="0" applyNumberFormat="1" applyFont="1" applyFill="1" applyBorder="1" applyAlignment="1">
      <alignment horizontal="center" vertical="center"/>
    </xf>
    <xf numFmtId="180" fontId="6" fillId="0" borderId="1" xfId="0" applyNumberFormat="1" applyFont="1" applyFill="1" applyBorder="1" applyAlignment="1">
      <alignment horizontal="right" vertical="center"/>
    </xf>
    <xf numFmtId="176" fontId="1" fillId="0" borderId="1" xfId="0" applyFont="1" applyFill="1" applyBorder="1" applyAlignment="1">
      <alignment horizontal="center" vertical="center"/>
    </xf>
    <xf numFmtId="176" fontId="16" fillId="0" borderId="1" xfId="0" applyFont="1" applyBorder="1" applyAlignment="1">
      <alignment vertical="center" wrapText="1"/>
    </xf>
    <xf numFmtId="176" fontId="1" fillId="0" borderId="1" xfId="0" applyFont="1" applyFill="1" applyBorder="1" applyAlignment="1">
      <alignment horizontal="left" vertical="center"/>
    </xf>
    <xf numFmtId="14" fontId="40" fillId="0" borderId="1" xfId="0" applyNumberFormat="1" applyFont="1" applyBorder="1" applyAlignment="1">
      <alignment horizontal="center" vertical="center"/>
    </xf>
    <xf numFmtId="176" fontId="37" fillId="0" borderId="1" xfId="0" applyFont="1" applyBorder="1" applyAlignment="1">
      <alignment horizontal="center" vertical="center"/>
    </xf>
    <xf numFmtId="43" fontId="6" fillId="0" borderId="1" xfId="5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176" fontId="6" fillId="0" borderId="1" xfId="0" applyFont="1" applyBorder="1" applyAlignment="1">
      <alignment horizontal="center" vertical="center"/>
    </xf>
    <xf numFmtId="180" fontId="6" fillId="0" borderId="1" xfId="0" applyNumberFormat="1" applyFont="1" applyBorder="1" applyAlignment="1">
      <alignment horizontal="right" vertical="center"/>
    </xf>
    <xf numFmtId="176" fontId="37" fillId="0" borderId="1" xfId="0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14" fontId="40" fillId="0" borderId="1" xfId="0" applyNumberFormat="1" applyFont="1" applyBorder="1" applyAlignment="1">
      <alignment horizontal="center" vertical="center"/>
    </xf>
    <xf numFmtId="176" fontId="16" fillId="0" borderId="8" xfId="0" applyFont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/>
    </xf>
    <xf numFmtId="43" fontId="6" fillId="0" borderId="1" xfId="5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176" fontId="37" fillId="0" borderId="1" xfId="0" applyFont="1" applyFill="1" applyBorder="1" applyAlignment="1">
      <alignment vertical="center"/>
    </xf>
    <xf numFmtId="14" fontId="37" fillId="0" borderId="1" xfId="0" applyNumberFormat="1" applyFont="1" applyFill="1" applyBorder="1" applyAlignment="1">
      <alignment horizontal="center" vertical="center"/>
    </xf>
    <xf numFmtId="176" fontId="37" fillId="0" borderId="1" xfId="0" applyFont="1" applyFill="1" applyBorder="1" applyAlignment="1">
      <alignment horizontal="center" vertical="center"/>
    </xf>
    <xf numFmtId="2" fontId="37" fillId="0" borderId="1" xfId="0" applyNumberFormat="1" applyFont="1" applyFill="1" applyBorder="1" applyAlignment="1">
      <alignment horizontal="right" vertical="center" wrapText="1"/>
    </xf>
    <xf numFmtId="176" fontId="6" fillId="0" borderId="1" xfId="0" applyFont="1" applyBorder="1" applyAlignment="1">
      <alignment horizontal="center" vertical="center"/>
    </xf>
    <xf numFmtId="14" fontId="37" fillId="0" borderId="1" xfId="0" applyNumberFormat="1" applyFont="1" applyBorder="1" applyAlignment="1">
      <alignment horizontal="center" vertical="center"/>
    </xf>
    <xf numFmtId="176" fontId="28" fillId="0" borderId="1" xfId="0" applyFont="1" applyFill="1" applyBorder="1" applyAlignment="1">
      <alignment vertical="center"/>
    </xf>
    <xf numFmtId="176" fontId="28" fillId="0" borderId="1" xfId="0" applyFont="1" applyFill="1" applyBorder="1" applyAlignment="1">
      <alignment horizontal="center" vertical="center"/>
    </xf>
    <xf numFmtId="14" fontId="28" fillId="0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Fill="1" applyBorder="1" applyAlignment="1">
      <alignment horizontal="right" vertical="center"/>
    </xf>
    <xf numFmtId="14" fontId="23" fillId="0" borderId="1" xfId="0" applyNumberFormat="1" applyFont="1" applyFill="1" applyBorder="1" applyAlignment="1">
      <alignment horizontal="center" vertical="center"/>
    </xf>
    <xf numFmtId="176" fontId="28" fillId="0" borderId="1" xfId="0" applyFont="1" applyFill="1" applyBorder="1" applyAlignment="1">
      <alignment horizontal="center" vertical="center" wrapText="1"/>
    </xf>
    <xf numFmtId="176" fontId="40" fillId="0" borderId="1" xfId="0" applyFont="1" applyFill="1" applyBorder="1" applyAlignment="1">
      <alignment horizontal="center" vertical="center"/>
    </xf>
    <xf numFmtId="180" fontId="40" fillId="0" borderId="1" xfId="0" applyNumberFormat="1" applyFont="1" applyFill="1" applyBorder="1" applyAlignment="1">
      <alignment horizontal="right" vertical="center"/>
    </xf>
    <xf numFmtId="176" fontId="50" fillId="0" borderId="1" xfId="0" applyFont="1" applyFill="1" applyBorder="1" applyAlignment="1">
      <alignment horizontal="center" vertical="center"/>
    </xf>
    <xf numFmtId="176" fontId="40" fillId="0" borderId="1" xfId="0" applyFont="1" applyFill="1" applyBorder="1" applyAlignment="1">
      <alignment horizontal="center" vertical="center" wrapText="1"/>
    </xf>
    <xf numFmtId="176" fontId="50" fillId="0" borderId="1" xfId="0" applyFont="1" applyFill="1" applyBorder="1" applyAlignment="1">
      <alignment horizontal="left" vertical="center"/>
    </xf>
    <xf numFmtId="14" fontId="40" fillId="0" borderId="1" xfId="0" applyNumberFormat="1" applyFont="1" applyFill="1" applyBorder="1" applyAlignment="1">
      <alignment horizontal="center" vertical="center"/>
    </xf>
    <xf numFmtId="180" fontId="6" fillId="0" borderId="1" xfId="0" applyNumberFormat="1" applyFont="1" applyBorder="1" applyAlignment="1">
      <alignment horizontal="right" vertical="center"/>
    </xf>
    <xf numFmtId="176" fontId="8" fillId="0" borderId="1" xfId="0" applyFont="1" applyFill="1" applyBorder="1" applyAlignment="1">
      <alignment horizontal="center" vertical="center"/>
    </xf>
    <xf numFmtId="176" fontId="19" fillId="0" borderId="1" xfId="0" applyFont="1" applyFill="1" applyBorder="1" applyAlignment="1">
      <alignment horizontal="center" vertical="center"/>
    </xf>
    <xf numFmtId="2" fontId="50" fillId="0" borderId="1" xfId="0" applyNumberFormat="1" applyFont="1" applyFill="1" applyBorder="1" applyAlignment="1">
      <alignment horizontal="right" vertical="center"/>
    </xf>
    <xf numFmtId="14" fontId="50" fillId="0" borderId="1" xfId="0" applyNumberFormat="1" applyFont="1" applyFill="1" applyBorder="1" applyAlignment="1">
      <alignment horizontal="center" vertical="center"/>
    </xf>
    <xf numFmtId="180" fontId="6" fillId="0" borderId="1" xfId="0" applyNumberFormat="1" applyFont="1" applyFill="1" applyBorder="1" applyAlignment="1">
      <alignment vertical="center"/>
    </xf>
    <xf numFmtId="14" fontId="6" fillId="0" borderId="1" xfId="0" applyNumberFormat="1" applyFont="1" applyFill="1" applyBorder="1" applyAlignment="1">
      <alignment horizontal="center" vertical="center"/>
    </xf>
    <xf numFmtId="180" fontId="6" fillId="0" borderId="1" xfId="0" applyNumberFormat="1" applyFont="1" applyFill="1" applyBorder="1" applyAlignment="1">
      <alignment horizontal="right" vertical="center"/>
    </xf>
    <xf numFmtId="176" fontId="33" fillId="0" borderId="1" xfId="0" applyFont="1" applyFill="1" applyBorder="1" applyAlignment="1">
      <alignment horizontal="left" vertical="center" wrapText="1"/>
    </xf>
    <xf numFmtId="176" fontId="32" fillId="0" borderId="8" xfId="0" applyFont="1" applyBorder="1">
      <alignment vertical="center"/>
    </xf>
    <xf numFmtId="180" fontId="28" fillId="0" borderId="1" xfId="0" applyNumberFormat="1" applyFont="1" applyFill="1" applyBorder="1" applyAlignment="1">
      <alignment horizontal="right" vertical="center"/>
    </xf>
    <xf numFmtId="176" fontId="27" fillId="0" borderId="1" xfId="0" applyFont="1" applyFill="1" applyBorder="1" applyAlignment="1">
      <alignment vertical="center"/>
    </xf>
    <xf numFmtId="176" fontId="28" fillId="0" borderId="5" xfId="0" applyFont="1" applyFill="1" applyBorder="1" applyAlignment="1">
      <alignment vertical="center"/>
    </xf>
    <xf numFmtId="176" fontId="60" fillId="0" borderId="1" xfId="0" applyFont="1" applyFill="1" applyBorder="1" applyAlignment="1">
      <alignment horizontal="left" vertical="center"/>
    </xf>
    <xf numFmtId="176" fontId="52" fillId="0" borderId="1" xfId="0" applyFont="1" applyFill="1" applyBorder="1" applyAlignment="1">
      <alignment horizontal="left" vertical="center"/>
    </xf>
    <xf numFmtId="176" fontId="17" fillId="0" borderId="0" xfId="0" applyFont="1" applyAlignment="1">
      <alignment vertical="center"/>
    </xf>
    <xf numFmtId="176" fontId="60" fillId="0" borderId="1" xfId="0" applyFont="1" applyFill="1" applyBorder="1" applyAlignment="1">
      <alignment horizontal="right" vertical="center"/>
    </xf>
    <xf numFmtId="43" fontId="60" fillId="0" borderId="1" xfId="5" applyFont="1" applyFill="1" applyBorder="1" applyAlignment="1">
      <alignment vertical="center"/>
    </xf>
    <xf numFmtId="176" fontId="18" fillId="0" borderId="1" xfId="0" applyFont="1" applyFill="1" applyBorder="1" applyAlignment="1">
      <alignment vertical="center"/>
    </xf>
    <xf numFmtId="180" fontId="0" fillId="0" borderId="1" xfId="0" applyNumberFormat="1" applyFont="1" applyBorder="1" applyAlignment="1">
      <alignment vertical="center"/>
    </xf>
    <xf numFmtId="180" fontId="50" fillId="0" borderId="1" xfId="0" applyNumberFormat="1" applyFont="1" applyFill="1" applyBorder="1" applyAlignment="1">
      <alignment horizontal="right" vertical="center"/>
    </xf>
    <xf numFmtId="180" fontId="0" fillId="0" borderId="1" xfId="0" applyNumberFormat="1" applyFont="1" applyFill="1" applyBorder="1" applyAlignment="1">
      <alignment vertical="center"/>
    </xf>
    <xf numFmtId="176" fontId="53" fillId="0" borderId="0" xfId="0" applyFont="1" applyAlignment="1">
      <alignment vertical="center"/>
    </xf>
    <xf numFmtId="176" fontId="54" fillId="0" borderId="1" xfId="0" applyFont="1" applyFill="1" applyBorder="1" applyAlignment="1">
      <alignment horizontal="center" vertical="center"/>
    </xf>
    <xf numFmtId="176" fontId="18" fillId="0" borderId="9" xfId="0" applyFont="1" applyFill="1" applyBorder="1" applyAlignment="1">
      <alignment vertical="center"/>
    </xf>
    <xf numFmtId="43" fontId="17" fillId="0" borderId="0" xfId="5" applyFont="1" applyAlignment="1">
      <alignment vertical="center"/>
    </xf>
    <xf numFmtId="14" fontId="40" fillId="0" borderId="1" xfId="0" applyNumberFormat="1" applyFont="1" applyBorder="1" applyAlignment="1">
      <alignment horizontal="center" vertical="center"/>
    </xf>
    <xf numFmtId="176" fontId="40" fillId="0" borderId="1" xfId="0" applyFont="1" applyBorder="1" applyAlignment="1">
      <alignment horizontal="center" vertical="center"/>
    </xf>
    <xf numFmtId="176" fontId="37" fillId="0" borderId="1" xfId="0" applyFont="1" applyBorder="1" applyAlignment="1">
      <alignment horizontal="center" vertical="center"/>
    </xf>
    <xf numFmtId="14" fontId="40" fillId="0" borderId="1" xfId="0" applyNumberFormat="1" applyFont="1" applyBorder="1" applyAlignment="1">
      <alignment horizontal="center" vertical="center"/>
    </xf>
    <xf numFmtId="43" fontId="6" fillId="0" borderId="1" xfId="5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176" fontId="6" fillId="0" borderId="1" xfId="0" applyFont="1" applyBorder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/>
    </xf>
    <xf numFmtId="180" fontId="6" fillId="0" borderId="1" xfId="0" applyNumberFormat="1" applyFont="1" applyBorder="1" applyAlignment="1">
      <alignment horizontal="right" vertical="center"/>
    </xf>
    <xf numFmtId="14" fontId="6" fillId="0" borderId="1" xfId="0" applyNumberFormat="1" applyFont="1" applyFill="1" applyBorder="1" applyAlignment="1">
      <alignment horizontal="center" vertical="center"/>
    </xf>
    <xf numFmtId="180" fontId="6" fillId="0" borderId="1" xfId="0" applyNumberFormat="1" applyFont="1" applyFill="1" applyBorder="1" applyAlignment="1">
      <alignment horizontal="right" vertical="center"/>
    </xf>
    <xf numFmtId="176" fontId="37" fillId="0" borderId="1" xfId="0" applyFont="1" applyBorder="1" applyAlignment="1">
      <alignment horizontal="center" vertical="center"/>
    </xf>
    <xf numFmtId="14" fontId="40" fillId="0" borderId="1" xfId="0" applyNumberFormat="1" applyFont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/>
    </xf>
    <xf numFmtId="43" fontId="6" fillId="0" borderId="1" xfId="5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176" fontId="6" fillId="0" borderId="1" xfId="0" applyFont="1" applyBorder="1" applyAlignment="1">
      <alignment horizontal="center" vertical="center"/>
    </xf>
    <xf numFmtId="180" fontId="6" fillId="0" borderId="1" xfId="0" applyNumberFormat="1" applyFont="1" applyBorder="1" applyAlignment="1">
      <alignment horizontal="right" vertical="center"/>
    </xf>
    <xf numFmtId="43" fontId="6" fillId="0" borderId="1" xfId="5" applyFont="1" applyBorder="1" applyAlignment="1">
      <alignment vertical="center"/>
    </xf>
    <xf numFmtId="180" fontId="0" fillId="0" borderId="0" xfId="0" applyNumberFormat="1" applyFill="1">
      <alignment vertical="center"/>
    </xf>
    <xf numFmtId="14" fontId="40" fillId="0" borderId="1" xfId="0" applyNumberFormat="1" applyFont="1" applyBorder="1" applyAlignment="1">
      <alignment horizontal="center" vertical="center"/>
    </xf>
    <xf numFmtId="176" fontId="40" fillId="0" borderId="1" xfId="0" applyFont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76" fontId="37" fillId="0" borderId="1" xfId="0" applyFont="1" applyBorder="1" applyAlignment="1">
      <alignment horizontal="center" vertical="center"/>
    </xf>
    <xf numFmtId="14" fontId="40" fillId="0" borderId="1" xfId="0" applyNumberFormat="1" applyFont="1" applyBorder="1" applyAlignment="1">
      <alignment horizontal="center" vertical="center"/>
    </xf>
    <xf numFmtId="14" fontId="40" fillId="0" borderId="3" xfId="0" applyNumberFormat="1" applyFont="1" applyFill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80" fontId="40" fillId="0" borderId="3" xfId="0" applyNumberFormat="1" applyFont="1" applyFill="1" applyBorder="1" applyAlignment="1">
      <alignment horizontal="right" vertical="center"/>
    </xf>
    <xf numFmtId="176" fontId="6" fillId="0" borderId="1" xfId="0" applyFont="1" applyBorder="1" applyAlignment="1">
      <alignment horizontal="center" vertical="center"/>
    </xf>
    <xf numFmtId="176" fontId="45" fillId="0" borderId="1" xfId="0" applyFont="1" applyBorder="1" applyAlignment="1">
      <alignment horizontal="center" vertical="center"/>
    </xf>
    <xf numFmtId="176" fontId="50" fillId="0" borderId="3" xfId="0" applyFont="1" applyFill="1" applyBorder="1" applyAlignment="1">
      <alignment horizontal="center" vertical="center"/>
    </xf>
    <xf numFmtId="176" fontId="50" fillId="0" borderId="1" xfId="0" applyFont="1" applyFill="1" applyBorder="1" applyAlignment="1">
      <alignment horizontal="left" vertical="center"/>
    </xf>
    <xf numFmtId="180" fontId="6" fillId="0" borderId="1" xfId="0" applyNumberFormat="1" applyFont="1" applyFill="1" applyBorder="1" applyAlignment="1">
      <alignment horizontal="right" vertical="center"/>
    </xf>
    <xf numFmtId="180" fontId="73" fillId="0" borderId="8" xfId="0" applyNumberFormat="1" applyFont="1" applyBorder="1" applyAlignment="1">
      <alignment vertical="center"/>
    </xf>
    <xf numFmtId="14" fontId="37" fillId="0" borderId="1" xfId="0" applyNumberFormat="1" applyFont="1" applyBorder="1" applyAlignment="1">
      <alignment vertical="center" wrapText="1"/>
    </xf>
    <xf numFmtId="180" fontId="6" fillId="0" borderId="1" xfId="0" applyNumberFormat="1" applyFont="1" applyBorder="1" applyAlignment="1">
      <alignment horizontal="center" vertical="center" wrapText="1"/>
    </xf>
    <xf numFmtId="176" fontId="16" fillId="0" borderId="1" xfId="0" applyFont="1" applyBorder="1" applyAlignment="1">
      <alignment horizontal="center" vertical="center"/>
    </xf>
    <xf numFmtId="43" fontId="6" fillId="0" borderId="1" xfId="5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176" fontId="6" fillId="0" borderId="1" xfId="0" applyFont="1" applyBorder="1" applyAlignment="1">
      <alignment horizontal="center" vertical="center"/>
    </xf>
    <xf numFmtId="180" fontId="6" fillId="0" borderId="1" xfId="0" applyNumberFormat="1" applyFont="1" applyBorder="1" applyAlignment="1">
      <alignment horizontal="right" vertical="center"/>
    </xf>
    <xf numFmtId="176" fontId="37" fillId="0" borderId="1" xfId="0" applyFont="1" applyBorder="1" applyAlignment="1">
      <alignment horizontal="center" vertical="center"/>
    </xf>
    <xf numFmtId="14" fontId="40" fillId="0" borderId="1" xfId="0" applyNumberFormat="1" applyFont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76" fontId="6" fillId="0" borderId="1" xfId="0" applyFont="1" applyBorder="1" applyAlignment="1">
      <alignment horizontal="center" vertical="center"/>
    </xf>
    <xf numFmtId="180" fontId="6" fillId="0" borderId="1" xfId="0" applyNumberFormat="1" applyFont="1" applyBorder="1" applyAlignment="1">
      <alignment horizontal="right" vertical="center"/>
    </xf>
    <xf numFmtId="14" fontId="6" fillId="0" borderId="1" xfId="0" applyNumberFormat="1" applyFont="1" applyFill="1" applyBorder="1" applyAlignment="1">
      <alignment horizontal="center" vertical="center"/>
    </xf>
    <xf numFmtId="180" fontId="6" fillId="0" borderId="1" xfId="0" applyNumberFormat="1" applyFont="1" applyFill="1" applyBorder="1" applyAlignment="1">
      <alignment horizontal="right" vertical="center"/>
    </xf>
    <xf numFmtId="176" fontId="37" fillId="0" borderId="1" xfId="0" applyFont="1" applyBorder="1" applyAlignment="1">
      <alignment horizontal="center" vertical="center"/>
    </xf>
    <xf numFmtId="14" fontId="40" fillId="0" borderId="1" xfId="0" applyNumberFormat="1" applyFont="1" applyBorder="1" applyAlignment="1">
      <alignment horizontal="center" vertical="center"/>
    </xf>
    <xf numFmtId="176" fontId="40" fillId="0" borderId="1" xfId="0" applyFont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/>
    </xf>
    <xf numFmtId="43" fontId="6" fillId="0" borderId="1" xfId="5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180" fontId="40" fillId="0" borderId="1" xfId="0" applyNumberFormat="1" applyFont="1" applyBorder="1" applyAlignment="1">
      <alignment horizontal="right" vertical="center"/>
    </xf>
    <xf numFmtId="176" fontId="37" fillId="0" borderId="1" xfId="0" applyFont="1" applyBorder="1" applyAlignment="1">
      <alignment horizontal="center" vertical="center" wrapText="1"/>
    </xf>
    <xf numFmtId="14" fontId="40" fillId="0" borderId="1" xfId="0" applyNumberFormat="1" applyFont="1" applyBorder="1" applyAlignment="1">
      <alignment horizontal="center" vertical="center" wrapText="1"/>
    </xf>
    <xf numFmtId="176" fontId="37" fillId="0" borderId="1" xfId="0" applyFont="1" applyFill="1" applyBorder="1" applyAlignment="1">
      <alignment horizontal="center" vertical="center"/>
    </xf>
    <xf numFmtId="176" fontId="6" fillId="0" borderId="1" xfId="0" applyFont="1" applyBorder="1" applyAlignment="1">
      <alignment horizontal="center" vertical="center"/>
    </xf>
    <xf numFmtId="176" fontId="45" fillId="0" borderId="1" xfId="0" applyFont="1" applyBorder="1" applyAlignment="1">
      <alignment horizontal="center" vertical="center"/>
    </xf>
    <xf numFmtId="176" fontId="28" fillId="0" borderId="1" xfId="0" applyFont="1" applyFill="1" applyBorder="1" applyAlignment="1">
      <alignment vertical="center"/>
    </xf>
    <xf numFmtId="14" fontId="16" fillId="0" borderId="1" xfId="0" applyNumberFormat="1" applyFont="1" applyBorder="1" applyAlignment="1">
      <alignment horizontal="center" vertical="center"/>
    </xf>
    <xf numFmtId="14" fontId="40" fillId="0" borderId="1" xfId="0" applyNumberFormat="1" applyFont="1" applyFill="1" applyBorder="1" applyAlignment="1">
      <alignment horizontal="center" vertical="center"/>
    </xf>
    <xf numFmtId="180" fontId="6" fillId="0" borderId="1" xfId="0" applyNumberFormat="1" applyFont="1" applyBorder="1" applyAlignment="1">
      <alignment horizontal="right" vertical="center"/>
    </xf>
    <xf numFmtId="176" fontId="16" fillId="0" borderId="3" xfId="0" applyNumberFormat="1" applyFont="1" applyFill="1" applyBorder="1" applyAlignment="1">
      <alignment horizontal="left" vertical="center"/>
    </xf>
    <xf numFmtId="14" fontId="6" fillId="0" borderId="1" xfId="0" applyNumberFormat="1" applyFont="1" applyFill="1" applyBorder="1" applyAlignment="1">
      <alignment horizontal="center" vertical="center"/>
    </xf>
    <xf numFmtId="176" fontId="62" fillId="0" borderId="1" xfId="0" applyFont="1" applyBorder="1" applyAlignment="1">
      <alignment horizontal="center" vertical="center"/>
    </xf>
    <xf numFmtId="14" fontId="16" fillId="0" borderId="1" xfId="0" applyNumberFormat="1" applyFont="1" applyBorder="1" applyAlignment="1">
      <alignment horizontal="left" vertical="center"/>
    </xf>
    <xf numFmtId="176" fontId="0" fillId="0" borderId="0" xfId="0" applyFont="1" applyAlignment="1">
      <alignment horizontal="center" vertical="center"/>
    </xf>
    <xf numFmtId="180" fontId="40" fillId="0" borderId="1" xfId="5" applyNumberFormat="1" applyFont="1" applyFill="1" applyBorder="1" applyAlignment="1">
      <alignment horizontal="right" vertical="center"/>
    </xf>
    <xf numFmtId="180" fontId="6" fillId="0" borderId="1" xfId="5" applyNumberFormat="1" applyFont="1" applyFill="1" applyBorder="1" applyAlignment="1">
      <alignment horizontal="right" vertical="center"/>
    </xf>
    <xf numFmtId="180" fontId="73" fillId="0" borderId="1" xfId="5" applyNumberFormat="1" applyFont="1" applyFill="1" applyBorder="1" applyAlignment="1">
      <alignment horizontal="right" vertical="center"/>
    </xf>
    <xf numFmtId="180" fontId="75" fillId="0" borderId="1" xfId="4" applyNumberFormat="1" applyFont="1" applyFill="1" applyBorder="1" applyAlignment="1">
      <alignment horizontal="right" vertical="center"/>
    </xf>
    <xf numFmtId="176" fontId="0" fillId="0" borderId="1" xfId="0" applyBorder="1" applyAlignment="1">
      <alignment horizontal="left" vertical="center"/>
    </xf>
    <xf numFmtId="176" fontId="73" fillId="0" borderId="1" xfId="0" applyNumberFormat="1" applyFont="1" applyFill="1" applyBorder="1" applyAlignment="1">
      <alignment vertical="center"/>
    </xf>
    <xf numFmtId="2" fontId="40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vertical="center"/>
    </xf>
    <xf numFmtId="14" fontId="6" fillId="0" borderId="3" xfId="0" applyNumberFormat="1" applyFont="1" applyBorder="1" applyAlignment="1">
      <alignment vertical="center"/>
    </xf>
    <xf numFmtId="176" fontId="16" fillId="0" borderId="0" xfId="0" applyFont="1" applyBorder="1" applyAlignment="1">
      <alignment horizontal="right" vertical="center"/>
    </xf>
    <xf numFmtId="176" fontId="0" fillId="0" borderId="0" xfId="0" applyFont="1" applyAlignment="1">
      <alignment horizontal="right" vertical="center"/>
    </xf>
    <xf numFmtId="176" fontId="37" fillId="0" borderId="1" xfId="0" applyFont="1" applyBorder="1" applyAlignment="1">
      <alignment horizontal="center" vertical="center"/>
    </xf>
    <xf numFmtId="180" fontId="6" fillId="0" borderId="3" xfId="0" applyNumberFormat="1" applyFont="1" applyBorder="1" applyAlignment="1">
      <alignment horizontal="right" vertical="center"/>
    </xf>
    <xf numFmtId="14" fontId="40" fillId="0" borderId="1" xfId="0" applyNumberFormat="1" applyFont="1" applyBorder="1" applyAlignment="1">
      <alignment horizontal="center" vertical="center"/>
    </xf>
    <xf numFmtId="14" fontId="40" fillId="0" borderId="3" xfId="0" applyNumberFormat="1" applyFont="1" applyFill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/>
    </xf>
    <xf numFmtId="43" fontId="6" fillId="0" borderId="1" xfId="5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180" fontId="40" fillId="0" borderId="3" xfId="0" applyNumberFormat="1" applyFont="1" applyFill="1" applyBorder="1" applyAlignment="1">
      <alignment horizontal="right" vertical="center"/>
    </xf>
    <xf numFmtId="180" fontId="40" fillId="0" borderId="4" xfId="0" applyNumberFormat="1" applyFont="1" applyFill="1" applyBorder="1" applyAlignment="1">
      <alignment horizontal="right" vertical="center"/>
    </xf>
    <xf numFmtId="176" fontId="6" fillId="0" borderId="1" xfId="0" applyFont="1" applyBorder="1" applyAlignment="1">
      <alignment horizontal="center" vertical="center"/>
    </xf>
    <xf numFmtId="176" fontId="45" fillId="0" borderId="1" xfId="0" applyFont="1" applyBorder="1" applyAlignment="1">
      <alignment horizontal="center" vertical="center"/>
    </xf>
    <xf numFmtId="176" fontId="45" fillId="0" borderId="3" xfId="0" applyFont="1" applyBorder="1" applyAlignment="1">
      <alignment horizontal="center" vertical="center"/>
    </xf>
    <xf numFmtId="176" fontId="40" fillId="0" borderId="3" xfId="0" applyFont="1" applyFill="1" applyBorder="1" applyAlignment="1">
      <alignment horizontal="center" vertical="center"/>
    </xf>
    <xf numFmtId="180" fontId="40" fillId="0" borderId="1" xfId="0" applyNumberFormat="1" applyFont="1" applyBorder="1" applyAlignment="1">
      <alignment vertical="center"/>
    </xf>
    <xf numFmtId="176" fontId="28" fillId="0" borderId="1" xfId="0" applyFont="1" applyFill="1" applyBorder="1" applyAlignment="1">
      <alignment vertical="center"/>
    </xf>
    <xf numFmtId="176" fontId="50" fillId="0" borderId="3" xfId="0" applyFont="1" applyFill="1" applyBorder="1" applyAlignment="1">
      <alignment horizontal="center" vertical="center"/>
    </xf>
    <xf numFmtId="14" fontId="73" fillId="0" borderId="3" xfId="0" applyNumberFormat="1" applyFont="1" applyFill="1" applyBorder="1" applyAlignment="1">
      <alignment horizontal="center" vertical="center"/>
    </xf>
    <xf numFmtId="176" fontId="40" fillId="0" borderId="1" xfId="0" applyFont="1" applyFill="1" applyBorder="1" applyAlignment="1">
      <alignment horizontal="center" vertical="center"/>
    </xf>
    <xf numFmtId="180" fontId="40" fillId="0" borderId="1" xfId="0" applyNumberFormat="1" applyFont="1" applyFill="1" applyBorder="1" applyAlignment="1">
      <alignment horizontal="right" vertical="center"/>
    </xf>
    <xf numFmtId="14" fontId="6" fillId="0" borderId="3" xfId="0" applyNumberFormat="1" applyFont="1" applyFill="1" applyBorder="1" applyAlignment="1">
      <alignment horizontal="center" vertical="center"/>
    </xf>
    <xf numFmtId="176" fontId="50" fillId="0" borderId="1" xfId="0" applyFont="1" applyFill="1" applyBorder="1" applyAlignment="1">
      <alignment horizontal="left" vertical="center"/>
    </xf>
    <xf numFmtId="14" fontId="40" fillId="0" borderId="1" xfId="0" applyNumberFormat="1" applyFont="1" applyFill="1" applyBorder="1" applyAlignment="1">
      <alignment horizontal="center" vertical="center"/>
    </xf>
    <xf numFmtId="180" fontId="6" fillId="0" borderId="1" xfId="0" applyNumberFormat="1" applyFont="1" applyBorder="1" applyAlignment="1">
      <alignment horizontal="right" vertical="center"/>
    </xf>
    <xf numFmtId="176" fontId="16" fillId="0" borderId="3" xfId="0" applyNumberFormat="1" applyFont="1" applyFill="1" applyBorder="1" applyAlignment="1">
      <alignment horizontal="left" vertical="center"/>
    </xf>
    <xf numFmtId="14" fontId="6" fillId="0" borderId="1" xfId="0" applyNumberFormat="1" applyFont="1" applyFill="1" applyBorder="1" applyAlignment="1">
      <alignment horizontal="center" vertical="center"/>
    </xf>
    <xf numFmtId="180" fontId="6" fillId="0" borderId="1" xfId="0" applyNumberFormat="1" applyFont="1" applyFill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 wrapText="1"/>
    </xf>
    <xf numFmtId="14" fontId="37" fillId="0" borderId="1" xfId="0" applyNumberFormat="1" applyFont="1" applyBorder="1" applyAlignment="1">
      <alignment horizontal="center" vertical="center" wrapText="1"/>
    </xf>
    <xf numFmtId="176" fontId="16" fillId="0" borderId="1" xfId="0" applyFont="1" applyBorder="1" applyAlignment="1">
      <alignment horizontal="center" vertical="center"/>
    </xf>
    <xf numFmtId="43" fontId="6" fillId="0" borderId="1" xfId="5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176" fontId="6" fillId="0" borderId="1" xfId="0" applyFont="1" applyBorder="1" applyAlignment="1">
      <alignment horizontal="center" vertical="center"/>
    </xf>
    <xf numFmtId="180" fontId="6" fillId="0" borderId="1" xfId="0" applyNumberFormat="1" applyFont="1" applyBorder="1" applyAlignment="1">
      <alignment horizontal="right" vertical="center"/>
    </xf>
    <xf numFmtId="176" fontId="16" fillId="0" borderId="1" xfId="0" applyFont="1" applyBorder="1" applyAlignment="1">
      <alignment vertical="center"/>
    </xf>
    <xf numFmtId="183" fontId="40" fillId="0" borderId="8" xfId="0" applyNumberFormat="1" applyFont="1" applyBorder="1">
      <alignment vertical="center"/>
    </xf>
    <xf numFmtId="14" fontId="37" fillId="0" borderId="8" xfId="0" applyNumberFormat="1" applyFont="1" applyBorder="1">
      <alignment vertical="center"/>
    </xf>
    <xf numFmtId="176" fontId="45" fillId="0" borderId="0" xfId="0" applyFont="1" applyAlignment="1">
      <alignment vertical="center"/>
    </xf>
    <xf numFmtId="176" fontId="40" fillId="0" borderId="6" xfId="0" applyFont="1" applyFill="1" applyBorder="1" applyAlignment="1">
      <alignment vertical="center"/>
    </xf>
    <xf numFmtId="176" fontId="40" fillId="0" borderId="6" xfId="0" applyFont="1" applyFill="1" applyBorder="1" applyAlignment="1">
      <alignment horizontal="center" vertical="center"/>
    </xf>
    <xf numFmtId="176" fontId="6" fillId="0" borderId="6" xfId="0" applyFont="1" applyFill="1" applyBorder="1" applyAlignment="1">
      <alignment horizontal="center" vertical="center"/>
    </xf>
    <xf numFmtId="176" fontId="73" fillId="0" borderId="6" xfId="0" applyFont="1" applyFill="1" applyBorder="1" applyAlignment="1">
      <alignment horizontal="center" vertical="center"/>
    </xf>
    <xf numFmtId="43" fontId="6" fillId="0" borderId="1" xfId="5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176" fontId="6" fillId="0" borderId="1" xfId="0" applyFont="1" applyBorder="1" applyAlignment="1">
      <alignment horizontal="center" vertical="center"/>
    </xf>
    <xf numFmtId="180" fontId="6" fillId="0" borderId="1" xfId="0" applyNumberFormat="1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 wrapText="1"/>
    </xf>
    <xf numFmtId="43" fontId="0" fillId="0" borderId="0" xfId="5" applyFont="1" applyFill="1">
      <alignment vertical="center"/>
    </xf>
    <xf numFmtId="43" fontId="16" fillId="0" borderId="0" xfId="5" applyFont="1" applyFill="1">
      <alignment vertical="center"/>
    </xf>
    <xf numFmtId="43" fontId="6" fillId="0" borderId="1" xfId="5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176" fontId="6" fillId="0" borderId="1" xfId="0" applyFont="1" applyBorder="1" applyAlignment="1">
      <alignment horizontal="center" vertical="center"/>
    </xf>
    <xf numFmtId="180" fontId="6" fillId="0" borderId="1" xfId="0" applyNumberFormat="1" applyFont="1" applyBorder="1" applyAlignment="1">
      <alignment horizontal="right" vertical="center"/>
    </xf>
    <xf numFmtId="176" fontId="37" fillId="0" borderId="1" xfId="0" applyFont="1" applyBorder="1" applyAlignment="1">
      <alignment horizontal="center" vertical="center"/>
    </xf>
    <xf numFmtId="14" fontId="40" fillId="0" borderId="1" xfId="0" applyNumberFormat="1" applyFont="1" applyBorder="1" applyAlignment="1">
      <alignment horizontal="center" vertical="center"/>
    </xf>
    <xf numFmtId="176" fontId="40" fillId="0" borderId="1" xfId="0" applyFont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/>
    </xf>
    <xf numFmtId="43" fontId="6" fillId="0" borderId="1" xfId="5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176" fontId="6" fillId="0" borderId="1" xfId="0" applyFont="1" applyBorder="1" applyAlignment="1">
      <alignment horizontal="center" vertical="center"/>
    </xf>
    <xf numFmtId="176" fontId="45" fillId="0" borderId="1" xfId="0" applyFont="1" applyBorder="1" applyAlignment="1">
      <alignment horizontal="center" vertical="center"/>
    </xf>
    <xf numFmtId="180" fontId="6" fillId="0" borderId="1" xfId="0" applyNumberFormat="1" applyFont="1" applyBorder="1" applyAlignment="1">
      <alignment horizontal="right" vertical="center"/>
    </xf>
    <xf numFmtId="14" fontId="6" fillId="0" borderId="1" xfId="0" applyNumberFormat="1" applyFont="1" applyFill="1" applyBorder="1" applyAlignment="1">
      <alignment horizontal="center" vertical="center"/>
    </xf>
    <xf numFmtId="180" fontId="6" fillId="0" borderId="1" xfId="0" applyNumberFormat="1" applyFont="1" applyFill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 wrapText="1"/>
    </xf>
    <xf numFmtId="176" fontId="37" fillId="0" borderId="1" xfId="0" applyFont="1" applyBorder="1" applyAlignment="1">
      <alignment horizontal="center" vertical="center"/>
    </xf>
    <xf numFmtId="14" fontId="40" fillId="0" borderId="1" xfId="0" applyNumberFormat="1" applyFont="1" applyBorder="1" applyAlignment="1">
      <alignment horizontal="center" vertical="center"/>
    </xf>
    <xf numFmtId="176" fontId="40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40" fillId="0" borderId="1" xfId="0" applyNumberFormat="1" applyFont="1" applyBorder="1" applyAlignment="1">
      <alignment horizontal="center" vertical="center" wrapText="1"/>
    </xf>
    <xf numFmtId="176" fontId="40" fillId="0" borderId="1" xfId="0" applyFont="1" applyBorder="1" applyAlignment="1">
      <alignment horizontal="center" vertical="center" wrapText="1"/>
    </xf>
    <xf numFmtId="14" fontId="37" fillId="0" borderId="1" xfId="0" applyNumberFormat="1" applyFont="1" applyFill="1" applyBorder="1" applyAlignment="1">
      <alignment horizontal="center" vertical="center"/>
    </xf>
    <xf numFmtId="14" fontId="37" fillId="0" borderId="8" xfId="0" applyNumberFormat="1" applyFont="1" applyFill="1" applyBorder="1" applyAlignment="1">
      <alignment horizontal="center" vertical="center"/>
    </xf>
    <xf numFmtId="14" fontId="37" fillId="0" borderId="4" xfId="0" applyNumberFormat="1" applyFont="1" applyFill="1" applyBorder="1" applyAlignment="1">
      <alignment horizontal="center" vertical="center"/>
    </xf>
    <xf numFmtId="14" fontId="37" fillId="0" borderId="3" xfId="0" applyNumberFormat="1" applyFont="1" applyFill="1" applyBorder="1" applyAlignment="1">
      <alignment horizontal="center" vertical="center"/>
    </xf>
    <xf numFmtId="176" fontId="6" fillId="0" borderId="1" xfId="0" applyFont="1" applyBorder="1" applyAlignment="1">
      <alignment horizontal="center" vertical="center"/>
    </xf>
    <xf numFmtId="176" fontId="40" fillId="0" borderId="3" xfId="0" applyFont="1" applyFill="1" applyBorder="1" applyAlignment="1">
      <alignment horizontal="center" vertical="center"/>
    </xf>
    <xf numFmtId="176" fontId="28" fillId="0" borderId="1" xfId="0" applyFont="1" applyFill="1" applyBorder="1" applyAlignment="1">
      <alignment horizontal="center" vertical="center"/>
    </xf>
    <xf numFmtId="14" fontId="28" fillId="0" borderId="1" xfId="0" applyNumberFormat="1" applyFont="1" applyFill="1" applyBorder="1" applyAlignment="1">
      <alignment horizontal="center" vertical="center"/>
    </xf>
    <xf numFmtId="14" fontId="23" fillId="0" borderId="1" xfId="0" applyNumberFormat="1" applyFont="1" applyFill="1" applyBorder="1" applyAlignment="1">
      <alignment horizontal="center" vertical="center"/>
    </xf>
    <xf numFmtId="176" fontId="40" fillId="0" borderId="1" xfId="0" applyFont="1" applyFill="1" applyBorder="1" applyAlignment="1">
      <alignment horizontal="center" vertical="center"/>
    </xf>
    <xf numFmtId="176" fontId="51" fillId="0" borderId="0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76" fontId="0" fillId="0" borderId="0" xfId="0" applyFont="1" applyAlignment="1">
      <alignment horizontal="center" vertical="center"/>
    </xf>
    <xf numFmtId="14" fontId="73" fillId="0" borderId="6" xfId="0" applyNumberFormat="1" applyFont="1" applyFill="1" applyBorder="1" applyAlignment="1">
      <alignment horizontal="center" vertical="center"/>
    </xf>
    <xf numFmtId="176" fontId="24" fillId="0" borderId="1" xfId="4" applyBorder="1" applyAlignment="1">
      <alignment horizontal="center" vertical="center"/>
    </xf>
    <xf numFmtId="176" fontId="60" fillId="0" borderId="1" xfId="0" applyFont="1" applyFill="1" applyBorder="1" applyAlignment="1">
      <alignment horizontal="left"/>
    </xf>
    <xf numFmtId="176" fontId="37" fillId="0" borderId="1" xfId="0" applyFont="1" applyBorder="1" applyAlignment="1">
      <alignment horizontal="center" vertical="center"/>
    </xf>
    <xf numFmtId="176" fontId="0" fillId="0" borderId="1" xfId="0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14" fontId="40" fillId="0" borderId="8" xfId="0" applyNumberFormat="1" applyFont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/>
    </xf>
    <xf numFmtId="43" fontId="6" fillId="0" borderId="1" xfId="5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176" fontId="37" fillId="0" borderId="1" xfId="0" applyFont="1" applyFill="1" applyBorder="1" applyAlignment="1">
      <alignment horizontal="center" vertical="center"/>
    </xf>
    <xf numFmtId="176" fontId="6" fillId="0" borderId="1" xfId="0" applyFont="1" applyBorder="1" applyAlignment="1">
      <alignment horizontal="center" vertical="center"/>
    </xf>
    <xf numFmtId="180" fontId="40" fillId="0" borderId="8" xfId="0" applyNumberFormat="1" applyFont="1" applyBorder="1" applyAlignment="1">
      <alignment vertical="center"/>
    </xf>
    <xf numFmtId="176" fontId="28" fillId="0" borderId="1" xfId="0" applyFont="1" applyFill="1" applyBorder="1" applyAlignment="1">
      <alignment vertical="center"/>
    </xf>
    <xf numFmtId="180" fontId="40" fillId="0" borderId="1" xfId="0" applyNumberFormat="1" applyFont="1" applyFill="1" applyBorder="1" applyAlignment="1">
      <alignment horizontal="right" vertical="center"/>
    </xf>
    <xf numFmtId="14" fontId="40" fillId="0" borderId="1" xfId="0" applyNumberFormat="1" applyFont="1" applyFill="1" applyBorder="1" applyAlignment="1">
      <alignment horizontal="center" vertical="center"/>
    </xf>
    <xf numFmtId="180" fontId="6" fillId="0" borderId="1" xfId="0" applyNumberFormat="1" applyFont="1" applyBorder="1" applyAlignment="1">
      <alignment horizontal="right" vertical="center"/>
    </xf>
    <xf numFmtId="176" fontId="16" fillId="0" borderId="3" xfId="0" applyNumberFormat="1" applyFont="1" applyFill="1" applyBorder="1" applyAlignment="1">
      <alignment horizontal="left" vertical="center"/>
    </xf>
    <xf numFmtId="180" fontId="6" fillId="0" borderId="1" xfId="0" applyNumberFormat="1" applyFont="1" applyFill="1" applyBorder="1" applyAlignment="1">
      <alignment vertical="center"/>
    </xf>
    <xf numFmtId="14" fontId="6" fillId="0" borderId="1" xfId="0" applyNumberFormat="1" applyFont="1" applyFill="1" applyBorder="1" applyAlignment="1">
      <alignment horizontal="center" vertical="center"/>
    </xf>
    <xf numFmtId="180" fontId="6" fillId="0" borderId="1" xfId="0" applyNumberFormat="1" applyFont="1" applyFill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 wrapText="1"/>
    </xf>
    <xf numFmtId="176" fontId="37" fillId="0" borderId="1" xfId="0" applyFont="1" applyBorder="1" applyAlignment="1">
      <alignment horizontal="center" vertical="center"/>
    </xf>
    <xf numFmtId="14" fontId="40" fillId="0" borderId="1" xfId="0" applyNumberFormat="1" applyFont="1" applyBorder="1" applyAlignment="1">
      <alignment horizontal="center" vertical="center"/>
    </xf>
    <xf numFmtId="176" fontId="40" fillId="0" borderId="1" xfId="0" applyFont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/>
    </xf>
    <xf numFmtId="43" fontId="6" fillId="0" borderId="1" xfId="5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176" fontId="37" fillId="0" borderId="1" xfId="0" applyFont="1" applyBorder="1" applyAlignment="1">
      <alignment horizontal="center" vertical="center" wrapText="1"/>
    </xf>
    <xf numFmtId="14" fontId="40" fillId="0" borderId="1" xfId="0" applyNumberFormat="1" applyFont="1" applyBorder="1" applyAlignment="1">
      <alignment horizontal="center" vertical="center" wrapText="1"/>
    </xf>
    <xf numFmtId="176" fontId="6" fillId="0" borderId="1" xfId="0" applyFont="1" applyBorder="1" applyAlignment="1">
      <alignment horizontal="center" vertical="center"/>
    </xf>
    <xf numFmtId="176" fontId="45" fillId="0" borderId="1" xfId="0" applyFont="1" applyBorder="1" applyAlignment="1">
      <alignment horizontal="center" vertical="center"/>
    </xf>
    <xf numFmtId="14" fontId="73" fillId="0" borderId="3" xfId="0" applyNumberFormat="1" applyFont="1" applyFill="1" applyBorder="1" applyAlignment="1">
      <alignment horizontal="center" vertical="center"/>
    </xf>
    <xf numFmtId="14" fontId="6" fillId="0" borderId="3" xfId="0" applyNumberFormat="1" applyFont="1" applyFill="1" applyBorder="1" applyAlignment="1">
      <alignment horizontal="center" vertical="center"/>
    </xf>
    <xf numFmtId="176" fontId="28" fillId="0" borderId="1" xfId="0" applyFont="1" applyFill="1" applyBorder="1" applyAlignment="1">
      <alignment vertical="center"/>
    </xf>
    <xf numFmtId="14" fontId="16" fillId="0" borderId="1" xfId="0" applyNumberFormat="1" applyFont="1" applyBorder="1" applyAlignment="1">
      <alignment horizontal="center" vertical="center"/>
    </xf>
    <xf numFmtId="180" fontId="6" fillId="0" borderId="1" xfId="0" applyNumberFormat="1" applyFont="1" applyBorder="1" applyAlignment="1">
      <alignment horizontal="right" vertical="center"/>
    </xf>
    <xf numFmtId="14" fontId="6" fillId="0" borderId="1" xfId="0" applyNumberFormat="1" applyFont="1" applyFill="1" applyBorder="1" applyAlignment="1">
      <alignment horizontal="center" vertical="center"/>
    </xf>
    <xf numFmtId="180" fontId="6" fillId="0" borderId="1" xfId="0" applyNumberFormat="1" applyFont="1" applyFill="1" applyBorder="1" applyAlignment="1">
      <alignment horizontal="right" vertical="center"/>
    </xf>
    <xf numFmtId="43" fontId="81" fillId="0" borderId="1" xfId="5" applyFont="1" applyFill="1" applyBorder="1" applyAlignment="1">
      <alignment vertical="center"/>
    </xf>
    <xf numFmtId="184" fontId="81" fillId="0" borderId="1" xfId="0" applyNumberFormat="1" applyFont="1" applyFill="1" applyBorder="1" applyAlignment="1">
      <alignment horizontal="center" vertical="center"/>
    </xf>
    <xf numFmtId="176" fontId="28" fillId="5" borderId="1" xfId="0" applyFont="1" applyFill="1" applyBorder="1" applyAlignment="1">
      <alignment horizontal="center" vertical="center"/>
    </xf>
    <xf numFmtId="182" fontId="40" fillId="0" borderId="1" xfId="5" applyNumberFormat="1" applyFont="1" applyBorder="1" applyAlignment="1">
      <alignment vertical="center"/>
    </xf>
    <xf numFmtId="182" fontId="73" fillId="0" borderId="1" xfId="5" applyNumberFormat="1" applyFont="1" applyBorder="1" applyAlignment="1">
      <alignment vertical="center"/>
    </xf>
    <xf numFmtId="180" fontId="40" fillId="0" borderId="3" xfId="5" applyNumberFormat="1" applyFont="1" applyBorder="1" applyAlignment="1">
      <alignment horizontal="right" vertical="center"/>
    </xf>
    <xf numFmtId="180" fontId="40" fillId="0" borderId="1" xfId="5" applyNumberFormat="1" applyFont="1" applyBorder="1" applyAlignment="1">
      <alignment horizontal="right" vertical="center"/>
    </xf>
    <xf numFmtId="180" fontId="40" fillId="0" borderId="1" xfId="5" applyNumberFormat="1" applyFont="1" applyBorder="1" applyAlignment="1">
      <alignment vertical="center"/>
    </xf>
    <xf numFmtId="180" fontId="73" fillId="0" borderId="1" xfId="5" applyNumberFormat="1" applyFont="1" applyBorder="1" applyAlignment="1">
      <alignment vertical="center"/>
    </xf>
    <xf numFmtId="180" fontId="6" fillId="0" borderId="1" xfId="5" applyNumberFormat="1" applyFont="1" applyBorder="1" applyAlignment="1">
      <alignment vertical="center"/>
    </xf>
    <xf numFmtId="180" fontId="6" fillId="0" borderId="1" xfId="5" applyNumberFormat="1" applyFont="1" applyBorder="1" applyAlignment="1">
      <alignment horizontal="right" vertical="center"/>
    </xf>
    <xf numFmtId="180" fontId="40" fillId="8" borderId="1" xfId="5" applyNumberFormat="1" applyFont="1" applyFill="1" applyBorder="1" applyAlignment="1">
      <alignment vertical="center"/>
    </xf>
    <xf numFmtId="176" fontId="37" fillId="0" borderId="1" xfId="0" applyFont="1" applyBorder="1" applyAlignment="1">
      <alignment horizontal="center" vertical="center"/>
    </xf>
    <xf numFmtId="176" fontId="0" fillId="0" borderId="1" xfId="0" applyFont="1" applyBorder="1" applyAlignment="1">
      <alignment horizontal="center" vertical="center"/>
    </xf>
    <xf numFmtId="176" fontId="0" fillId="4" borderId="1" xfId="0" applyFont="1" applyFill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14" fontId="40" fillId="0" borderId="1" xfId="0" applyNumberFormat="1" applyFont="1" applyBorder="1" applyAlignment="1">
      <alignment horizontal="center" vertical="center"/>
    </xf>
    <xf numFmtId="180" fontId="6" fillId="0" borderId="8" xfId="0" applyNumberFormat="1" applyFont="1" applyBorder="1">
      <alignment vertical="center"/>
    </xf>
    <xf numFmtId="176" fontId="1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76" fontId="6" fillId="0" borderId="1" xfId="0" applyFont="1" applyBorder="1" applyAlignment="1">
      <alignment horizontal="center" vertical="center"/>
    </xf>
    <xf numFmtId="14" fontId="37" fillId="0" borderId="1" xfId="0" applyNumberFormat="1" applyFont="1" applyBorder="1" applyAlignment="1">
      <alignment horizontal="center" vertical="center"/>
    </xf>
    <xf numFmtId="180" fontId="6" fillId="0" borderId="1" xfId="0" applyNumberFormat="1" applyFont="1" applyBorder="1" applyAlignment="1">
      <alignment horizontal="right" vertical="center"/>
    </xf>
    <xf numFmtId="176" fontId="8" fillId="0" borderId="1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180" fontId="6" fillId="0" borderId="1" xfId="0" applyNumberFormat="1" applyFont="1" applyFill="1" applyBorder="1" applyAlignment="1">
      <alignment horizontal="right" vertical="center"/>
    </xf>
    <xf numFmtId="176" fontId="20" fillId="0" borderId="0" xfId="0" applyFont="1" applyAlignment="1">
      <alignment horizontal="right" vertical="center"/>
    </xf>
    <xf numFmtId="176" fontId="37" fillId="0" borderId="1" xfId="0" applyFont="1" applyBorder="1" applyAlignment="1">
      <alignment horizontal="center" vertical="center"/>
    </xf>
    <xf numFmtId="176" fontId="0" fillId="0" borderId="1" xfId="0" applyFont="1" applyBorder="1" applyAlignment="1">
      <alignment horizontal="center" vertical="center"/>
    </xf>
    <xf numFmtId="14" fontId="40" fillId="0" borderId="8" xfId="0" applyNumberFormat="1" applyFont="1" applyBorder="1" applyAlignment="1">
      <alignment horizontal="center" vertical="center"/>
    </xf>
    <xf numFmtId="180" fontId="6" fillId="0" borderId="3" xfId="0" applyNumberFormat="1" applyFont="1" applyBorder="1" applyAlignment="1">
      <alignment horizontal="right" vertical="center"/>
    </xf>
    <xf numFmtId="14" fontId="40" fillId="0" borderId="1" xfId="0" applyNumberFormat="1" applyFont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76" fontId="6" fillId="0" borderId="1" xfId="0" applyFont="1" applyBorder="1" applyAlignment="1">
      <alignment horizontal="center" vertical="center"/>
    </xf>
    <xf numFmtId="14" fontId="37" fillId="0" borderId="8" xfId="0" applyNumberFormat="1" applyFont="1" applyBorder="1" applyAlignment="1">
      <alignment horizontal="center" vertical="center" wrapText="1"/>
    </xf>
    <xf numFmtId="176" fontId="45" fillId="0" borderId="3" xfId="0" applyFont="1" applyBorder="1" applyAlignment="1">
      <alignment horizontal="center" vertical="center"/>
    </xf>
    <xf numFmtId="14" fontId="6" fillId="0" borderId="3" xfId="0" applyNumberFormat="1" applyFont="1" applyFill="1" applyBorder="1" applyAlignment="1">
      <alignment horizontal="center" vertical="center"/>
    </xf>
    <xf numFmtId="180" fontId="6" fillId="0" borderId="1" xfId="0" applyNumberFormat="1" applyFont="1" applyBorder="1" applyAlignment="1">
      <alignment horizontal="right" vertical="center"/>
    </xf>
    <xf numFmtId="180" fontId="6" fillId="0" borderId="1" xfId="0" applyNumberFormat="1" applyFont="1" applyFill="1" applyBorder="1" applyAlignment="1">
      <alignment vertical="center"/>
    </xf>
    <xf numFmtId="14" fontId="6" fillId="0" borderId="1" xfId="0" applyNumberFormat="1" applyFont="1" applyFill="1" applyBorder="1" applyAlignment="1">
      <alignment horizontal="center" vertical="center"/>
    </xf>
    <xf numFmtId="180" fontId="6" fillId="0" borderId="1" xfId="0" applyNumberFormat="1" applyFont="1" applyFill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 wrapText="1"/>
    </xf>
    <xf numFmtId="176" fontId="62" fillId="0" borderId="1" xfId="0" applyFont="1" applyBorder="1" applyAlignment="1">
      <alignment horizontal="center" vertical="center"/>
    </xf>
    <xf numFmtId="180" fontId="40" fillId="0" borderId="1" xfId="0" applyNumberFormat="1" applyFont="1" applyBorder="1" applyAlignment="1">
      <alignment horizontal="center" vertical="center"/>
    </xf>
    <xf numFmtId="14" fontId="16" fillId="0" borderId="1" xfId="0" applyNumberFormat="1" applyFont="1" applyBorder="1" applyAlignment="1">
      <alignment horizontal="left" vertical="center"/>
    </xf>
    <xf numFmtId="14" fontId="37" fillId="0" borderId="1" xfId="0" applyNumberFormat="1" applyFont="1" applyBorder="1" applyAlignment="1">
      <alignment horizontal="center" vertical="center" wrapText="1"/>
    </xf>
    <xf numFmtId="14" fontId="40" fillId="0" borderId="1" xfId="0" applyNumberFormat="1" applyFont="1" applyBorder="1" applyAlignment="1">
      <alignment horizontal="center" vertical="center"/>
    </xf>
    <xf numFmtId="176" fontId="40" fillId="0" borderId="1" xfId="0" applyFont="1" applyBorder="1" applyAlignment="1">
      <alignment horizontal="center" vertical="center"/>
    </xf>
    <xf numFmtId="176" fontId="37" fillId="0" borderId="1" xfId="0" applyFont="1" applyBorder="1" applyAlignment="1">
      <alignment horizontal="center" vertical="center"/>
    </xf>
    <xf numFmtId="176" fontId="0" fillId="0" borderId="1" xfId="0" applyFont="1" applyBorder="1" applyAlignment="1">
      <alignment horizontal="center" vertical="center"/>
    </xf>
    <xf numFmtId="14" fontId="40" fillId="0" borderId="1" xfId="0" applyNumberFormat="1" applyFont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76" fontId="37" fillId="0" borderId="1" xfId="0" applyFont="1" applyBorder="1" applyAlignment="1">
      <alignment horizontal="center" vertical="center" wrapText="1"/>
    </xf>
    <xf numFmtId="176" fontId="6" fillId="0" borderId="1" xfId="0" applyFont="1" applyBorder="1" applyAlignment="1">
      <alignment horizontal="center" vertical="center"/>
    </xf>
    <xf numFmtId="176" fontId="28" fillId="0" borderId="1" xfId="0" applyFont="1" applyFill="1" applyBorder="1" applyAlignment="1">
      <alignment vertical="center"/>
    </xf>
    <xf numFmtId="180" fontId="6" fillId="0" borderId="1" xfId="0" applyNumberFormat="1" applyFont="1" applyBorder="1" applyAlignment="1">
      <alignment horizontal="right" vertical="center"/>
    </xf>
    <xf numFmtId="14" fontId="6" fillId="0" borderId="1" xfId="0" applyNumberFormat="1" applyFont="1" applyFill="1" applyBorder="1" applyAlignment="1">
      <alignment horizontal="center" vertical="center"/>
    </xf>
    <xf numFmtId="180" fontId="6" fillId="0" borderId="1" xfId="0" applyNumberFormat="1" applyFont="1" applyFill="1" applyBorder="1" applyAlignment="1">
      <alignment horizontal="right" vertical="center"/>
    </xf>
    <xf numFmtId="180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176" fontId="16" fillId="3" borderId="1" xfId="0" applyFont="1" applyFill="1" applyBorder="1" applyAlignment="1">
      <alignment horizontal="center" vertical="center"/>
    </xf>
    <xf numFmtId="176" fontId="16" fillId="3" borderId="3" xfId="0" applyFont="1" applyFill="1" applyBorder="1" applyAlignment="1">
      <alignment horizontal="center" vertical="center"/>
    </xf>
    <xf numFmtId="180" fontId="40" fillId="0" borderId="1" xfId="0" applyNumberFormat="1" applyFont="1" applyBorder="1" applyAlignment="1">
      <alignment horizontal="center" vertical="center" wrapText="1"/>
    </xf>
    <xf numFmtId="14" fontId="40" fillId="0" borderId="1" xfId="0" applyNumberFormat="1" applyFont="1" applyBorder="1" applyAlignment="1">
      <alignment horizontal="center" vertical="center"/>
    </xf>
    <xf numFmtId="176" fontId="40" fillId="0" borderId="1" xfId="0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80" fontId="6" fillId="0" borderId="3" xfId="0" applyNumberFormat="1" applyFont="1" applyBorder="1" applyAlignment="1">
      <alignment horizontal="right" vertical="center"/>
    </xf>
    <xf numFmtId="176" fontId="16" fillId="0" borderId="8" xfId="0" applyFont="1" applyBorder="1" applyAlignment="1">
      <alignment horizontal="center" vertical="center"/>
    </xf>
    <xf numFmtId="176" fontId="16" fillId="0" borderId="3" xfId="0" applyFont="1" applyBorder="1" applyAlignment="1">
      <alignment horizontal="center" vertical="center"/>
    </xf>
    <xf numFmtId="14" fontId="40" fillId="0" borderId="1" xfId="0" applyNumberFormat="1" applyFont="1" applyBorder="1" applyAlignment="1">
      <alignment horizontal="center" vertical="center"/>
    </xf>
    <xf numFmtId="176" fontId="37" fillId="0" borderId="8" xfId="0" applyFont="1" applyBorder="1" applyAlignment="1">
      <alignment horizontal="center" vertical="center" wrapText="1"/>
    </xf>
    <xf numFmtId="176" fontId="16" fillId="0" borderId="1" xfId="0" applyFont="1" applyBorder="1" applyAlignment="1">
      <alignment horizontal="center" vertical="center"/>
    </xf>
    <xf numFmtId="43" fontId="6" fillId="0" borderId="1" xfId="5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176" fontId="16" fillId="0" borderId="3" xfId="0" applyFont="1" applyBorder="1" applyAlignment="1">
      <alignment horizontal="left" vertical="center"/>
    </xf>
    <xf numFmtId="14" fontId="40" fillId="0" borderId="1" xfId="0" applyNumberFormat="1" applyFont="1" applyBorder="1" applyAlignment="1">
      <alignment horizontal="center" vertical="center" wrapText="1"/>
    </xf>
    <xf numFmtId="180" fontId="6" fillId="0" borderId="8" xfId="0" applyNumberFormat="1" applyFont="1" applyFill="1" applyBorder="1" applyAlignment="1">
      <alignment vertical="center"/>
    </xf>
    <xf numFmtId="176" fontId="6" fillId="0" borderId="1" xfId="0" applyFont="1" applyBorder="1" applyAlignment="1">
      <alignment horizontal="center" vertical="center"/>
    </xf>
    <xf numFmtId="176" fontId="28" fillId="0" borderId="1" xfId="0" applyFont="1" applyFill="1" applyBorder="1" applyAlignment="1">
      <alignment vertical="center"/>
    </xf>
    <xf numFmtId="180" fontId="6" fillId="0" borderId="1" xfId="0" applyNumberFormat="1" applyFont="1" applyBorder="1" applyAlignment="1">
      <alignment horizontal="right" vertical="center"/>
    </xf>
    <xf numFmtId="180" fontId="6" fillId="0" borderId="1" xfId="0" applyNumberFormat="1" applyFont="1" applyFill="1" applyBorder="1" applyAlignment="1">
      <alignment vertical="center"/>
    </xf>
    <xf numFmtId="14" fontId="6" fillId="0" borderId="1" xfId="0" applyNumberFormat="1" applyFont="1" applyFill="1" applyBorder="1" applyAlignment="1">
      <alignment horizontal="center" vertical="center"/>
    </xf>
    <xf numFmtId="180" fontId="6" fillId="0" borderId="1" xfId="0" applyNumberFormat="1" applyFont="1" applyFill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 wrapText="1"/>
    </xf>
    <xf numFmtId="176" fontId="37" fillId="0" borderId="1" xfId="0" applyFont="1" applyBorder="1" applyAlignment="1">
      <alignment horizontal="center" vertical="center"/>
    </xf>
    <xf numFmtId="176" fontId="0" fillId="0" borderId="1" xfId="0" applyFont="1" applyBorder="1" applyAlignment="1">
      <alignment horizontal="center" vertical="center"/>
    </xf>
    <xf numFmtId="14" fontId="40" fillId="0" borderId="1" xfId="0" applyNumberFormat="1" applyFont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/>
    </xf>
    <xf numFmtId="43" fontId="6" fillId="0" borderId="1" xfId="5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180" fontId="6" fillId="0" borderId="3" xfId="0" applyNumberFormat="1" applyFont="1" applyFill="1" applyBorder="1" applyAlignment="1">
      <alignment horizontal="right" vertical="center"/>
    </xf>
    <xf numFmtId="176" fontId="6" fillId="0" borderId="1" xfId="0" applyFont="1" applyBorder="1" applyAlignment="1">
      <alignment horizontal="center" vertical="center"/>
    </xf>
    <xf numFmtId="14" fontId="6" fillId="0" borderId="3" xfId="0" applyNumberFormat="1" applyFont="1" applyFill="1" applyBorder="1" applyAlignment="1">
      <alignment horizontal="center" vertical="center"/>
    </xf>
    <xf numFmtId="180" fontId="6" fillId="0" borderId="1" xfId="0" applyNumberFormat="1" applyFont="1" applyBorder="1" applyAlignment="1">
      <alignment horizontal="right" vertical="center"/>
    </xf>
    <xf numFmtId="14" fontId="6" fillId="0" borderId="1" xfId="0" applyNumberFormat="1" applyFont="1" applyFill="1" applyBorder="1" applyAlignment="1">
      <alignment horizontal="center" vertical="center"/>
    </xf>
    <xf numFmtId="180" fontId="6" fillId="0" borderId="1" xfId="0" applyNumberFormat="1" applyFont="1" applyFill="1" applyBorder="1" applyAlignment="1">
      <alignment horizontal="right" vertical="center"/>
    </xf>
    <xf numFmtId="176" fontId="16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176" fontId="37" fillId="0" borderId="1" xfId="0" applyFont="1" applyBorder="1" applyAlignment="1">
      <alignment horizontal="center" vertical="center"/>
    </xf>
    <xf numFmtId="14" fontId="40" fillId="0" borderId="1" xfId="0" applyNumberFormat="1" applyFont="1" applyBorder="1" applyAlignment="1">
      <alignment horizontal="center" vertical="center"/>
    </xf>
    <xf numFmtId="180" fontId="16" fillId="0" borderId="0" xfId="0" applyNumberFormat="1" applyFont="1" applyAlignment="1">
      <alignment vertical="center"/>
    </xf>
    <xf numFmtId="176" fontId="50" fillId="0" borderId="3" xfId="0" applyFont="1" applyFill="1" applyBorder="1" applyAlignment="1">
      <alignment horizontal="center" vertical="center" wrapText="1"/>
    </xf>
    <xf numFmtId="176" fontId="8" fillId="0" borderId="1" xfId="0" applyFont="1" applyFill="1" applyBorder="1" applyAlignment="1">
      <alignment horizontal="center" vertical="center" wrapText="1"/>
    </xf>
    <xf numFmtId="176" fontId="37" fillId="0" borderId="1" xfId="0" applyFont="1" applyBorder="1" applyAlignment="1">
      <alignment horizontal="center" vertical="center"/>
    </xf>
    <xf numFmtId="14" fontId="40" fillId="0" borderId="1" xfId="0" applyNumberFormat="1" applyFont="1" applyBorder="1" applyAlignment="1">
      <alignment horizontal="center" vertical="center"/>
    </xf>
    <xf numFmtId="176" fontId="40" fillId="0" borderId="1" xfId="0" applyFont="1" applyBorder="1" applyAlignment="1">
      <alignment horizontal="center" vertical="center"/>
    </xf>
    <xf numFmtId="14" fontId="73" fillId="0" borderId="8" xfId="0" applyNumberFormat="1" applyFont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/>
    </xf>
    <xf numFmtId="43" fontId="6" fillId="0" borderId="1" xfId="5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176" fontId="37" fillId="0" borderId="1" xfId="0" applyFont="1" applyBorder="1" applyAlignment="1">
      <alignment horizontal="center" vertical="center" wrapText="1"/>
    </xf>
    <xf numFmtId="180" fontId="40" fillId="0" borderId="3" xfId="0" applyNumberFormat="1" applyFont="1" applyFill="1" applyBorder="1" applyAlignment="1">
      <alignment horizontal="right" vertical="center"/>
    </xf>
    <xf numFmtId="176" fontId="6" fillId="0" borderId="1" xfId="0" applyFont="1" applyBorder="1" applyAlignment="1">
      <alignment horizontal="center" vertical="center"/>
    </xf>
    <xf numFmtId="176" fontId="45" fillId="0" borderId="1" xfId="0" applyFont="1" applyBorder="1" applyAlignment="1">
      <alignment horizontal="center" vertical="center"/>
    </xf>
    <xf numFmtId="180" fontId="40" fillId="0" borderId="1" xfId="0" applyNumberFormat="1" applyFont="1" applyBorder="1" applyAlignment="1">
      <alignment vertical="center"/>
    </xf>
    <xf numFmtId="176" fontId="28" fillId="0" borderId="1" xfId="0" applyFont="1" applyFill="1" applyBorder="1" applyAlignment="1">
      <alignment horizontal="center" vertical="center" wrapText="1"/>
    </xf>
    <xf numFmtId="180" fontId="6" fillId="0" borderId="1" xfId="0" applyNumberFormat="1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 wrapText="1"/>
    </xf>
    <xf numFmtId="14" fontId="40" fillId="0" borderId="1" xfId="0" applyNumberFormat="1" applyFont="1" applyBorder="1" applyAlignment="1">
      <alignment horizontal="center" vertical="center"/>
    </xf>
    <xf numFmtId="176" fontId="40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76" fontId="6" fillId="0" borderId="1" xfId="0" applyFont="1" applyBorder="1" applyAlignment="1">
      <alignment horizontal="center" vertical="center"/>
    </xf>
    <xf numFmtId="180" fontId="0" fillId="0" borderId="0" xfId="5" applyNumberFormat="1" applyFont="1" applyAlignment="1">
      <alignment horizontal="right" vertical="center"/>
    </xf>
    <xf numFmtId="176" fontId="38" fillId="5" borderId="1" xfId="0" applyFont="1" applyFill="1" applyBorder="1" applyAlignment="1">
      <alignment horizontal="center" vertical="center" wrapText="1"/>
    </xf>
    <xf numFmtId="176" fontId="37" fillId="7" borderId="1" xfId="0" applyFont="1" applyFill="1" applyBorder="1" applyAlignment="1">
      <alignment vertical="center" wrapText="1"/>
    </xf>
    <xf numFmtId="176" fontId="27" fillId="0" borderId="1" xfId="0" applyFont="1" applyFill="1" applyBorder="1" applyAlignment="1">
      <alignment horizontal="center" vertical="center" wrapText="1"/>
    </xf>
    <xf numFmtId="176" fontId="28" fillId="0" borderId="1" xfId="0" applyFont="1" applyFill="1" applyBorder="1" applyAlignment="1">
      <alignment wrapText="1"/>
    </xf>
    <xf numFmtId="176" fontId="28" fillId="0" borderId="0" xfId="0" applyFont="1" applyFill="1" applyBorder="1" applyAlignment="1">
      <alignment wrapText="1"/>
    </xf>
    <xf numFmtId="14" fontId="40" fillId="0" borderId="1" xfId="0" applyNumberFormat="1" applyFont="1" applyBorder="1" applyAlignment="1">
      <alignment horizontal="center" vertical="center"/>
    </xf>
    <xf numFmtId="176" fontId="40" fillId="0" borderId="1" xfId="0" applyFont="1" applyBorder="1" applyAlignment="1">
      <alignment horizontal="center" vertical="center"/>
    </xf>
    <xf numFmtId="14" fontId="6" fillId="9" borderId="1" xfId="0" applyNumberFormat="1" applyFont="1" applyFill="1" applyBorder="1" applyAlignment="1">
      <alignment horizontal="center" vertical="center"/>
    </xf>
    <xf numFmtId="176" fontId="37" fillId="0" borderId="1" xfId="0" applyFont="1" applyBorder="1" applyAlignment="1">
      <alignment horizontal="center" vertical="center"/>
    </xf>
    <xf numFmtId="14" fontId="40" fillId="0" borderId="1" xfId="0" applyNumberFormat="1" applyFont="1" applyBorder="1" applyAlignment="1">
      <alignment horizontal="center" vertical="center"/>
    </xf>
    <xf numFmtId="176" fontId="40" fillId="0" borderId="1" xfId="0" applyFont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/>
    </xf>
    <xf numFmtId="43" fontId="6" fillId="0" borderId="1" xfId="5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176" fontId="37" fillId="0" borderId="1" xfId="0" applyFont="1" applyBorder="1" applyAlignment="1">
      <alignment horizontal="center" vertical="center" wrapText="1"/>
    </xf>
    <xf numFmtId="176" fontId="37" fillId="0" borderId="1" xfId="0" applyFont="1" applyFill="1" applyBorder="1" applyAlignment="1">
      <alignment horizontal="center" vertical="center"/>
    </xf>
    <xf numFmtId="176" fontId="6" fillId="0" borderId="1" xfId="0" applyFont="1" applyBorder="1" applyAlignment="1">
      <alignment horizontal="center" vertical="center"/>
    </xf>
    <xf numFmtId="176" fontId="28" fillId="0" borderId="1" xfId="0" applyFont="1" applyFill="1" applyBorder="1" applyAlignment="1">
      <alignment vertical="center"/>
    </xf>
    <xf numFmtId="176" fontId="0" fillId="0" borderId="1" xfId="0" applyFont="1" applyBorder="1" applyAlignment="1">
      <alignment horizontal="center" vertical="center"/>
    </xf>
    <xf numFmtId="180" fontId="40" fillId="0" borderId="1" xfId="0" applyNumberFormat="1" applyFont="1" applyFill="1" applyBorder="1" applyAlignment="1">
      <alignment horizontal="right" vertical="center"/>
    </xf>
    <xf numFmtId="14" fontId="40" fillId="0" borderId="1" xfId="0" applyNumberFormat="1" applyFont="1" applyFill="1" applyBorder="1" applyAlignment="1">
      <alignment horizontal="center" vertical="center"/>
    </xf>
    <xf numFmtId="180" fontId="6" fillId="0" borderId="1" xfId="0" applyNumberFormat="1" applyFont="1" applyBorder="1" applyAlignment="1">
      <alignment horizontal="right" vertical="center"/>
    </xf>
    <xf numFmtId="180" fontId="6" fillId="0" borderId="1" xfId="0" applyNumberFormat="1" applyFont="1" applyFill="1" applyBorder="1" applyAlignment="1">
      <alignment vertical="center"/>
    </xf>
    <xf numFmtId="14" fontId="6" fillId="0" borderId="1" xfId="0" applyNumberFormat="1" applyFont="1" applyFill="1" applyBorder="1" applyAlignment="1">
      <alignment horizontal="center" vertical="center"/>
    </xf>
    <xf numFmtId="180" fontId="6" fillId="0" borderId="1" xfId="0" applyNumberFormat="1" applyFont="1" applyFill="1" applyBorder="1" applyAlignment="1">
      <alignment horizontal="right" vertical="center"/>
    </xf>
    <xf numFmtId="180" fontId="6" fillId="0" borderId="1" xfId="0" applyNumberFormat="1" applyFont="1" applyBorder="1" applyAlignment="1">
      <alignment horizontal="center" vertical="center"/>
    </xf>
    <xf numFmtId="176" fontId="37" fillId="0" borderId="1" xfId="0" applyFont="1" applyBorder="1" applyAlignment="1">
      <alignment horizontal="center" vertical="center"/>
    </xf>
    <xf numFmtId="14" fontId="40" fillId="0" borderId="1" xfId="0" applyNumberFormat="1" applyFont="1" applyBorder="1" applyAlignment="1">
      <alignment horizontal="center" vertical="center"/>
    </xf>
    <xf numFmtId="14" fontId="40" fillId="0" borderId="3" xfId="0" applyNumberFormat="1" applyFont="1" applyFill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/>
    </xf>
    <xf numFmtId="43" fontId="6" fillId="0" borderId="1" xfId="5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180" fontId="40" fillId="0" borderId="3" xfId="0" applyNumberFormat="1" applyFont="1" applyFill="1" applyBorder="1" applyAlignment="1">
      <alignment horizontal="right" vertical="center"/>
    </xf>
    <xf numFmtId="176" fontId="6" fillId="0" borderId="1" xfId="0" applyFont="1" applyBorder="1" applyAlignment="1">
      <alignment horizontal="center" vertical="center"/>
    </xf>
    <xf numFmtId="14" fontId="37" fillId="0" borderId="1" xfId="0" applyNumberFormat="1" applyFont="1" applyBorder="1" applyAlignment="1">
      <alignment horizontal="center" vertical="center"/>
    </xf>
    <xf numFmtId="183" fontId="40" fillId="0" borderId="1" xfId="0" applyNumberFormat="1" applyFont="1" applyBorder="1" applyAlignment="1">
      <alignment horizontal="right" vertical="center"/>
    </xf>
    <xf numFmtId="180" fontId="40" fillId="0" borderId="1" xfId="0" applyNumberFormat="1" applyFont="1" applyBorder="1" applyAlignment="1">
      <alignment vertical="center"/>
    </xf>
    <xf numFmtId="176" fontId="28" fillId="0" borderId="1" xfId="0" applyFont="1" applyFill="1" applyBorder="1" applyAlignment="1">
      <alignment vertical="center"/>
    </xf>
    <xf numFmtId="176" fontId="50" fillId="0" borderId="3" xfId="0" applyFont="1" applyFill="1" applyBorder="1" applyAlignment="1">
      <alignment horizontal="center" vertical="center"/>
    </xf>
    <xf numFmtId="176" fontId="50" fillId="0" borderId="1" xfId="0" applyFont="1" applyFill="1" applyBorder="1" applyAlignment="1">
      <alignment horizontal="left" vertical="center"/>
    </xf>
    <xf numFmtId="180" fontId="40" fillId="0" borderId="1" xfId="0" applyNumberFormat="1" applyFont="1" applyFill="1" applyBorder="1" applyAlignment="1">
      <alignment horizontal="right" vertical="center"/>
    </xf>
    <xf numFmtId="176" fontId="40" fillId="0" borderId="1" xfId="0" applyFont="1" applyFill="1" applyBorder="1" applyAlignment="1">
      <alignment horizontal="center" vertical="center"/>
    </xf>
    <xf numFmtId="180" fontId="6" fillId="0" borderId="1" xfId="0" applyNumberFormat="1" applyFont="1" applyBorder="1" applyAlignment="1">
      <alignment horizontal="right" vertical="center"/>
    </xf>
    <xf numFmtId="14" fontId="6" fillId="0" borderId="1" xfId="0" applyNumberFormat="1" applyFont="1" applyFill="1" applyBorder="1" applyAlignment="1">
      <alignment horizontal="center" vertical="center"/>
    </xf>
    <xf numFmtId="180" fontId="6" fillId="0" borderId="1" xfId="0" applyNumberFormat="1" applyFont="1" applyFill="1" applyBorder="1" applyAlignment="1">
      <alignment horizontal="right" vertical="center"/>
    </xf>
    <xf numFmtId="14" fontId="73" fillId="0" borderId="3" xfId="0" applyNumberFormat="1" applyFont="1" applyFill="1" applyBorder="1" applyAlignment="1">
      <alignment horizontal="center" vertical="center"/>
    </xf>
    <xf numFmtId="176" fontId="62" fillId="0" borderId="1" xfId="0" applyFont="1" applyBorder="1" applyAlignment="1">
      <alignment horizontal="center" vertical="center"/>
    </xf>
    <xf numFmtId="180" fontId="40" fillId="0" borderId="1" xfId="0" applyNumberFormat="1" applyFont="1" applyBorder="1" applyAlignment="1">
      <alignment horizontal="center" vertical="center"/>
    </xf>
    <xf numFmtId="14" fontId="16" fillId="0" borderId="1" xfId="0" applyNumberFormat="1" applyFont="1" applyBorder="1" applyAlignment="1">
      <alignment horizontal="left" vertical="center"/>
    </xf>
    <xf numFmtId="176" fontId="16" fillId="0" borderId="1" xfId="0" applyFont="1" applyBorder="1" applyAlignment="1">
      <alignment horizontal="center" vertical="center" wrapText="1"/>
    </xf>
    <xf numFmtId="14" fontId="73" fillId="9" borderId="1" xfId="0" applyNumberFormat="1" applyFont="1" applyFill="1" applyBorder="1" applyAlignment="1">
      <alignment horizontal="center" vertical="center"/>
    </xf>
    <xf numFmtId="180" fontId="16" fillId="0" borderId="0" xfId="0" applyNumberFormat="1" applyFont="1" applyBorder="1">
      <alignment vertical="center"/>
    </xf>
    <xf numFmtId="14" fontId="40" fillId="0" borderId="8" xfId="0" applyNumberFormat="1" applyFont="1" applyBorder="1" applyAlignment="1">
      <alignment horizontal="center" vertical="center"/>
    </xf>
    <xf numFmtId="176" fontId="37" fillId="0" borderId="8" xfId="0" applyFont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/>
    </xf>
    <xf numFmtId="43" fontId="6" fillId="0" borderId="1" xfId="5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176" fontId="6" fillId="0" borderId="1" xfId="0" applyFont="1" applyBorder="1" applyAlignment="1">
      <alignment horizontal="center" vertical="center"/>
    </xf>
    <xf numFmtId="176" fontId="45" fillId="0" borderId="1" xfId="0" applyFont="1" applyBorder="1" applyAlignment="1">
      <alignment horizontal="center" vertical="center"/>
    </xf>
    <xf numFmtId="14" fontId="6" fillId="0" borderId="8" xfId="0" applyNumberFormat="1" applyFont="1" applyFill="1" applyBorder="1" applyAlignment="1">
      <alignment horizontal="center" vertical="center"/>
    </xf>
    <xf numFmtId="2" fontId="6" fillId="0" borderId="1" xfId="0" applyNumberFormat="1" applyFont="1" applyBorder="1" applyAlignment="1">
      <alignment horizontal="right" vertical="center"/>
    </xf>
    <xf numFmtId="180" fontId="6" fillId="0" borderId="1" xfId="0" applyNumberFormat="1" applyFont="1" applyBorder="1" applyAlignment="1">
      <alignment horizontal="right" vertical="center"/>
    </xf>
    <xf numFmtId="14" fontId="6" fillId="0" borderId="1" xfId="0" applyNumberFormat="1" applyFont="1" applyFill="1" applyBorder="1" applyAlignment="1">
      <alignment horizontal="center" vertical="center"/>
    </xf>
    <xf numFmtId="180" fontId="6" fillId="0" borderId="1" xfId="0" applyNumberFormat="1" applyFont="1" applyFill="1" applyBorder="1" applyAlignment="1">
      <alignment horizontal="right" vertical="center"/>
    </xf>
    <xf numFmtId="180" fontId="40" fillId="0" borderId="8" xfId="0" applyNumberFormat="1" applyFont="1" applyBorder="1">
      <alignment vertical="center"/>
    </xf>
    <xf numFmtId="176" fontId="37" fillId="0" borderId="1" xfId="0" applyFont="1" applyBorder="1" applyAlignment="1">
      <alignment horizontal="center" vertical="center"/>
    </xf>
    <xf numFmtId="14" fontId="40" fillId="0" borderId="1" xfId="0" applyNumberFormat="1" applyFont="1" applyBorder="1" applyAlignment="1">
      <alignment horizontal="center" vertical="center"/>
    </xf>
    <xf numFmtId="180" fontId="40" fillId="0" borderId="3" xfId="0" applyNumberFormat="1" applyFont="1" applyBorder="1" applyAlignment="1">
      <alignment horizontal="center" vertical="center" wrapText="1"/>
    </xf>
    <xf numFmtId="43" fontId="6" fillId="0" borderId="1" xfId="5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176" fontId="37" fillId="0" borderId="1" xfId="0" applyFont="1" applyBorder="1" applyAlignment="1">
      <alignment horizontal="center" vertical="center" wrapText="1"/>
    </xf>
    <xf numFmtId="14" fontId="40" fillId="0" borderId="1" xfId="0" applyNumberFormat="1" applyFont="1" applyBorder="1" applyAlignment="1">
      <alignment horizontal="center" vertical="center" wrapText="1"/>
    </xf>
    <xf numFmtId="176" fontId="6" fillId="0" borderId="1" xfId="0" applyFont="1" applyBorder="1" applyAlignment="1">
      <alignment horizontal="center" vertical="center"/>
    </xf>
    <xf numFmtId="176" fontId="28" fillId="0" borderId="1" xfId="0" applyFont="1" applyFill="1" applyBorder="1" applyAlignment="1">
      <alignment vertical="center"/>
    </xf>
    <xf numFmtId="180" fontId="6" fillId="0" borderId="1" xfId="0" applyNumberFormat="1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 wrapText="1"/>
    </xf>
    <xf numFmtId="14" fontId="6" fillId="5" borderId="1" xfId="0" applyNumberFormat="1" applyFont="1" applyFill="1" applyBorder="1" applyAlignment="1">
      <alignment horizontal="center" vertical="center"/>
    </xf>
    <xf numFmtId="14" fontId="83" fillId="5" borderId="1" xfId="0" applyNumberFormat="1" applyFont="1" applyFill="1" applyBorder="1" applyAlignment="1">
      <alignment horizontal="center" vertical="center"/>
    </xf>
    <xf numFmtId="176" fontId="6" fillId="5" borderId="1" xfId="0" applyFont="1" applyFill="1" applyBorder="1" applyAlignment="1">
      <alignment horizontal="center"/>
    </xf>
    <xf numFmtId="176" fontId="6" fillId="5" borderId="1" xfId="0" applyFont="1" applyFill="1" applyBorder="1" applyAlignment="1">
      <alignment horizontal="center" vertical="center"/>
    </xf>
    <xf numFmtId="43" fontId="6" fillId="5" borderId="1" xfId="5" applyFont="1" applyFill="1" applyBorder="1" applyAlignment="1">
      <alignment horizontal="center" vertical="center"/>
    </xf>
    <xf numFmtId="176" fontId="37" fillId="0" borderId="1" xfId="0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43" fontId="6" fillId="0" borderId="3" xfId="5" applyFont="1" applyBorder="1" applyAlignment="1">
      <alignment horizontal="right" vertical="center"/>
    </xf>
    <xf numFmtId="180" fontId="6" fillId="0" borderId="3" xfId="0" applyNumberFormat="1" applyFont="1" applyBorder="1" applyAlignment="1">
      <alignment horizontal="right" vertical="center"/>
    </xf>
    <xf numFmtId="14" fontId="40" fillId="0" borderId="1" xfId="0" applyNumberFormat="1" applyFont="1" applyBorder="1" applyAlignment="1">
      <alignment horizontal="center" vertical="center"/>
    </xf>
    <xf numFmtId="176" fontId="40" fillId="0" borderId="1" xfId="0" applyFont="1" applyBorder="1" applyAlignment="1">
      <alignment horizontal="center" vertical="center"/>
    </xf>
    <xf numFmtId="180" fontId="6" fillId="0" borderId="8" xfId="0" applyNumberFormat="1" applyFont="1" applyBorder="1">
      <alignment vertical="center"/>
    </xf>
    <xf numFmtId="14" fontId="73" fillId="0" borderId="3" xfId="0" applyNumberFormat="1" applyFont="1" applyBorder="1" applyAlignment="1">
      <alignment horizontal="center" vertical="center"/>
    </xf>
    <xf numFmtId="43" fontId="73" fillId="0" borderId="3" xfId="5" applyFont="1" applyBorder="1" applyAlignment="1">
      <alignment horizontal="right" vertical="center"/>
    </xf>
    <xf numFmtId="180" fontId="73" fillId="0" borderId="3" xfId="0" applyNumberFormat="1" applyFont="1" applyBorder="1" applyAlignment="1">
      <alignment horizontal="right" vertical="center"/>
    </xf>
    <xf numFmtId="14" fontId="40" fillId="0" borderId="3" xfId="0" applyNumberFormat="1" applyFont="1" applyFill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/>
    </xf>
    <xf numFmtId="43" fontId="6" fillId="0" borderId="1" xfId="5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180" fontId="40" fillId="0" borderId="3" xfId="0" applyNumberFormat="1" applyFont="1" applyFill="1" applyBorder="1" applyAlignment="1">
      <alignment horizontal="right" vertical="center"/>
    </xf>
    <xf numFmtId="176" fontId="6" fillId="0" borderId="1" xfId="0" applyFont="1" applyBorder="1" applyAlignment="1">
      <alignment horizontal="center" vertical="center"/>
    </xf>
    <xf numFmtId="180" fontId="6" fillId="0" borderId="8" xfId="0" applyNumberFormat="1" applyFont="1" applyBorder="1" applyAlignment="1">
      <alignment vertical="center"/>
    </xf>
    <xf numFmtId="14" fontId="6" fillId="0" borderId="3" xfId="0" applyNumberFormat="1" applyFont="1" applyFill="1" applyBorder="1" applyAlignment="1">
      <alignment horizontal="center" vertical="center"/>
    </xf>
    <xf numFmtId="176" fontId="6" fillId="0" borderId="3" xfId="0" applyFont="1" applyFill="1" applyBorder="1" applyAlignment="1">
      <alignment horizontal="center" vertical="center"/>
    </xf>
    <xf numFmtId="180" fontId="40" fillId="0" borderId="1" xfId="0" applyNumberFormat="1" applyFont="1" applyBorder="1" applyAlignment="1">
      <alignment vertical="center"/>
    </xf>
    <xf numFmtId="43" fontId="6" fillId="0" borderId="8" xfId="5" applyFont="1" applyBorder="1" applyAlignment="1">
      <alignment vertical="center"/>
    </xf>
    <xf numFmtId="176" fontId="0" fillId="0" borderId="1" xfId="0" applyFont="1" applyBorder="1" applyAlignment="1">
      <alignment horizontal="center" vertical="center"/>
    </xf>
    <xf numFmtId="176" fontId="40" fillId="0" borderId="1" xfId="0" applyFont="1" applyFill="1" applyBorder="1" applyAlignment="1">
      <alignment horizontal="center" vertical="center"/>
    </xf>
    <xf numFmtId="180" fontId="6" fillId="0" borderId="1" xfId="0" applyNumberFormat="1" applyFont="1" applyBorder="1" applyAlignment="1">
      <alignment horizontal="right" vertical="center"/>
    </xf>
    <xf numFmtId="14" fontId="6" fillId="0" borderId="1" xfId="0" applyNumberFormat="1" applyFont="1" applyFill="1" applyBorder="1" applyAlignment="1">
      <alignment horizontal="center" vertical="center"/>
    </xf>
    <xf numFmtId="180" fontId="6" fillId="0" borderId="1" xfId="0" applyNumberFormat="1" applyFont="1" applyFill="1" applyBorder="1" applyAlignment="1">
      <alignment horizontal="right" vertical="center"/>
    </xf>
    <xf numFmtId="14" fontId="73" fillId="0" borderId="3" xfId="0" applyNumberFormat="1" applyFont="1" applyFill="1" applyBorder="1" applyAlignment="1">
      <alignment horizontal="center" vertical="center"/>
    </xf>
    <xf numFmtId="176" fontId="73" fillId="0" borderId="3" xfId="0" applyFont="1" applyFill="1" applyBorder="1" applyAlignment="1">
      <alignment horizontal="center" vertical="center"/>
    </xf>
    <xf numFmtId="180" fontId="40" fillId="0" borderId="1" xfId="0" applyNumberFormat="1" applyFont="1" applyFill="1" applyBorder="1" applyAlignment="1">
      <alignment horizontal="center" vertical="center" wrapText="1"/>
    </xf>
    <xf numFmtId="180" fontId="37" fillId="0" borderId="0" xfId="0" applyNumberFormat="1" applyFont="1" applyAlignment="1">
      <alignment horizontal="center" vertical="center" wrapText="1"/>
    </xf>
    <xf numFmtId="176" fontId="57" fillId="0" borderId="0" xfId="0" applyFont="1" applyAlignment="1">
      <alignment horizontal="center" vertical="center"/>
    </xf>
    <xf numFmtId="176" fontId="37" fillId="0" borderId="1" xfId="0" applyFont="1" applyBorder="1" applyAlignment="1">
      <alignment horizontal="center" vertical="center"/>
    </xf>
    <xf numFmtId="180" fontId="6" fillId="0" borderId="3" xfId="0" applyNumberFormat="1" applyFont="1" applyBorder="1" applyAlignment="1">
      <alignment horizontal="right" vertical="center"/>
    </xf>
    <xf numFmtId="14" fontId="40" fillId="0" borderId="1" xfId="0" applyNumberFormat="1" applyFont="1" applyBorder="1" applyAlignment="1">
      <alignment horizontal="center" vertical="center"/>
    </xf>
    <xf numFmtId="176" fontId="40" fillId="0" borderId="1" xfId="0" applyFont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/>
    </xf>
    <xf numFmtId="43" fontId="6" fillId="0" borderId="1" xfId="5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176" fontId="6" fillId="0" borderId="1" xfId="0" applyFont="1" applyBorder="1" applyAlignment="1">
      <alignment horizontal="center" vertical="center"/>
    </xf>
    <xf numFmtId="176" fontId="45" fillId="0" borderId="3" xfId="0" applyFont="1" applyBorder="1" applyAlignment="1">
      <alignment horizontal="center" vertical="center"/>
    </xf>
    <xf numFmtId="176" fontId="28" fillId="0" borderId="1" xfId="0" applyFont="1" applyFill="1" applyBorder="1" applyAlignment="1">
      <alignment vertical="center"/>
    </xf>
    <xf numFmtId="180" fontId="6" fillId="0" borderId="1" xfId="0" applyNumberFormat="1" applyFont="1" applyBorder="1" applyAlignment="1">
      <alignment horizontal="right" vertical="center"/>
    </xf>
    <xf numFmtId="176" fontId="16" fillId="0" borderId="1" xfId="0" applyFont="1" applyBorder="1" applyAlignment="1">
      <alignment horizontal="center" vertical="center" wrapText="1"/>
    </xf>
    <xf numFmtId="176" fontId="83" fillId="5" borderId="1" xfId="0" applyFont="1" applyFill="1" applyBorder="1" applyAlignment="1">
      <alignment horizontal="center" vertical="center"/>
    </xf>
    <xf numFmtId="43" fontId="83" fillId="5" borderId="1" xfId="5" applyFont="1" applyFill="1" applyBorder="1" applyAlignment="1">
      <alignment horizontal="center" vertical="center"/>
    </xf>
    <xf numFmtId="176" fontId="83" fillId="5" borderId="1" xfId="0" applyFont="1" applyFill="1" applyBorder="1" applyAlignment="1">
      <alignment horizontal="center"/>
    </xf>
    <xf numFmtId="14" fontId="53" fillId="0" borderId="1" xfId="0" applyNumberFormat="1" applyFont="1" applyBorder="1" applyAlignment="1">
      <alignment horizontal="center" vertical="center"/>
    </xf>
    <xf numFmtId="14" fontId="40" fillId="0" borderId="1" xfId="0" applyNumberFormat="1" applyFont="1" applyBorder="1" applyAlignment="1">
      <alignment horizontal="center" vertical="center"/>
    </xf>
    <xf numFmtId="176" fontId="40" fillId="0" borderId="1" xfId="0" applyFont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76" fontId="37" fillId="0" borderId="1" xfId="0" applyFont="1" applyFill="1" applyBorder="1" applyAlignment="1">
      <alignment horizontal="center" vertical="center"/>
    </xf>
    <xf numFmtId="176" fontId="6" fillId="0" borderId="1" xfId="0" applyFont="1" applyBorder="1" applyAlignment="1">
      <alignment horizontal="center" vertical="center"/>
    </xf>
    <xf numFmtId="176" fontId="28" fillId="0" borderId="1" xfId="0" applyFont="1" applyFill="1" applyBorder="1" applyAlignment="1">
      <alignment vertical="center"/>
    </xf>
    <xf numFmtId="14" fontId="16" fillId="0" borderId="1" xfId="0" applyNumberFormat="1" applyFont="1" applyBorder="1" applyAlignment="1">
      <alignment horizontal="center" vertical="center"/>
    </xf>
    <xf numFmtId="176" fontId="0" fillId="0" borderId="1" xfId="0" applyFont="1" applyBorder="1" applyAlignment="1">
      <alignment horizontal="center" vertical="center"/>
    </xf>
    <xf numFmtId="180" fontId="40" fillId="0" borderId="1" xfId="0" applyNumberFormat="1" applyFont="1" applyFill="1" applyBorder="1" applyAlignment="1">
      <alignment horizontal="right" vertical="center"/>
    </xf>
    <xf numFmtId="14" fontId="40" fillId="0" borderId="1" xfId="0" applyNumberFormat="1" applyFont="1" applyFill="1" applyBorder="1" applyAlignment="1">
      <alignment horizontal="center" vertical="center"/>
    </xf>
    <xf numFmtId="180" fontId="6" fillId="0" borderId="1" xfId="0" applyNumberFormat="1" applyFont="1" applyBorder="1" applyAlignment="1">
      <alignment horizontal="right" vertical="center"/>
    </xf>
    <xf numFmtId="180" fontId="6" fillId="0" borderId="1" xfId="0" applyNumberFormat="1" applyFont="1" applyFill="1" applyBorder="1" applyAlignment="1">
      <alignment horizontal="right" vertical="center"/>
    </xf>
    <xf numFmtId="14" fontId="16" fillId="0" borderId="1" xfId="0" applyNumberFormat="1" applyFont="1" applyBorder="1" applyAlignment="1">
      <alignment horizontal="center" vertical="center" wrapText="1"/>
    </xf>
    <xf numFmtId="176" fontId="37" fillId="0" borderId="1" xfId="0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76" fontId="16" fillId="0" borderId="3" xfId="0" applyFont="1" applyBorder="1" applyAlignment="1">
      <alignment horizontal="center" vertical="center"/>
    </xf>
    <xf numFmtId="14" fontId="40" fillId="0" borderId="1" xfId="0" applyNumberFormat="1" applyFont="1" applyBorder="1" applyAlignment="1">
      <alignment horizontal="center" vertical="center"/>
    </xf>
    <xf numFmtId="180" fontId="6" fillId="0" borderId="3" xfId="0" applyNumberFormat="1" applyFont="1" applyBorder="1">
      <alignment vertical="center"/>
    </xf>
    <xf numFmtId="14" fontId="6" fillId="0" borderId="1" xfId="0" applyNumberFormat="1" applyFont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/>
    </xf>
    <xf numFmtId="176" fontId="16" fillId="0" borderId="3" xfId="0" applyFont="1" applyBorder="1" applyAlignment="1">
      <alignment horizontal="center" vertical="center" wrapText="1"/>
    </xf>
    <xf numFmtId="176" fontId="37" fillId="0" borderId="1" xfId="0" applyFont="1" applyBorder="1" applyAlignment="1">
      <alignment horizontal="center" vertical="center" wrapText="1"/>
    </xf>
    <xf numFmtId="176" fontId="6" fillId="0" borderId="1" xfId="0" applyFont="1" applyBorder="1" applyAlignment="1">
      <alignment horizontal="center" vertical="center"/>
    </xf>
    <xf numFmtId="176" fontId="28" fillId="0" borderId="1" xfId="0" applyFont="1" applyFill="1" applyBorder="1" applyAlignment="1">
      <alignment vertical="center"/>
    </xf>
    <xf numFmtId="14" fontId="16" fillId="0" borderId="1" xfId="0" applyNumberFormat="1" applyFont="1" applyBorder="1" applyAlignment="1">
      <alignment horizontal="center" vertical="center"/>
    </xf>
    <xf numFmtId="180" fontId="6" fillId="0" borderId="1" xfId="0" applyNumberFormat="1" applyFont="1" applyBorder="1" applyAlignment="1">
      <alignment horizontal="right" vertical="center"/>
    </xf>
    <xf numFmtId="180" fontId="6" fillId="0" borderId="1" xfId="0" applyNumberFormat="1" applyFont="1" applyFill="1" applyBorder="1" applyAlignment="1">
      <alignment vertical="center"/>
    </xf>
    <xf numFmtId="14" fontId="6" fillId="0" borderId="1" xfId="0" applyNumberFormat="1" applyFont="1" applyFill="1" applyBorder="1" applyAlignment="1">
      <alignment horizontal="center" vertical="center"/>
    </xf>
    <xf numFmtId="180" fontId="6" fillId="0" borderId="1" xfId="0" applyNumberFormat="1" applyFont="1" applyFill="1" applyBorder="1" applyAlignment="1">
      <alignment horizontal="right" vertical="center"/>
    </xf>
    <xf numFmtId="176" fontId="16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176" fontId="16" fillId="0" borderId="3" xfId="0" applyFont="1" applyBorder="1">
      <alignment vertical="center"/>
    </xf>
    <xf numFmtId="176" fontId="1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76" fontId="37" fillId="0" borderId="1" xfId="0" applyFont="1" applyBorder="1" applyAlignment="1">
      <alignment horizontal="center" vertical="center" wrapText="1"/>
    </xf>
    <xf numFmtId="14" fontId="40" fillId="0" borderId="1" xfId="0" applyNumberFormat="1" applyFont="1" applyBorder="1" applyAlignment="1">
      <alignment horizontal="center" vertical="center" wrapText="1"/>
    </xf>
    <xf numFmtId="176" fontId="6" fillId="0" borderId="1" xfId="0" applyFont="1" applyBorder="1" applyAlignment="1">
      <alignment horizontal="center" vertical="center"/>
    </xf>
    <xf numFmtId="176" fontId="37" fillId="0" borderId="1" xfId="0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76" fontId="16" fillId="0" borderId="3" xfId="0" applyFont="1" applyBorder="1" applyAlignment="1">
      <alignment horizontal="center" vertical="center"/>
    </xf>
    <xf numFmtId="14" fontId="40" fillId="0" borderId="1" xfId="0" applyNumberFormat="1" applyFont="1" applyBorder="1" applyAlignment="1">
      <alignment horizontal="center" vertical="center"/>
    </xf>
    <xf numFmtId="176" fontId="40" fillId="0" borderId="1" xfId="0" applyFont="1" applyBorder="1" applyAlignment="1">
      <alignment horizontal="center" vertical="center"/>
    </xf>
    <xf numFmtId="180" fontId="6" fillId="0" borderId="8" xfId="0" applyNumberFormat="1" applyFont="1" applyBorder="1">
      <alignment vertical="center"/>
    </xf>
    <xf numFmtId="180" fontId="6" fillId="0" borderId="3" xfId="0" applyNumberFormat="1" applyFont="1" applyBorder="1">
      <alignment vertical="center"/>
    </xf>
    <xf numFmtId="43" fontId="6" fillId="0" borderId="1" xfId="5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/>
    </xf>
    <xf numFmtId="176" fontId="6" fillId="0" borderId="1" xfId="0" applyFont="1" applyBorder="1" applyAlignment="1">
      <alignment horizontal="center" vertical="center"/>
    </xf>
    <xf numFmtId="176" fontId="28" fillId="0" borderId="1" xfId="0" applyFont="1" applyFill="1" applyBorder="1" applyAlignment="1">
      <alignment vertical="center"/>
    </xf>
    <xf numFmtId="180" fontId="6" fillId="0" borderId="1" xfId="0" applyNumberFormat="1" applyFont="1" applyBorder="1" applyAlignment="1">
      <alignment horizontal="right" vertical="center"/>
    </xf>
    <xf numFmtId="14" fontId="6" fillId="0" borderId="1" xfId="0" applyNumberFormat="1" applyFont="1" applyFill="1" applyBorder="1" applyAlignment="1">
      <alignment horizontal="center" vertical="center"/>
    </xf>
    <xf numFmtId="180" fontId="6" fillId="0" borderId="1" xfId="0" applyNumberFormat="1" applyFont="1" applyFill="1" applyBorder="1" applyAlignment="1">
      <alignment horizontal="right" vertical="center"/>
    </xf>
    <xf numFmtId="14" fontId="16" fillId="0" borderId="1" xfId="0" applyNumberFormat="1" applyFont="1" applyBorder="1" applyAlignment="1">
      <alignment horizontal="left" vertical="center"/>
    </xf>
    <xf numFmtId="2" fontId="6" fillId="0" borderId="1" xfId="0" applyNumberFormat="1" applyFont="1" applyBorder="1" applyAlignment="1">
      <alignment horizontal="center" vertical="center"/>
    </xf>
    <xf numFmtId="176" fontId="37" fillId="0" borderId="1" xfId="0" applyFont="1" applyBorder="1" applyAlignment="1">
      <alignment horizontal="center" vertical="center"/>
    </xf>
    <xf numFmtId="14" fontId="40" fillId="0" borderId="1" xfId="0" applyNumberFormat="1" applyFont="1" applyBorder="1" applyAlignment="1">
      <alignment horizontal="center" vertical="center"/>
    </xf>
    <xf numFmtId="176" fontId="40" fillId="0" borderId="1" xfId="0" applyFont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80" fontId="40" fillId="0" borderId="1" xfId="0" applyNumberFormat="1" applyFont="1" applyBorder="1" applyAlignment="1">
      <alignment horizontal="right" vertical="center"/>
    </xf>
    <xf numFmtId="176" fontId="6" fillId="0" borderId="1" xfId="0" applyFont="1" applyBorder="1" applyAlignment="1">
      <alignment horizontal="center" vertical="center"/>
    </xf>
    <xf numFmtId="176" fontId="45" fillId="0" borderId="1" xfId="0" applyFont="1" applyBorder="1" applyAlignment="1">
      <alignment horizontal="center" vertical="center"/>
    </xf>
    <xf numFmtId="176" fontId="28" fillId="0" borderId="1" xfId="0" applyFont="1" applyFill="1" applyBorder="1" applyAlignment="1">
      <alignment vertical="center"/>
    </xf>
    <xf numFmtId="180" fontId="6" fillId="0" borderId="1" xfId="0" applyNumberFormat="1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 wrapText="1"/>
    </xf>
    <xf numFmtId="176" fontId="37" fillId="0" borderId="1" xfId="0" applyFont="1" applyBorder="1" applyAlignment="1">
      <alignment horizontal="center" vertical="center"/>
    </xf>
    <xf numFmtId="14" fontId="40" fillId="0" borderId="1" xfId="0" applyNumberFormat="1" applyFont="1" applyBorder="1" applyAlignment="1">
      <alignment horizontal="center" vertical="center"/>
    </xf>
    <xf numFmtId="14" fontId="73" fillId="0" borderId="8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/>
    </xf>
    <xf numFmtId="176" fontId="6" fillId="0" borderId="1" xfId="0" applyFont="1" applyBorder="1" applyAlignment="1">
      <alignment horizontal="center" vertical="center"/>
    </xf>
    <xf numFmtId="176" fontId="28" fillId="0" borderId="1" xfId="0" applyFont="1" applyFill="1" applyBorder="1" applyAlignment="1">
      <alignment vertical="center"/>
    </xf>
    <xf numFmtId="176" fontId="0" fillId="0" borderId="1" xfId="0" applyFont="1" applyBorder="1" applyAlignment="1">
      <alignment horizontal="center" vertical="center"/>
    </xf>
    <xf numFmtId="180" fontId="6" fillId="0" borderId="1" xfId="0" applyNumberFormat="1" applyFont="1" applyBorder="1" applyAlignment="1">
      <alignment horizontal="right" vertical="center"/>
    </xf>
    <xf numFmtId="176" fontId="16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176" fontId="73" fillId="0" borderId="8" xfId="0" applyFont="1" applyBorder="1" applyAlignment="1">
      <alignment vertical="center"/>
    </xf>
    <xf numFmtId="180" fontId="62" fillId="0" borderId="1" xfId="0" applyNumberFormat="1" applyFont="1" applyBorder="1" applyAlignment="1">
      <alignment horizontal="right" vertical="center"/>
    </xf>
    <xf numFmtId="176" fontId="6" fillId="0" borderId="1" xfId="0" applyFont="1" applyBorder="1" applyAlignment="1">
      <alignment horizontal="center" vertical="center"/>
    </xf>
    <xf numFmtId="180" fontId="6" fillId="0" borderId="1" xfId="0" applyNumberFormat="1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 wrapText="1"/>
    </xf>
    <xf numFmtId="176" fontId="37" fillId="0" borderId="1" xfId="0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76" fontId="16" fillId="0" borderId="3" xfId="0" applyFont="1" applyBorder="1" applyAlignment="1">
      <alignment horizontal="center" vertical="center"/>
    </xf>
    <xf numFmtId="14" fontId="40" fillId="0" borderId="1" xfId="0" applyNumberFormat="1" applyFont="1" applyBorder="1" applyAlignment="1">
      <alignment horizontal="center" vertical="center"/>
    </xf>
    <xf numFmtId="180" fontId="6" fillId="0" borderId="3" xfId="0" applyNumberFormat="1" applyFont="1" applyBorder="1">
      <alignment vertical="center"/>
    </xf>
    <xf numFmtId="14" fontId="40" fillId="0" borderId="3" xfId="0" applyNumberFormat="1" applyFont="1" applyFill="1" applyBorder="1" applyAlignment="1">
      <alignment horizontal="center" vertical="center"/>
    </xf>
    <xf numFmtId="43" fontId="6" fillId="0" borderId="1" xfId="5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/>
    </xf>
    <xf numFmtId="180" fontId="40" fillId="0" borderId="3" xfId="0" applyNumberFormat="1" applyFont="1" applyFill="1" applyBorder="1" applyAlignment="1">
      <alignment horizontal="right" vertical="center"/>
    </xf>
    <xf numFmtId="176" fontId="6" fillId="0" borderId="1" xfId="0" applyFont="1" applyBorder="1" applyAlignment="1">
      <alignment horizontal="center" vertical="center"/>
    </xf>
    <xf numFmtId="176" fontId="50" fillId="0" borderId="3" xfId="0" applyFont="1" applyFill="1" applyBorder="1" applyAlignment="1">
      <alignment horizontal="center" vertical="center"/>
    </xf>
    <xf numFmtId="176" fontId="50" fillId="0" borderId="1" xfId="0" applyFont="1" applyFill="1" applyBorder="1" applyAlignment="1">
      <alignment horizontal="left" vertical="center"/>
    </xf>
    <xf numFmtId="180" fontId="6" fillId="0" borderId="1" xfId="0" applyNumberFormat="1" applyFont="1" applyBorder="1" applyAlignment="1">
      <alignment horizontal="right" vertical="center"/>
    </xf>
    <xf numFmtId="14" fontId="6" fillId="0" borderId="1" xfId="0" applyNumberFormat="1" applyFont="1" applyFill="1" applyBorder="1" applyAlignment="1">
      <alignment horizontal="center" vertical="center"/>
    </xf>
    <xf numFmtId="180" fontId="6" fillId="0" borderId="1" xfId="0" applyNumberFormat="1" applyFont="1" applyFill="1" applyBorder="1" applyAlignment="1">
      <alignment horizontal="right" vertical="center"/>
    </xf>
    <xf numFmtId="14" fontId="73" fillId="0" borderId="3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176" fontId="37" fillId="0" borderId="1" xfId="0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80" fontId="6" fillId="0" borderId="3" xfId="0" applyNumberFormat="1" applyFont="1" applyBorder="1" applyAlignment="1">
      <alignment horizontal="right" vertical="center"/>
    </xf>
    <xf numFmtId="176" fontId="6" fillId="0" borderId="8" xfId="0" applyFont="1" applyBorder="1" applyAlignment="1">
      <alignment vertical="center"/>
    </xf>
    <xf numFmtId="176" fontId="16" fillId="0" borderId="8" xfId="0" applyFont="1" applyBorder="1" applyAlignment="1">
      <alignment horizontal="center" vertical="center"/>
    </xf>
    <xf numFmtId="176" fontId="16" fillId="0" borderId="3" xfId="0" applyFont="1" applyBorder="1" applyAlignment="1">
      <alignment horizontal="center" vertical="center"/>
    </xf>
    <xf numFmtId="180" fontId="6" fillId="0" borderId="8" xfId="0" applyNumberFormat="1" applyFont="1" applyBorder="1">
      <alignment vertical="center"/>
    </xf>
    <xf numFmtId="14" fontId="40" fillId="0" borderId="1" xfId="0" applyNumberFormat="1" applyFont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/>
    </xf>
    <xf numFmtId="43" fontId="6" fillId="0" borderId="1" xfId="5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176" fontId="37" fillId="0" borderId="1" xfId="0" applyFont="1" applyBorder="1" applyAlignment="1">
      <alignment horizontal="center" vertical="center" wrapText="1"/>
    </xf>
    <xf numFmtId="176" fontId="6" fillId="0" borderId="1" xfId="0" applyFont="1" applyBorder="1" applyAlignment="1">
      <alignment horizontal="center" vertical="center"/>
    </xf>
    <xf numFmtId="180" fontId="6" fillId="0" borderId="8" xfId="0" applyNumberFormat="1" applyFont="1" applyBorder="1" applyAlignment="1">
      <alignment vertical="center"/>
    </xf>
    <xf numFmtId="176" fontId="28" fillId="0" borderId="1" xfId="0" applyFont="1" applyFill="1" applyBorder="1" applyAlignment="1">
      <alignment vertical="center"/>
    </xf>
    <xf numFmtId="176" fontId="0" fillId="0" borderId="1" xfId="0" applyFont="1" applyBorder="1" applyAlignment="1">
      <alignment horizontal="center" vertical="center"/>
    </xf>
    <xf numFmtId="180" fontId="6" fillId="0" borderId="1" xfId="0" applyNumberFormat="1" applyFont="1" applyBorder="1" applyAlignment="1">
      <alignment horizontal="right" vertical="center"/>
    </xf>
    <xf numFmtId="14" fontId="6" fillId="0" borderId="1" xfId="0" applyNumberFormat="1" applyFont="1" applyFill="1" applyBorder="1" applyAlignment="1">
      <alignment horizontal="center" vertical="center"/>
    </xf>
    <xf numFmtId="180" fontId="6" fillId="0" borderId="1" xfId="0" applyNumberFormat="1" applyFont="1" applyFill="1" applyBorder="1" applyAlignment="1">
      <alignment horizontal="right" vertical="center"/>
    </xf>
    <xf numFmtId="176" fontId="16" fillId="0" borderId="1" xfId="0" applyFont="1" applyBorder="1" applyAlignment="1">
      <alignment horizontal="center" vertical="center" wrapText="1"/>
    </xf>
    <xf numFmtId="176" fontId="16" fillId="0" borderId="8" xfId="0" applyFont="1" applyBorder="1" applyAlignment="1">
      <alignment vertical="center"/>
    </xf>
    <xf numFmtId="176" fontId="47" fillId="0" borderId="7" xfId="0" applyFont="1" applyFill="1" applyBorder="1" applyAlignment="1">
      <alignment horizontal="center" vertical="center" wrapText="1"/>
    </xf>
    <xf numFmtId="176" fontId="37" fillId="0" borderId="1" xfId="0" applyFont="1" applyBorder="1" applyAlignment="1">
      <alignment horizontal="center" vertical="center"/>
    </xf>
    <xf numFmtId="180" fontId="6" fillId="0" borderId="3" xfId="0" applyNumberFormat="1" applyFont="1" applyBorder="1" applyAlignment="1">
      <alignment horizontal="right" vertical="center"/>
    </xf>
    <xf numFmtId="14" fontId="40" fillId="0" borderId="1" xfId="0" applyNumberFormat="1" applyFont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/>
    </xf>
    <xf numFmtId="43" fontId="6" fillId="0" borderId="1" xfId="5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180" fontId="6" fillId="0" borderId="3" xfId="0" applyNumberFormat="1" applyFont="1" applyFill="1" applyBorder="1" applyAlignment="1">
      <alignment horizontal="right" vertical="center"/>
    </xf>
    <xf numFmtId="176" fontId="6" fillId="0" borderId="1" xfId="0" applyFont="1" applyBorder="1" applyAlignment="1">
      <alignment horizontal="center" vertical="center"/>
    </xf>
    <xf numFmtId="176" fontId="45" fillId="0" borderId="3" xfId="0" applyFont="1" applyBorder="1" applyAlignment="1">
      <alignment horizontal="center" vertical="center"/>
    </xf>
    <xf numFmtId="14" fontId="6" fillId="0" borderId="3" xfId="0" applyNumberFormat="1" applyFont="1" applyFill="1" applyBorder="1" applyAlignment="1">
      <alignment horizontal="center" vertical="center"/>
    </xf>
    <xf numFmtId="176" fontId="0" fillId="0" borderId="1" xfId="0" applyFont="1" applyBorder="1" applyAlignment="1">
      <alignment horizontal="center" vertical="center"/>
    </xf>
    <xf numFmtId="180" fontId="6" fillId="0" borderId="1" xfId="0" applyNumberFormat="1" applyFont="1" applyBorder="1" applyAlignment="1">
      <alignment horizontal="right" vertical="center"/>
    </xf>
    <xf numFmtId="176" fontId="8" fillId="0" borderId="1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180" fontId="6" fillId="0" borderId="1" xfId="0" applyNumberFormat="1" applyFont="1" applyFill="1" applyBorder="1" applyAlignment="1">
      <alignment horizontal="right" vertical="center"/>
    </xf>
    <xf numFmtId="14" fontId="53" fillId="0" borderId="1" xfId="0" applyNumberFormat="1" applyFont="1" applyFill="1" applyBorder="1" applyAlignment="1">
      <alignment horizontal="center" vertical="center"/>
    </xf>
    <xf numFmtId="176" fontId="37" fillId="0" borderId="1" xfId="0" applyFont="1" applyBorder="1" applyAlignment="1">
      <alignment horizontal="center" vertical="center"/>
    </xf>
    <xf numFmtId="14" fontId="40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/>
    </xf>
    <xf numFmtId="14" fontId="40" fillId="0" borderId="1" xfId="0" applyNumberFormat="1" applyFont="1" applyBorder="1" applyAlignment="1">
      <alignment horizontal="center" vertical="center" wrapText="1"/>
    </xf>
    <xf numFmtId="176" fontId="37" fillId="0" borderId="1" xfId="0" applyFont="1" applyBorder="1" applyAlignment="1">
      <alignment horizontal="center" vertical="center" wrapText="1"/>
    </xf>
    <xf numFmtId="176" fontId="37" fillId="0" borderId="1" xfId="0" applyFont="1" applyFill="1" applyBorder="1" applyAlignment="1">
      <alignment horizontal="center" vertical="center"/>
    </xf>
    <xf numFmtId="176" fontId="6" fillId="0" borderId="1" xfId="0" applyFont="1" applyBorder="1" applyAlignment="1">
      <alignment horizontal="center" vertical="center"/>
    </xf>
    <xf numFmtId="180" fontId="40" fillId="0" borderId="1" xfId="0" applyNumberFormat="1" applyFont="1" applyBorder="1" applyAlignment="1">
      <alignment vertical="center"/>
    </xf>
    <xf numFmtId="176" fontId="28" fillId="0" borderId="1" xfId="0" applyFont="1" applyFill="1" applyBorder="1" applyAlignment="1">
      <alignment vertical="center"/>
    </xf>
    <xf numFmtId="176" fontId="0" fillId="0" borderId="1" xfId="0" applyFont="1" applyBorder="1" applyAlignment="1">
      <alignment horizontal="center" vertical="center"/>
    </xf>
    <xf numFmtId="180" fontId="40" fillId="0" borderId="1" xfId="0" applyNumberFormat="1" applyFont="1" applyFill="1" applyBorder="1" applyAlignment="1">
      <alignment horizontal="right" vertical="center"/>
    </xf>
    <xf numFmtId="14" fontId="40" fillId="0" borderId="1" xfId="0" applyNumberFormat="1" applyFont="1" applyFill="1" applyBorder="1" applyAlignment="1">
      <alignment horizontal="center" vertical="center"/>
    </xf>
    <xf numFmtId="180" fontId="6" fillId="0" borderId="1" xfId="0" applyNumberFormat="1" applyFont="1" applyFill="1" applyBorder="1" applyAlignment="1">
      <alignment vertical="center"/>
    </xf>
    <xf numFmtId="14" fontId="6" fillId="0" borderId="1" xfId="0" applyNumberFormat="1" applyFont="1" applyFill="1" applyBorder="1" applyAlignment="1">
      <alignment horizontal="center" vertical="center"/>
    </xf>
    <xf numFmtId="180" fontId="6" fillId="0" borderId="1" xfId="0" applyNumberFormat="1" applyFont="1" applyFill="1" applyBorder="1" applyAlignment="1">
      <alignment horizontal="right" vertical="center"/>
    </xf>
    <xf numFmtId="176" fontId="37" fillId="0" borderId="1" xfId="0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76" fontId="16" fillId="0" borderId="3" xfId="0" applyFont="1" applyBorder="1" applyAlignment="1">
      <alignment horizontal="center" vertical="center"/>
    </xf>
    <xf numFmtId="180" fontId="6" fillId="0" borderId="3" xfId="0" applyNumberFormat="1" applyFont="1" applyBorder="1">
      <alignment vertical="center"/>
    </xf>
    <xf numFmtId="14" fontId="40" fillId="0" borderId="1" xfId="0" applyNumberFormat="1" applyFont="1" applyBorder="1" applyAlignment="1">
      <alignment horizontal="center" vertical="center"/>
    </xf>
    <xf numFmtId="176" fontId="40" fillId="0" borderId="1" xfId="0" applyFont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/>
    </xf>
    <xf numFmtId="43" fontId="6" fillId="0" borderId="1" xfId="5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180" fontId="40" fillId="0" borderId="1" xfId="0" applyNumberFormat="1" applyFont="1" applyBorder="1" applyAlignment="1">
      <alignment horizontal="right" vertical="center"/>
    </xf>
    <xf numFmtId="176" fontId="37" fillId="0" borderId="1" xfId="0" applyFont="1" applyBorder="1" applyAlignment="1">
      <alignment horizontal="center" vertical="center" wrapText="1"/>
    </xf>
    <xf numFmtId="14" fontId="40" fillId="0" borderId="1" xfId="0" applyNumberFormat="1" applyFont="1" applyBorder="1" applyAlignment="1">
      <alignment horizontal="center" vertical="center" wrapText="1"/>
    </xf>
    <xf numFmtId="176" fontId="37" fillId="0" borderId="1" xfId="0" applyFont="1" applyFill="1" applyBorder="1" applyAlignment="1">
      <alignment horizontal="center" vertical="center"/>
    </xf>
    <xf numFmtId="176" fontId="6" fillId="0" borderId="1" xfId="0" applyFont="1" applyBorder="1" applyAlignment="1">
      <alignment horizontal="center" vertical="center"/>
    </xf>
    <xf numFmtId="180" fontId="40" fillId="0" borderId="1" xfId="0" applyNumberFormat="1" applyFont="1" applyBorder="1" applyAlignment="1">
      <alignment vertical="center"/>
    </xf>
    <xf numFmtId="176" fontId="28" fillId="0" borderId="1" xfId="0" applyFont="1" applyFill="1" applyBorder="1" applyAlignment="1">
      <alignment vertical="center"/>
    </xf>
    <xf numFmtId="180" fontId="40" fillId="0" borderId="1" xfId="0" applyNumberFormat="1" applyFont="1" applyFill="1" applyBorder="1" applyAlignment="1">
      <alignment horizontal="right" vertical="center"/>
    </xf>
    <xf numFmtId="14" fontId="40" fillId="0" borderId="1" xfId="0" applyNumberFormat="1" applyFont="1" applyFill="1" applyBorder="1" applyAlignment="1">
      <alignment horizontal="center" vertical="center"/>
    </xf>
    <xf numFmtId="180" fontId="6" fillId="0" borderId="1" xfId="0" applyNumberFormat="1" applyFont="1" applyBorder="1" applyAlignment="1">
      <alignment horizontal="right" vertical="center"/>
    </xf>
    <xf numFmtId="180" fontId="6" fillId="0" borderId="1" xfId="0" applyNumberFormat="1" applyFont="1" applyFill="1" applyBorder="1" applyAlignment="1">
      <alignment horizontal="right" vertical="center"/>
    </xf>
    <xf numFmtId="14" fontId="40" fillId="0" borderId="1" xfId="0" applyNumberFormat="1" applyFont="1" applyBorder="1" applyAlignment="1">
      <alignment vertical="center"/>
    </xf>
    <xf numFmtId="14" fontId="0" fillId="0" borderId="0" xfId="0" applyNumberFormat="1" applyAlignment="1">
      <alignment vertical="center"/>
    </xf>
    <xf numFmtId="180" fontId="0" fillId="0" borderId="0" xfId="5" applyNumberFormat="1" applyFont="1" applyAlignment="1">
      <alignment vertical="center"/>
    </xf>
    <xf numFmtId="176" fontId="37" fillId="0" borderId="1" xfId="0" applyFont="1" applyBorder="1" applyAlignment="1">
      <alignment horizontal="center" vertical="center"/>
    </xf>
    <xf numFmtId="14" fontId="40" fillId="0" borderId="1" xfId="0" applyNumberFormat="1" applyFont="1" applyBorder="1" applyAlignment="1">
      <alignment horizontal="center" vertical="center"/>
    </xf>
    <xf numFmtId="176" fontId="40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43" fontId="6" fillId="0" borderId="8" xfId="5" applyFont="1" applyBorder="1" applyAlignment="1">
      <alignment horizontal="center" vertical="center"/>
    </xf>
    <xf numFmtId="176" fontId="16" fillId="0" borderId="8" xfId="0" applyFont="1" applyBorder="1" applyAlignment="1">
      <alignment horizontal="center" vertical="center"/>
    </xf>
    <xf numFmtId="176" fontId="16" fillId="0" borderId="3" xfId="0" applyFont="1" applyBorder="1" applyAlignment="1">
      <alignment horizontal="center" vertical="center"/>
    </xf>
    <xf numFmtId="180" fontId="6" fillId="0" borderId="8" xfId="0" applyNumberFormat="1" applyFont="1" applyBorder="1">
      <alignment vertical="center"/>
    </xf>
    <xf numFmtId="180" fontId="6" fillId="0" borderId="8" xfId="0" applyNumberFormat="1" applyFont="1" applyBorder="1" applyAlignment="1">
      <alignment horizontal="center" vertical="center" wrapText="1"/>
    </xf>
    <xf numFmtId="180" fontId="6" fillId="0" borderId="3" xfId="0" applyNumberFormat="1" applyFont="1" applyBorder="1" applyAlignment="1">
      <alignment horizontal="center" vertical="center" wrapText="1"/>
    </xf>
    <xf numFmtId="43" fontId="6" fillId="0" borderId="1" xfId="5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/>
    </xf>
    <xf numFmtId="176" fontId="37" fillId="0" borderId="1" xfId="0" applyFont="1" applyFill="1" applyBorder="1" applyAlignment="1">
      <alignment horizontal="center" vertical="center"/>
    </xf>
    <xf numFmtId="176" fontId="6" fillId="0" borderId="1" xfId="0" applyFont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180" fontId="6" fillId="0" borderId="1" xfId="0" applyNumberFormat="1" applyFont="1" applyFill="1" applyBorder="1" applyAlignment="1">
      <alignment horizontal="right" vertical="center"/>
    </xf>
    <xf numFmtId="180" fontId="6" fillId="0" borderId="1" xfId="0" applyNumberFormat="1" applyFont="1" applyBorder="1" applyAlignment="1">
      <alignment horizontal="right" vertical="center"/>
    </xf>
    <xf numFmtId="176" fontId="16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176" fontId="16" fillId="4" borderId="1" xfId="0" applyFont="1" applyFill="1" applyBorder="1" applyAlignment="1">
      <alignment horizontal="center" vertical="center"/>
    </xf>
    <xf numFmtId="176" fontId="37" fillId="0" borderId="1" xfId="0" applyFont="1" applyBorder="1" applyAlignment="1">
      <alignment horizontal="center" vertical="center"/>
    </xf>
    <xf numFmtId="14" fontId="40" fillId="0" borderId="3" xfId="0" applyNumberFormat="1" applyFont="1" applyBorder="1" applyAlignment="1">
      <alignment horizontal="center" vertical="center"/>
    </xf>
    <xf numFmtId="14" fontId="40" fillId="0" borderId="1" xfId="0" applyNumberFormat="1" applyFont="1" applyBorder="1" applyAlignment="1">
      <alignment horizontal="center" vertical="center"/>
    </xf>
    <xf numFmtId="180" fontId="40" fillId="0" borderId="3" xfId="0" applyNumberFormat="1" applyFont="1" applyBorder="1">
      <alignment vertical="center"/>
    </xf>
    <xf numFmtId="14" fontId="40" fillId="0" borderId="3" xfId="0" applyNumberFormat="1" applyFont="1" applyFill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80" fontId="40" fillId="0" borderId="1" xfId="0" applyNumberFormat="1" applyFont="1" applyBorder="1" applyAlignment="1">
      <alignment horizontal="right" vertical="center"/>
    </xf>
    <xf numFmtId="180" fontId="40" fillId="0" borderId="3" xfId="0" applyNumberFormat="1" applyFont="1" applyFill="1" applyBorder="1" applyAlignment="1">
      <alignment horizontal="right" vertical="center"/>
    </xf>
    <xf numFmtId="176" fontId="6" fillId="0" borderId="1" xfId="0" applyFont="1" applyBorder="1" applyAlignment="1">
      <alignment horizontal="center" vertical="center"/>
    </xf>
    <xf numFmtId="14" fontId="37" fillId="0" borderId="1" xfId="0" applyNumberFormat="1" applyFont="1" applyBorder="1" applyAlignment="1">
      <alignment horizontal="center" vertical="center"/>
    </xf>
    <xf numFmtId="180" fontId="40" fillId="0" borderId="1" xfId="0" applyNumberFormat="1" applyFont="1" applyBorder="1" applyAlignment="1">
      <alignment vertical="center"/>
    </xf>
    <xf numFmtId="180" fontId="6" fillId="0" borderId="1" xfId="0" applyNumberFormat="1" applyFont="1" applyFill="1" applyBorder="1" applyAlignment="1">
      <alignment horizontal="right" vertical="center"/>
    </xf>
    <xf numFmtId="176" fontId="40" fillId="0" borderId="1" xfId="0" applyFont="1" applyFill="1" applyBorder="1" applyAlignment="1">
      <alignment horizontal="center" vertical="center"/>
    </xf>
    <xf numFmtId="180" fontId="6" fillId="0" borderId="1" xfId="0" applyNumberFormat="1" applyFont="1" applyBorder="1" applyAlignment="1">
      <alignment horizontal="right" vertical="center"/>
    </xf>
    <xf numFmtId="176" fontId="37" fillId="0" borderId="1" xfId="0" applyFont="1" applyBorder="1" applyAlignment="1">
      <alignment horizontal="center" vertical="center"/>
    </xf>
    <xf numFmtId="14" fontId="40" fillId="0" borderId="1" xfId="0" applyNumberFormat="1" applyFont="1" applyBorder="1" applyAlignment="1">
      <alignment horizontal="center" vertical="center"/>
    </xf>
    <xf numFmtId="43" fontId="6" fillId="0" borderId="1" xfId="5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/>
    </xf>
    <xf numFmtId="14" fontId="40" fillId="0" borderId="1" xfId="0" applyNumberFormat="1" applyFont="1" applyBorder="1" applyAlignment="1">
      <alignment horizontal="center" vertical="center" wrapText="1"/>
    </xf>
    <xf numFmtId="176" fontId="37" fillId="0" borderId="1" xfId="0" applyFont="1" applyBorder="1" applyAlignment="1">
      <alignment horizontal="center" vertical="center" wrapText="1"/>
    </xf>
    <xf numFmtId="176" fontId="6" fillId="0" borderId="1" xfId="0" applyFont="1" applyBorder="1" applyAlignment="1">
      <alignment horizontal="center" vertical="center"/>
    </xf>
    <xf numFmtId="176" fontId="28" fillId="0" borderId="1" xfId="0" applyFont="1" applyFill="1" applyBorder="1" applyAlignment="1">
      <alignment vertical="center"/>
    </xf>
    <xf numFmtId="14" fontId="6" fillId="0" borderId="1" xfId="0" applyNumberFormat="1" applyFont="1" applyFill="1" applyBorder="1" applyAlignment="1">
      <alignment horizontal="center" vertical="center"/>
    </xf>
    <xf numFmtId="180" fontId="6" fillId="0" borderId="1" xfId="0" applyNumberFormat="1" applyFont="1" applyFill="1" applyBorder="1" applyAlignment="1">
      <alignment horizontal="right" vertical="center"/>
    </xf>
    <xf numFmtId="14" fontId="40" fillId="0" borderId="1" xfId="0" applyNumberFormat="1" applyFont="1" applyFill="1" applyBorder="1" applyAlignment="1">
      <alignment horizontal="center" vertical="center"/>
    </xf>
    <xf numFmtId="180" fontId="6" fillId="0" borderId="1" xfId="0" applyNumberFormat="1" applyFont="1" applyBorder="1" applyAlignment="1">
      <alignment horizontal="right" vertical="center"/>
    </xf>
    <xf numFmtId="176" fontId="37" fillId="0" borderId="1" xfId="0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76" fontId="16" fillId="0" borderId="8" xfId="0" applyFont="1" applyBorder="1" applyAlignment="1">
      <alignment horizontal="center" vertical="center"/>
    </xf>
    <xf numFmtId="180" fontId="6" fillId="0" borderId="3" xfId="0" applyNumberFormat="1" applyFont="1" applyBorder="1" applyAlignment="1">
      <alignment horizontal="right" vertical="center"/>
    </xf>
    <xf numFmtId="176" fontId="16" fillId="0" borderId="3" xfId="0" applyFont="1" applyBorder="1" applyAlignment="1">
      <alignment horizontal="center" vertical="center"/>
    </xf>
    <xf numFmtId="180" fontId="6" fillId="0" borderId="3" xfId="0" applyNumberFormat="1" applyFont="1" applyBorder="1">
      <alignment vertical="center"/>
    </xf>
    <xf numFmtId="14" fontId="40" fillId="0" borderId="1" xfId="0" applyNumberFormat="1" applyFont="1" applyBorder="1" applyAlignment="1">
      <alignment horizontal="center" vertical="center"/>
    </xf>
    <xf numFmtId="176" fontId="16" fillId="0" borderId="3" xfId="0" applyFont="1" applyBorder="1" applyAlignment="1">
      <alignment horizontal="center" vertical="center" wrapText="1"/>
    </xf>
    <xf numFmtId="180" fontId="40" fillId="0" borderId="1" xfId="0" applyNumberFormat="1" applyFont="1" applyBorder="1" applyAlignment="1">
      <alignment horizontal="center" vertical="center" wrapText="1"/>
    </xf>
    <xf numFmtId="176" fontId="16" fillId="0" borderId="1" xfId="0" applyFont="1" applyBorder="1" applyAlignment="1">
      <alignment horizontal="center" vertical="center"/>
    </xf>
    <xf numFmtId="43" fontId="6" fillId="0" borderId="1" xfId="5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/>
    </xf>
    <xf numFmtId="176" fontId="37" fillId="0" borderId="1" xfId="0" applyFont="1" applyBorder="1" applyAlignment="1">
      <alignment horizontal="center" vertical="center" wrapText="1"/>
    </xf>
    <xf numFmtId="176" fontId="6" fillId="0" borderId="1" xfId="0" applyFont="1" applyBorder="1" applyAlignment="1">
      <alignment horizontal="center" vertical="center"/>
    </xf>
    <xf numFmtId="176" fontId="45" fillId="0" borderId="3" xfId="0" applyFont="1" applyBorder="1" applyAlignment="1">
      <alignment horizontal="center" vertical="center"/>
    </xf>
    <xf numFmtId="180" fontId="40" fillId="0" borderId="1" xfId="0" applyNumberFormat="1" applyFont="1" applyBorder="1" applyAlignment="1">
      <alignment vertical="center"/>
    </xf>
    <xf numFmtId="176" fontId="16" fillId="0" borderId="1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180" fontId="6" fillId="0" borderId="1" xfId="0" applyNumberFormat="1" applyFont="1" applyFill="1" applyBorder="1" applyAlignment="1">
      <alignment horizontal="right" vertical="center"/>
    </xf>
    <xf numFmtId="2" fontId="6" fillId="0" borderId="8" xfId="0" applyNumberFormat="1" applyFont="1" applyBorder="1">
      <alignment vertical="center"/>
    </xf>
    <xf numFmtId="180" fontId="6" fillId="0" borderId="1" xfId="0" applyNumberFormat="1" applyFont="1" applyBorder="1" applyAlignment="1">
      <alignment horizontal="right" vertical="center"/>
    </xf>
    <xf numFmtId="180" fontId="6" fillId="0" borderId="1" xfId="0" applyNumberFormat="1" applyFont="1" applyFill="1" applyBorder="1" applyAlignment="1">
      <alignment vertical="center"/>
    </xf>
    <xf numFmtId="176" fontId="16" fillId="0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176" fontId="16" fillId="0" borderId="0" xfId="0" applyFont="1" applyAlignment="1">
      <alignment vertical="center"/>
    </xf>
    <xf numFmtId="176" fontId="37" fillId="0" borderId="1" xfId="0" applyFont="1" applyBorder="1" applyAlignment="1">
      <alignment horizontal="center" vertical="center"/>
    </xf>
    <xf numFmtId="14" fontId="40" fillId="0" borderId="1" xfId="0" applyNumberFormat="1" applyFont="1" applyBorder="1" applyAlignment="1">
      <alignment horizontal="center" vertical="center"/>
    </xf>
    <xf numFmtId="43" fontId="6" fillId="0" borderId="1" xfId="5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/>
    </xf>
    <xf numFmtId="176" fontId="6" fillId="0" borderId="1" xfId="0" applyFont="1" applyBorder="1" applyAlignment="1">
      <alignment horizontal="center" vertical="center"/>
    </xf>
    <xf numFmtId="176" fontId="45" fillId="0" borderId="1" xfId="0" applyFont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180" fontId="6" fillId="0" borderId="1" xfId="0" applyNumberFormat="1" applyFont="1" applyFill="1" applyBorder="1" applyAlignment="1">
      <alignment horizontal="right" vertical="center"/>
    </xf>
    <xf numFmtId="180" fontId="6" fillId="0" borderId="1" xfId="0" applyNumberFormat="1" applyFont="1" applyBorder="1" applyAlignment="1">
      <alignment horizontal="right" vertical="center"/>
    </xf>
    <xf numFmtId="176" fontId="8" fillId="0" borderId="1" xfId="0" applyFont="1" applyFill="1" applyBorder="1" applyAlignment="1">
      <alignment horizontal="center" vertical="center"/>
    </xf>
    <xf numFmtId="180" fontId="6" fillId="0" borderId="1" xfId="0" applyNumberFormat="1" applyFont="1" applyFill="1" applyBorder="1" applyAlignment="1">
      <alignment vertical="center"/>
    </xf>
    <xf numFmtId="14" fontId="6" fillId="0" borderId="1" xfId="0" applyNumberFormat="1" applyFont="1" applyBorder="1" applyAlignment="1">
      <alignment horizontal="center" vertical="center" wrapText="1"/>
    </xf>
    <xf numFmtId="176" fontId="37" fillId="0" borderId="1" xfId="0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76" fontId="16" fillId="0" borderId="8" xfId="0" applyFont="1" applyBorder="1" applyAlignment="1">
      <alignment horizontal="center" vertical="center"/>
    </xf>
    <xf numFmtId="176" fontId="6" fillId="0" borderId="8" xfId="0" applyFont="1" applyBorder="1" applyAlignment="1">
      <alignment vertical="center"/>
    </xf>
    <xf numFmtId="180" fontId="6" fillId="0" borderId="3" xfId="0" applyNumberFormat="1" applyFont="1" applyBorder="1" applyAlignment="1">
      <alignment horizontal="right" vertical="center"/>
    </xf>
    <xf numFmtId="14" fontId="40" fillId="0" borderId="1" xfId="0" applyNumberFormat="1" applyFont="1" applyBorder="1" applyAlignment="1">
      <alignment horizontal="center" vertical="center"/>
    </xf>
    <xf numFmtId="176" fontId="40" fillId="0" borderId="1" xfId="0" applyFont="1" applyBorder="1" applyAlignment="1">
      <alignment horizontal="center" vertical="center"/>
    </xf>
    <xf numFmtId="176" fontId="37" fillId="0" borderId="3" xfId="0" applyFont="1" applyBorder="1" applyAlignment="1">
      <alignment horizontal="center" vertical="center" wrapText="1"/>
    </xf>
    <xf numFmtId="176" fontId="16" fillId="0" borderId="1" xfId="0" applyFont="1" applyBorder="1" applyAlignment="1">
      <alignment horizontal="center" vertical="center"/>
    </xf>
    <xf numFmtId="43" fontId="6" fillId="0" borderId="1" xfId="5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176" fontId="37" fillId="0" borderId="1" xfId="0" applyFont="1" applyBorder="1" applyAlignment="1">
      <alignment horizontal="center" vertical="center" wrapText="1"/>
    </xf>
    <xf numFmtId="176" fontId="6" fillId="0" borderId="1" xfId="0" applyFont="1" applyBorder="1" applyAlignment="1">
      <alignment horizontal="center" vertical="center"/>
    </xf>
    <xf numFmtId="14" fontId="37" fillId="0" borderId="1" xfId="0" applyNumberFormat="1" applyFont="1" applyBorder="1" applyAlignment="1">
      <alignment horizontal="center" vertical="center"/>
    </xf>
    <xf numFmtId="180" fontId="40" fillId="0" borderId="1" xfId="0" applyNumberFormat="1" applyFont="1" applyBorder="1" applyAlignment="1">
      <alignment vertical="center"/>
    </xf>
    <xf numFmtId="2" fontId="6" fillId="0" borderId="8" xfId="0" applyNumberFormat="1" applyFont="1" applyBorder="1">
      <alignment vertical="center"/>
    </xf>
    <xf numFmtId="180" fontId="6" fillId="0" borderId="1" xfId="0" applyNumberFormat="1" applyFont="1" applyBorder="1" applyAlignment="1">
      <alignment horizontal="right" vertical="center"/>
    </xf>
    <xf numFmtId="176" fontId="16" fillId="0" borderId="1" xfId="0" applyFont="1" applyBorder="1" applyAlignment="1">
      <alignment horizontal="center" vertical="center" wrapText="1"/>
    </xf>
    <xf numFmtId="176" fontId="8" fillId="0" borderId="1" xfId="0" applyFont="1" applyBorder="1" applyAlignment="1">
      <alignment horizontal="center" vertical="center" wrapText="1"/>
    </xf>
    <xf numFmtId="176" fontId="8" fillId="0" borderId="1" xfId="0" applyFont="1" applyBorder="1" applyAlignment="1">
      <alignment horizontal="center" vertical="center"/>
    </xf>
    <xf numFmtId="176" fontId="16" fillId="5" borderId="1" xfId="0" applyFont="1" applyFill="1" applyBorder="1" applyAlignment="1">
      <alignment horizontal="center" vertical="center"/>
    </xf>
    <xf numFmtId="43" fontId="16" fillId="4" borderId="8" xfId="5" applyFont="1" applyFill="1" applyBorder="1">
      <alignment vertical="center"/>
    </xf>
    <xf numFmtId="176" fontId="16" fillId="2" borderId="1" xfId="0" applyFont="1" applyFill="1" applyBorder="1" applyAlignment="1">
      <alignment horizontal="center" vertical="center"/>
    </xf>
    <xf numFmtId="176" fontId="37" fillId="0" borderId="1" xfId="0" applyFont="1" applyBorder="1" applyAlignment="1">
      <alignment horizontal="center" vertical="center"/>
    </xf>
    <xf numFmtId="180" fontId="6" fillId="0" borderId="3" xfId="0" applyNumberFormat="1" applyFont="1" applyBorder="1" applyAlignment="1">
      <alignment horizontal="right" vertical="center"/>
    </xf>
    <xf numFmtId="14" fontId="40" fillId="0" borderId="1" xfId="0" applyNumberFormat="1" applyFont="1" applyBorder="1" applyAlignment="1">
      <alignment horizontal="center" vertical="center"/>
    </xf>
    <xf numFmtId="14" fontId="40" fillId="0" borderId="3" xfId="0" applyNumberFormat="1" applyFont="1" applyFill="1" applyBorder="1" applyAlignment="1">
      <alignment horizontal="center" vertical="center"/>
    </xf>
    <xf numFmtId="180" fontId="40" fillId="0" borderId="1" xfId="0" applyNumberFormat="1" applyFont="1" applyBorder="1" applyAlignment="1">
      <alignment horizontal="center" vertical="center" wrapText="1"/>
    </xf>
    <xf numFmtId="176" fontId="16" fillId="0" borderId="1" xfId="0" applyFont="1" applyBorder="1" applyAlignment="1">
      <alignment horizontal="center" vertical="center"/>
    </xf>
    <xf numFmtId="43" fontId="6" fillId="0" borderId="1" xfId="5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176" fontId="37" fillId="0" borderId="1" xfId="0" applyFont="1" applyBorder="1" applyAlignment="1">
      <alignment horizontal="center" vertical="center" wrapText="1"/>
    </xf>
    <xf numFmtId="180" fontId="40" fillId="0" borderId="3" xfId="0" applyNumberFormat="1" applyFont="1" applyFill="1" applyBorder="1" applyAlignment="1">
      <alignment horizontal="right" vertical="center"/>
    </xf>
    <xf numFmtId="176" fontId="37" fillId="0" borderId="1" xfId="0" applyFont="1" applyFill="1" applyBorder="1" applyAlignment="1">
      <alignment horizontal="center" vertical="center"/>
    </xf>
    <xf numFmtId="176" fontId="6" fillId="0" borderId="1" xfId="0" applyFont="1" applyBorder="1" applyAlignment="1">
      <alignment horizontal="center" vertical="center"/>
    </xf>
    <xf numFmtId="14" fontId="37" fillId="0" borderId="1" xfId="0" applyNumberFormat="1" applyFont="1" applyBorder="1" applyAlignment="1">
      <alignment horizontal="center" vertical="center"/>
    </xf>
    <xf numFmtId="176" fontId="45" fillId="0" borderId="3" xfId="0" applyFont="1" applyBorder="1" applyAlignment="1">
      <alignment horizontal="center" vertical="center"/>
    </xf>
    <xf numFmtId="180" fontId="40" fillId="0" borderId="1" xfId="0" applyNumberFormat="1" applyFont="1" applyBorder="1" applyAlignment="1">
      <alignment vertical="center"/>
    </xf>
    <xf numFmtId="14" fontId="6" fillId="0" borderId="1" xfId="0" applyNumberFormat="1" applyFont="1" applyFill="1" applyBorder="1" applyAlignment="1">
      <alignment horizontal="center" vertical="center"/>
    </xf>
    <xf numFmtId="180" fontId="6" fillId="0" borderId="1" xfId="0" applyNumberFormat="1" applyFont="1" applyFill="1" applyBorder="1" applyAlignment="1">
      <alignment horizontal="right" vertical="center"/>
    </xf>
    <xf numFmtId="14" fontId="40" fillId="0" borderId="1" xfId="0" applyNumberFormat="1" applyFont="1" applyFill="1" applyBorder="1" applyAlignment="1">
      <alignment horizontal="center" vertical="center"/>
    </xf>
    <xf numFmtId="176" fontId="28" fillId="0" borderId="1" xfId="0" applyFont="1" applyFill="1" applyBorder="1" applyAlignment="1">
      <alignment vertical="center"/>
    </xf>
    <xf numFmtId="176" fontId="40" fillId="0" borderId="1" xfId="0" applyFont="1" applyFill="1" applyBorder="1" applyAlignment="1">
      <alignment horizontal="center" vertical="center"/>
    </xf>
    <xf numFmtId="180" fontId="40" fillId="0" borderId="1" xfId="0" applyNumberFormat="1" applyFont="1" applyFill="1" applyBorder="1" applyAlignment="1">
      <alignment horizontal="right" vertical="center"/>
    </xf>
    <xf numFmtId="180" fontId="6" fillId="0" borderId="1" xfId="0" applyNumberFormat="1" applyFont="1" applyBorder="1" applyAlignment="1">
      <alignment horizontal="right" vertical="center"/>
    </xf>
    <xf numFmtId="180" fontId="6" fillId="0" borderId="1" xfId="0" applyNumberFormat="1" applyFont="1" applyFill="1" applyBorder="1" applyAlignment="1">
      <alignment vertical="center"/>
    </xf>
    <xf numFmtId="176" fontId="16" fillId="0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176" fontId="84" fillId="8" borderId="1" xfId="0" applyFont="1" applyFill="1" applyBorder="1" applyAlignment="1">
      <alignment horizontal="center" vertical="center"/>
    </xf>
    <xf numFmtId="43" fontId="85" fillId="8" borderId="1" xfId="5" applyFont="1" applyFill="1" applyBorder="1" applyAlignment="1">
      <alignment vertical="center"/>
    </xf>
    <xf numFmtId="176" fontId="0" fillId="8" borderId="1" xfId="0" applyFill="1" applyBorder="1" applyAlignment="1">
      <alignment vertical="center"/>
    </xf>
    <xf numFmtId="43" fontId="81" fillId="5" borderId="1" xfId="5" applyFont="1" applyFill="1" applyBorder="1" applyAlignment="1">
      <alignment vertical="center"/>
    </xf>
    <xf numFmtId="184" fontId="81" fillId="5" borderId="1" xfId="0" applyNumberFormat="1" applyFont="1" applyFill="1" applyBorder="1" applyAlignment="1">
      <alignment horizontal="center" vertical="center"/>
    </xf>
    <xf numFmtId="176" fontId="37" fillId="0" borderId="1" xfId="0" applyFont="1" applyBorder="1" applyAlignment="1">
      <alignment horizontal="center" vertical="center"/>
    </xf>
    <xf numFmtId="2" fontId="6" fillId="0" borderId="8" xfId="0" applyNumberFormat="1" applyFont="1" applyBorder="1">
      <alignment vertical="center"/>
    </xf>
    <xf numFmtId="14" fontId="40" fillId="0" borderId="1" xfId="0" applyNumberFormat="1" applyFont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/>
    </xf>
    <xf numFmtId="43" fontId="6" fillId="0" borderId="1" xfId="5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176" fontId="6" fillId="0" borderId="1" xfId="0" applyFont="1" applyBorder="1" applyAlignment="1">
      <alignment horizontal="center" vertical="center"/>
    </xf>
    <xf numFmtId="180" fontId="40" fillId="0" borderId="1" xfId="0" applyNumberFormat="1" applyFont="1" applyBorder="1" applyAlignment="1">
      <alignment vertical="center"/>
    </xf>
    <xf numFmtId="14" fontId="6" fillId="0" borderId="1" xfId="0" applyNumberFormat="1" applyFont="1" applyFill="1" applyBorder="1" applyAlignment="1">
      <alignment horizontal="center" vertical="center"/>
    </xf>
    <xf numFmtId="180" fontId="6" fillId="0" borderId="1" xfId="0" applyNumberFormat="1" applyFont="1" applyFill="1" applyBorder="1" applyAlignment="1">
      <alignment horizontal="right" vertical="center"/>
    </xf>
    <xf numFmtId="180" fontId="6" fillId="0" borderId="1" xfId="0" applyNumberFormat="1" applyFont="1" applyBorder="1" applyAlignment="1">
      <alignment horizontal="right" vertical="center"/>
    </xf>
    <xf numFmtId="180" fontId="6" fillId="0" borderId="1" xfId="0" applyNumberFormat="1" applyFont="1" applyFill="1" applyBorder="1" applyAlignment="1">
      <alignment vertical="center"/>
    </xf>
    <xf numFmtId="176" fontId="62" fillId="0" borderId="1" xfId="0" applyFont="1" applyBorder="1" applyAlignment="1">
      <alignment horizontal="center" vertical="center"/>
    </xf>
    <xf numFmtId="180" fontId="40" fillId="0" borderId="1" xfId="0" applyNumberFormat="1" applyFont="1" applyBorder="1" applyAlignment="1">
      <alignment horizontal="center" vertical="center"/>
    </xf>
    <xf numFmtId="14" fontId="16" fillId="0" borderId="1" xfId="0" applyNumberFormat="1" applyFont="1" applyBorder="1" applyAlignment="1">
      <alignment horizontal="left" vertical="center"/>
    </xf>
    <xf numFmtId="176" fontId="37" fillId="0" borderId="1" xfId="0" applyFont="1" applyBorder="1" applyAlignment="1">
      <alignment horizontal="center" vertical="center"/>
    </xf>
    <xf numFmtId="180" fontId="6" fillId="0" borderId="8" xfId="0" applyNumberFormat="1" applyFont="1" applyBorder="1">
      <alignment vertical="center"/>
    </xf>
    <xf numFmtId="14" fontId="40" fillId="0" borderId="1" xfId="0" applyNumberFormat="1" applyFont="1" applyBorder="1" applyAlignment="1">
      <alignment horizontal="center" vertical="center"/>
    </xf>
    <xf numFmtId="14" fontId="40" fillId="0" borderId="3" xfId="0" applyNumberFormat="1" applyFont="1" applyFill="1" applyBorder="1" applyAlignment="1">
      <alignment horizontal="center" vertical="center"/>
    </xf>
    <xf numFmtId="180" fontId="40" fillId="0" borderId="1" xfId="0" applyNumberFormat="1" applyFont="1" applyBorder="1" applyAlignment="1">
      <alignment horizontal="center" vertical="center" wrapText="1"/>
    </xf>
    <xf numFmtId="176" fontId="16" fillId="0" borderId="1" xfId="0" applyFont="1" applyBorder="1" applyAlignment="1">
      <alignment horizontal="center" vertical="center"/>
    </xf>
    <xf numFmtId="43" fontId="6" fillId="0" borderId="1" xfId="5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180" fontId="40" fillId="0" borderId="1" xfId="0" applyNumberFormat="1" applyFont="1" applyBorder="1" applyAlignment="1">
      <alignment horizontal="right" vertical="center"/>
    </xf>
    <xf numFmtId="180" fontId="40" fillId="0" borderId="3" xfId="0" applyNumberFormat="1" applyFont="1" applyFill="1" applyBorder="1" applyAlignment="1">
      <alignment horizontal="right" vertical="center"/>
    </xf>
    <xf numFmtId="176" fontId="6" fillId="0" borderId="1" xfId="0" applyFont="1" applyBorder="1" applyAlignment="1">
      <alignment horizontal="center" vertical="center"/>
    </xf>
    <xf numFmtId="180" fontId="40" fillId="0" borderId="1" xfId="0" applyNumberFormat="1" applyFont="1" applyBorder="1" applyAlignment="1">
      <alignment vertical="center"/>
    </xf>
    <xf numFmtId="176" fontId="28" fillId="0" borderId="1" xfId="0" applyFont="1" applyFill="1" applyBorder="1" applyAlignment="1">
      <alignment vertical="center"/>
    </xf>
    <xf numFmtId="176" fontId="40" fillId="0" borderId="1" xfId="0" applyFont="1" applyFill="1" applyBorder="1" applyAlignment="1">
      <alignment horizontal="center" vertical="center"/>
    </xf>
    <xf numFmtId="180" fontId="6" fillId="0" borderId="1" xfId="0" applyNumberFormat="1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 wrapText="1"/>
    </xf>
    <xf numFmtId="176" fontId="37" fillId="0" borderId="1" xfId="0" applyFont="1" applyBorder="1" applyAlignment="1">
      <alignment horizontal="center" vertical="center"/>
    </xf>
    <xf numFmtId="14" fontId="40" fillId="0" borderId="3" xfId="0" applyNumberFormat="1" applyFont="1" applyBorder="1" applyAlignment="1">
      <alignment horizontal="center" vertical="center"/>
    </xf>
    <xf numFmtId="14" fontId="40" fillId="0" borderId="1" xfId="0" applyNumberFormat="1" applyFont="1" applyBorder="1" applyAlignment="1">
      <alignment horizontal="center" vertical="center"/>
    </xf>
    <xf numFmtId="180" fontId="40" fillId="0" borderId="3" xfId="0" applyNumberFormat="1" applyFont="1" applyBorder="1">
      <alignment vertical="center"/>
    </xf>
    <xf numFmtId="14" fontId="6" fillId="0" borderId="1" xfId="0" applyNumberFormat="1" applyFont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/>
    </xf>
    <xf numFmtId="176" fontId="37" fillId="0" borderId="1" xfId="0" applyFont="1" applyFill="1" applyBorder="1" applyAlignment="1">
      <alignment horizontal="center" vertical="center"/>
    </xf>
    <xf numFmtId="176" fontId="6" fillId="0" borderId="1" xfId="0" applyFont="1" applyBorder="1" applyAlignment="1">
      <alignment horizontal="center" vertical="center"/>
    </xf>
    <xf numFmtId="14" fontId="6" fillId="0" borderId="3" xfId="0" applyNumberFormat="1" applyFont="1" applyFill="1" applyBorder="1" applyAlignment="1">
      <alignment horizontal="center" vertical="center"/>
    </xf>
    <xf numFmtId="14" fontId="28" fillId="0" borderId="1" xfId="0" applyNumberFormat="1" applyFont="1" applyFill="1" applyBorder="1" applyAlignment="1">
      <alignment horizontal="center" vertical="center"/>
    </xf>
    <xf numFmtId="176" fontId="28" fillId="0" borderId="1" xfId="0" applyFont="1" applyFill="1" applyBorder="1" applyAlignment="1">
      <alignment horizontal="center" vertical="center"/>
    </xf>
    <xf numFmtId="176" fontId="28" fillId="0" borderId="1" xfId="0" applyFont="1" applyFill="1" applyBorder="1" applyAlignment="1">
      <alignment vertical="center"/>
    </xf>
    <xf numFmtId="176" fontId="16" fillId="0" borderId="1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180" fontId="6" fillId="0" borderId="1" xfId="0" applyNumberFormat="1" applyFont="1" applyFill="1" applyBorder="1" applyAlignment="1">
      <alignment horizontal="right" vertical="center"/>
    </xf>
    <xf numFmtId="14" fontId="40" fillId="0" borderId="1" xfId="0" applyNumberFormat="1" applyFont="1" applyFill="1" applyBorder="1" applyAlignment="1">
      <alignment horizontal="center" vertical="center"/>
    </xf>
    <xf numFmtId="180" fontId="40" fillId="0" borderId="1" xfId="0" applyNumberFormat="1" applyFont="1" applyFill="1" applyBorder="1" applyAlignment="1">
      <alignment horizontal="right" vertical="center"/>
    </xf>
    <xf numFmtId="176" fontId="40" fillId="0" borderId="1" xfId="0" applyFont="1" applyFill="1" applyBorder="1" applyAlignment="1">
      <alignment horizontal="center" vertical="center"/>
    </xf>
    <xf numFmtId="180" fontId="6" fillId="0" borderId="1" xfId="0" applyNumberFormat="1" applyFont="1" applyFill="1" applyBorder="1" applyAlignment="1">
      <alignment vertical="center"/>
    </xf>
    <xf numFmtId="176" fontId="16" fillId="0" borderId="1" xfId="0" applyNumberFormat="1" applyFont="1" applyFill="1" applyBorder="1" applyAlignment="1">
      <alignment horizontal="center" vertical="center"/>
    </xf>
    <xf numFmtId="14" fontId="40" fillId="0" borderId="3" xfId="0" applyNumberFormat="1" applyFont="1" applyBorder="1" applyAlignment="1">
      <alignment horizontal="center" vertical="center"/>
    </xf>
    <xf numFmtId="2" fontId="6" fillId="0" borderId="8" xfId="0" applyNumberFormat="1" applyFont="1" applyBorder="1">
      <alignment vertical="center"/>
    </xf>
    <xf numFmtId="176" fontId="37" fillId="0" borderId="3" xfId="0" applyFont="1" applyBorder="1" applyAlignment="1">
      <alignment horizontal="center" vertical="center"/>
    </xf>
    <xf numFmtId="180" fontId="40" fillId="0" borderId="3" xfId="0" applyNumberFormat="1" applyFont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/>
    </xf>
    <xf numFmtId="43" fontId="6" fillId="0" borderId="1" xfId="5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176" fontId="6" fillId="0" borderId="1" xfId="0" applyFont="1" applyBorder="1" applyAlignment="1">
      <alignment horizontal="center" vertical="center"/>
    </xf>
    <xf numFmtId="180" fontId="40" fillId="0" borderId="1" xfId="0" applyNumberFormat="1" applyFont="1" applyBorder="1" applyAlignment="1">
      <alignment vertical="center"/>
    </xf>
    <xf numFmtId="180" fontId="6" fillId="0" borderId="1" xfId="0" applyNumberFormat="1" applyFont="1" applyBorder="1" applyAlignment="1">
      <alignment horizontal="right" vertical="center"/>
    </xf>
    <xf numFmtId="43" fontId="40" fillId="0" borderId="3" xfId="5" applyFont="1" applyBorder="1" applyAlignment="1">
      <alignment vertical="center"/>
    </xf>
    <xf numFmtId="14" fontId="6" fillId="0" borderId="1" xfId="0" applyNumberFormat="1" applyFont="1" applyBorder="1" applyAlignment="1">
      <alignment horizontal="center" vertical="center" wrapText="1"/>
    </xf>
    <xf numFmtId="2" fontId="73" fillId="0" borderId="8" xfId="0" applyNumberFormat="1" applyFont="1" applyBorder="1">
      <alignment vertical="center"/>
    </xf>
    <xf numFmtId="14" fontId="37" fillId="0" borderId="3" xfId="0" applyNumberFormat="1" applyFont="1" applyBorder="1" applyAlignment="1">
      <alignment horizontal="center" vertical="center" wrapText="1"/>
    </xf>
    <xf numFmtId="176" fontId="1" fillId="0" borderId="1" xfId="0" applyFont="1" applyFill="1" applyBorder="1" applyAlignment="1">
      <alignment vertical="center"/>
    </xf>
    <xf numFmtId="180" fontId="1" fillId="0" borderId="0" xfId="0" applyNumberFormat="1" applyFont="1" applyFill="1" applyBorder="1" applyAlignment="1">
      <alignment vertical="center"/>
    </xf>
    <xf numFmtId="176" fontId="16" fillId="0" borderId="0" xfId="0" applyFont="1" applyFill="1" applyBorder="1" applyAlignment="1">
      <alignment vertical="center"/>
    </xf>
    <xf numFmtId="176" fontId="37" fillId="0" borderId="1" xfId="0" applyFont="1" applyBorder="1" applyAlignment="1">
      <alignment horizontal="center" vertical="center"/>
    </xf>
    <xf numFmtId="14" fontId="40" fillId="0" borderId="1" xfId="0" applyNumberFormat="1" applyFont="1" applyBorder="1" applyAlignment="1">
      <alignment horizontal="center" vertical="center"/>
    </xf>
    <xf numFmtId="176" fontId="40" fillId="0" borderId="1" xfId="0" applyFont="1" applyBorder="1" applyAlignment="1">
      <alignment horizontal="center" vertical="center"/>
    </xf>
    <xf numFmtId="180" fontId="40" fillId="0" borderId="1" xfId="0" applyNumberFormat="1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/>
    </xf>
    <xf numFmtId="176" fontId="6" fillId="0" borderId="1" xfId="0" applyFont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180" fontId="6" fillId="0" borderId="1" xfId="0" applyNumberFormat="1" applyFont="1" applyFill="1" applyBorder="1" applyAlignment="1">
      <alignment horizontal="right" vertical="center"/>
    </xf>
    <xf numFmtId="180" fontId="6" fillId="0" borderId="1" xfId="0" applyNumberFormat="1" applyFont="1" applyBorder="1" applyAlignment="1">
      <alignment horizontal="right" vertical="center"/>
    </xf>
    <xf numFmtId="180" fontId="6" fillId="0" borderId="1" xfId="0" applyNumberFormat="1" applyFont="1" applyFill="1" applyBorder="1" applyAlignment="1">
      <alignment vertical="center"/>
    </xf>
    <xf numFmtId="176" fontId="16" fillId="0" borderId="1" xfId="0" applyNumberFormat="1" applyFont="1" applyFill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176" fontId="37" fillId="0" borderId="1" xfId="0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2" fontId="6" fillId="0" borderId="8" xfId="0" applyNumberFormat="1" applyFont="1" applyBorder="1">
      <alignment vertical="center"/>
    </xf>
    <xf numFmtId="176" fontId="16" fillId="0" borderId="3" xfId="0" applyFont="1" applyBorder="1" applyAlignment="1">
      <alignment horizontal="center" vertical="center"/>
    </xf>
    <xf numFmtId="180" fontId="6" fillId="0" borderId="8" xfId="0" applyNumberFormat="1" applyFont="1" applyBorder="1">
      <alignment vertical="center"/>
    </xf>
    <xf numFmtId="14" fontId="40" fillId="0" borderId="1" xfId="0" applyNumberFormat="1" applyFont="1" applyBorder="1" applyAlignment="1">
      <alignment horizontal="center" vertical="center"/>
    </xf>
    <xf numFmtId="180" fontId="6" fillId="0" borderId="3" xfId="0" applyNumberFormat="1" applyFont="1" applyBorder="1" applyAlignment="1">
      <alignment horizontal="center" vertical="center"/>
    </xf>
    <xf numFmtId="14" fontId="40" fillId="0" borderId="3" xfId="0" applyNumberFormat="1" applyFont="1" applyFill="1" applyBorder="1" applyAlignment="1">
      <alignment horizontal="center" vertical="center"/>
    </xf>
    <xf numFmtId="180" fontId="40" fillId="0" borderId="1" xfId="0" applyNumberFormat="1" applyFont="1" applyBorder="1" applyAlignment="1">
      <alignment horizontal="center" vertical="center" wrapText="1"/>
    </xf>
    <xf numFmtId="176" fontId="16" fillId="0" borderId="1" xfId="0" applyFont="1" applyBorder="1" applyAlignment="1">
      <alignment horizontal="center" vertical="center"/>
    </xf>
    <xf numFmtId="43" fontId="6" fillId="0" borderId="1" xfId="5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180" fontId="40" fillId="0" borderId="3" xfId="0" applyNumberFormat="1" applyFont="1" applyFill="1" applyBorder="1" applyAlignment="1">
      <alignment horizontal="right" vertical="center"/>
    </xf>
    <xf numFmtId="176" fontId="6" fillId="0" borderId="1" xfId="0" applyFont="1" applyBorder="1" applyAlignment="1">
      <alignment horizontal="center" vertical="center"/>
    </xf>
    <xf numFmtId="14" fontId="37" fillId="0" borderId="1" xfId="0" applyNumberFormat="1" applyFont="1" applyBorder="1" applyAlignment="1">
      <alignment horizontal="center" vertical="center"/>
    </xf>
    <xf numFmtId="180" fontId="73" fillId="0" borderId="8" xfId="0" applyNumberFormat="1" applyFont="1" applyBorder="1">
      <alignment vertical="center"/>
    </xf>
    <xf numFmtId="180" fontId="40" fillId="0" borderId="1" xfId="0" applyNumberFormat="1" applyFont="1" applyBorder="1" applyAlignment="1">
      <alignment vertical="center"/>
    </xf>
    <xf numFmtId="14" fontId="6" fillId="0" borderId="1" xfId="0" applyNumberFormat="1" applyFont="1" applyFill="1" applyBorder="1" applyAlignment="1">
      <alignment horizontal="center" vertical="center"/>
    </xf>
    <xf numFmtId="180" fontId="37" fillId="0" borderId="1" xfId="0" applyNumberFormat="1" applyFont="1" applyBorder="1" applyAlignment="1">
      <alignment horizontal="center" vertical="center"/>
    </xf>
    <xf numFmtId="176" fontId="50" fillId="0" borderId="3" xfId="0" applyFont="1" applyFill="1" applyBorder="1" applyAlignment="1">
      <alignment horizontal="center" vertical="center"/>
    </xf>
    <xf numFmtId="176" fontId="50" fillId="0" borderId="1" xfId="0" applyFont="1" applyFill="1" applyBorder="1" applyAlignment="1">
      <alignment horizontal="left" vertical="center"/>
    </xf>
    <xf numFmtId="180" fontId="6" fillId="0" borderId="1" xfId="0" applyNumberFormat="1" applyFont="1" applyBorder="1" applyAlignment="1">
      <alignment horizontal="right" vertical="center"/>
    </xf>
    <xf numFmtId="180" fontId="6" fillId="0" borderId="1" xfId="0" applyNumberFormat="1" applyFont="1" applyFill="1" applyBorder="1" applyAlignment="1">
      <alignment vertical="center"/>
    </xf>
    <xf numFmtId="176" fontId="16" fillId="0" borderId="1" xfId="0" applyNumberFormat="1" applyFont="1" applyFill="1" applyBorder="1" applyAlignment="1">
      <alignment horizontal="center" vertical="center"/>
    </xf>
    <xf numFmtId="2" fontId="73" fillId="0" borderId="8" xfId="0" applyNumberFormat="1" applyFont="1" applyBorder="1">
      <alignment vertical="center"/>
    </xf>
    <xf numFmtId="176" fontId="4" fillId="0" borderId="8" xfId="0" applyFont="1" applyBorder="1" applyAlignment="1">
      <alignment horizontal="center" vertical="center"/>
    </xf>
    <xf numFmtId="176" fontId="4" fillId="0" borderId="4" xfId="0" applyFont="1" applyBorder="1" applyAlignment="1">
      <alignment horizontal="center" vertical="center"/>
    </xf>
    <xf numFmtId="176" fontId="4" fillId="0" borderId="3" xfId="0" applyFont="1" applyBorder="1" applyAlignment="1">
      <alignment horizontal="center" vertical="center"/>
    </xf>
    <xf numFmtId="176" fontId="4" fillId="0" borderId="1" xfId="0" applyFont="1" applyBorder="1" applyAlignment="1">
      <alignment horizontal="center" vertical="center"/>
    </xf>
    <xf numFmtId="176" fontId="30" fillId="0" borderId="1" xfId="0" applyFont="1" applyBorder="1" applyAlignment="1">
      <alignment horizontal="center" vertical="center"/>
    </xf>
    <xf numFmtId="176" fontId="30" fillId="0" borderId="8" xfId="0" applyFont="1" applyBorder="1" applyAlignment="1">
      <alignment horizontal="center" vertical="center"/>
    </xf>
    <xf numFmtId="176" fontId="30" fillId="0" borderId="4" xfId="0" applyFont="1" applyBorder="1" applyAlignment="1">
      <alignment horizontal="center" vertical="center"/>
    </xf>
    <xf numFmtId="176" fontId="30" fillId="0" borderId="3" xfId="0" applyFont="1" applyBorder="1" applyAlignment="1">
      <alignment horizontal="center" vertical="center"/>
    </xf>
    <xf numFmtId="178" fontId="30" fillId="0" borderId="1" xfId="0" applyNumberFormat="1" applyFont="1" applyFill="1" applyBorder="1" applyAlignment="1">
      <alignment horizontal="center" vertical="center"/>
    </xf>
    <xf numFmtId="176" fontId="37" fillId="0" borderId="1" xfId="0" applyFont="1" applyBorder="1" applyAlignment="1">
      <alignment horizontal="center" vertical="center"/>
    </xf>
    <xf numFmtId="176" fontId="0" fillId="5" borderId="8" xfId="0" applyFont="1" applyFill="1" applyBorder="1" applyAlignment="1">
      <alignment horizontal="center" vertical="center"/>
    </xf>
    <xf numFmtId="176" fontId="0" fillId="5" borderId="4" xfId="0" applyFont="1" applyFill="1" applyBorder="1" applyAlignment="1">
      <alignment horizontal="center" vertical="center"/>
    </xf>
    <xf numFmtId="176" fontId="0" fillId="5" borderId="3" xfId="0" applyFont="1" applyFill="1" applyBorder="1" applyAlignment="1">
      <alignment horizontal="center" vertical="center"/>
    </xf>
    <xf numFmtId="176" fontId="0" fillId="2" borderId="8" xfId="0" applyFont="1" applyFill="1" applyBorder="1" applyAlignment="1">
      <alignment horizontal="center" vertical="center"/>
    </xf>
    <xf numFmtId="176" fontId="0" fillId="2" borderId="4" xfId="0" applyFont="1" applyFill="1" applyBorder="1" applyAlignment="1">
      <alignment horizontal="center" vertical="center"/>
    </xf>
    <xf numFmtId="176" fontId="0" fillId="2" borderId="3" xfId="0" applyFont="1" applyFill="1" applyBorder="1" applyAlignment="1">
      <alignment horizontal="center" vertical="center"/>
    </xf>
    <xf numFmtId="176" fontId="0" fillId="0" borderId="8" xfId="0" applyFont="1" applyBorder="1" applyAlignment="1">
      <alignment horizontal="center" vertical="center"/>
    </xf>
    <xf numFmtId="176" fontId="0" fillId="0" borderId="4" xfId="0" applyFont="1" applyBorder="1" applyAlignment="1">
      <alignment horizontal="center" vertical="center"/>
    </xf>
    <xf numFmtId="176" fontId="0" fillId="0" borderId="3" xfId="0" applyFont="1" applyBorder="1" applyAlignment="1">
      <alignment horizontal="center" vertical="center"/>
    </xf>
    <xf numFmtId="176" fontId="16" fillId="4" borderId="8" xfId="0" applyFont="1" applyFill="1" applyBorder="1" applyAlignment="1">
      <alignment horizontal="center" vertical="center"/>
    </xf>
    <xf numFmtId="176" fontId="16" fillId="4" borderId="4" xfId="0" applyFont="1" applyFill="1" applyBorder="1" applyAlignment="1">
      <alignment horizontal="center" vertical="center"/>
    </xf>
    <xf numFmtId="176" fontId="16" fillId="4" borderId="3" xfId="0" applyFont="1" applyFill="1" applyBorder="1" applyAlignment="1">
      <alignment horizontal="center" vertical="center"/>
    </xf>
    <xf numFmtId="176" fontId="16" fillId="8" borderId="6" xfId="0" applyFont="1" applyFill="1" applyBorder="1" applyAlignment="1">
      <alignment horizontal="center" vertical="center"/>
    </xf>
    <xf numFmtId="176" fontId="16" fillId="8" borderId="5" xfId="0" applyFont="1" applyFill="1" applyBorder="1" applyAlignment="1">
      <alignment horizontal="center" vertical="center"/>
    </xf>
    <xf numFmtId="176" fontId="16" fillId="0" borderId="8" xfId="0" applyFont="1" applyFill="1" applyBorder="1" applyAlignment="1">
      <alignment horizontal="center" vertical="center"/>
    </xf>
    <xf numFmtId="176" fontId="16" fillId="0" borderId="4" xfId="0" applyFont="1" applyFill="1" applyBorder="1" applyAlignment="1">
      <alignment horizontal="center" vertical="center"/>
    </xf>
    <xf numFmtId="176" fontId="16" fillId="0" borderId="3" xfId="0" applyFont="1" applyFill="1" applyBorder="1" applyAlignment="1">
      <alignment horizontal="center" vertical="center"/>
    </xf>
    <xf numFmtId="176" fontId="0" fillId="3" borderId="8" xfId="0" applyFont="1" applyFill="1" applyBorder="1" applyAlignment="1">
      <alignment horizontal="center" vertical="center"/>
    </xf>
    <xf numFmtId="176" fontId="0" fillId="3" borderId="4" xfId="0" applyFont="1" applyFill="1" applyBorder="1" applyAlignment="1">
      <alignment horizontal="center" vertical="center"/>
    </xf>
    <xf numFmtId="176" fontId="0" fillId="3" borderId="3" xfId="0" applyFont="1" applyFill="1" applyBorder="1" applyAlignment="1">
      <alignment horizontal="center" vertical="center"/>
    </xf>
    <xf numFmtId="176" fontId="0" fillId="0" borderId="8" xfId="0" applyFont="1" applyFill="1" applyBorder="1" applyAlignment="1">
      <alignment horizontal="center" vertical="center"/>
    </xf>
    <xf numFmtId="176" fontId="0" fillId="0" borderId="4" xfId="0" applyFont="1" applyFill="1" applyBorder="1" applyAlignment="1">
      <alignment horizontal="center" vertical="center"/>
    </xf>
    <xf numFmtId="176" fontId="0" fillId="0" borderId="3" xfId="0" applyFont="1" applyFill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right" vertical="center"/>
    </xf>
    <xf numFmtId="2" fontId="6" fillId="0" borderId="4" xfId="0" applyNumberFormat="1" applyFont="1" applyBorder="1" applyAlignment="1">
      <alignment horizontal="right" vertical="center"/>
    </xf>
    <xf numFmtId="2" fontId="6" fillId="0" borderId="3" xfId="0" applyNumberFormat="1" applyFont="1" applyBorder="1" applyAlignment="1">
      <alignment horizontal="right" vertical="center"/>
    </xf>
    <xf numFmtId="176" fontId="6" fillId="0" borderId="8" xfId="0" applyFont="1" applyBorder="1" applyAlignment="1">
      <alignment horizontal="center" vertical="center"/>
    </xf>
    <xf numFmtId="176" fontId="6" fillId="0" borderId="4" xfId="0" applyFont="1" applyBorder="1" applyAlignment="1">
      <alignment horizontal="center" vertical="center"/>
    </xf>
    <xf numFmtId="176" fontId="6" fillId="0" borderId="3" xfId="0" applyFont="1" applyBorder="1" applyAlignment="1">
      <alignment horizontal="center" vertical="center"/>
    </xf>
    <xf numFmtId="43" fontId="40" fillId="0" borderId="8" xfId="5" applyFont="1" applyBorder="1" applyAlignment="1">
      <alignment horizontal="right" vertical="center"/>
    </xf>
    <xf numFmtId="43" fontId="40" fillId="0" borderId="4" xfId="5" applyFont="1" applyBorder="1" applyAlignment="1">
      <alignment horizontal="right" vertical="center"/>
    </xf>
    <xf numFmtId="43" fontId="40" fillId="0" borderId="3" xfId="5" applyFont="1" applyBorder="1" applyAlignment="1">
      <alignment horizontal="right" vertical="center"/>
    </xf>
    <xf numFmtId="180" fontId="40" fillId="0" borderId="8" xfId="0" applyNumberFormat="1" applyFont="1" applyBorder="1" applyAlignment="1">
      <alignment horizontal="right" vertical="center"/>
    </xf>
    <xf numFmtId="180" fontId="40" fillId="0" borderId="4" xfId="0" applyNumberFormat="1" applyFont="1" applyBorder="1" applyAlignment="1">
      <alignment horizontal="right" vertical="center"/>
    </xf>
    <xf numFmtId="180" fontId="40" fillId="0" borderId="3" xfId="0" applyNumberFormat="1" applyFont="1" applyBorder="1" applyAlignment="1">
      <alignment horizontal="right" vertical="center"/>
    </xf>
    <xf numFmtId="14" fontId="40" fillId="0" borderId="8" xfId="0" applyNumberFormat="1" applyFont="1" applyBorder="1" applyAlignment="1">
      <alignment horizontal="center" vertical="center"/>
    </xf>
    <xf numFmtId="14" fontId="40" fillId="0" borderId="4" xfId="0" applyNumberFormat="1" applyFont="1" applyBorder="1" applyAlignment="1">
      <alignment horizontal="center" vertical="center"/>
    </xf>
    <xf numFmtId="14" fontId="40" fillId="0" borderId="3" xfId="0" applyNumberFormat="1" applyFont="1" applyBorder="1" applyAlignment="1">
      <alignment horizontal="center" vertical="center"/>
    </xf>
    <xf numFmtId="43" fontId="6" fillId="0" borderId="8" xfId="5" applyFont="1" applyBorder="1" applyAlignment="1">
      <alignment horizontal="right" vertical="center"/>
    </xf>
    <xf numFmtId="43" fontId="6" fillId="0" borderId="3" xfId="5" applyFont="1" applyBorder="1" applyAlignment="1">
      <alignment horizontal="right" vertical="center"/>
    </xf>
    <xf numFmtId="180" fontId="6" fillId="0" borderId="8" xfId="0" applyNumberFormat="1" applyFont="1" applyBorder="1" applyAlignment="1">
      <alignment horizontal="right" vertical="center"/>
    </xf>
    <xf numFmtId="180" fontId="6" fillId="0" borderId="3" xfId="0" applyNumberFormat="1" applyFont="1" applyBorder="1" applyAlignment="1">
      <alignment horizontal="right" vertical="center"/>
    </xf>
    <xf numFmtId="176" fontId="6" fillId="0" borderId="8" xfId="0" applyFont="1" applyBorder="1" applyAlignment="1">
      <alignment vertical="center"/>
    </xf>
    <xf numFmtId="176" fontId="6" fillId="0" borderId="3" xfId="0" applyFont="1" applyBorder="1" applyAlignment="1">
      <alignment vertical="center"/>
    </xf>
    <xf numFmtId="43" fontId="6" fillId="0" borderId="8" xfId="5" applyFont="1" applyBorder="1" applyAlignment="1">
      <alignment horizontal="center" vertical="center"/>
    </xf>
    <xf numFmtId="43" fontId="6" fillId="0" borderId="3" xfId="5" applyFont="1" applyBorder="1" applyAlignment="1">
      <alignment horizontal="center" vertical="center"/>
    </xf>
    <xf numFmtId="176" fontId="40" fillId="0" borderId="8" xfId="0" applyFont="1" applyBorder="1" applyAlignment="1">
      <alignment horizontal="center" vertical="center"/>
    </xf>
    <xf numFmtId="176" fontId="40" fillId="0" borderId="3" xfId="0" applyFont="1" applyBorder="1" applyAlignment="1">
      <alignment horizontal="center" vertical="center"/>
    </xf>
    <xf numFmtId="2" fontId="40" fillId="0" borderId="8" xfId="0" applyNumberFormat="1" applyFont="1" applyBorder="1" applyAlignment="1">
      <alignment horizontal="right" vertical="center"/>
    </xf>
    <xf numFmtId="2" fontId="40" fillId="0" borderId="3" xfId="0" applyNumberFormat="1" applyFont="1" applyBorder="1" applyAlignment="1">
      <alignment horizontal="right" vertical="center"/>
    </xf>
    <xf numFmtId="43" fontId="6" fillId="0" borderId="8" xfId="5" applyFont="1" applyBorder="1">
      <alignment vertical="center"/>
    </xf>
    <xf numFmtId="43" fontId="6" fillId="0" borderId="3" xfId="5" applyFont="1" applyBorder="1">
      <alignment vertical="center"/>
    </xf>
    <xf numFmtId="176" fontId="16" fillId="0" borderId="8" xfId="0" applyFont="1" applyBorder="1" applyAlignment="1">
      <alignment horizontal="center" vertical="center"/>
    </xf>
    <xf numFmtId="2" fontId="6" fillId="0" borderId="8" xfId="0" applyNumberFormat="1" applyFont="1" applyBorder="1">
      <alignment vertical="center"/>
    </xf>
    <xf numFmtId="2" fontId="6" fillId="0" borderId="3" xfId="0" applyNumberFormat="1" applyFont="1" applyBorder="1">
      <alignment vertical="center"/>
    </xf>
    <xf numFmtId="176" fontId="16" fillId="0" borderId="8" xfId="0" applyFont="1" applyBorder="1" applyAlignment="1">
      <alignment horizontal="center" vertical="center" wrapText="1"/>
    </xf>
    <xf numFmtId="43" fontId="73" fillId="0" borderId="8" xfId="5" applyFont="1" applyBorder="1" applyAlignment="1">
      <alignment horizontal="right" vertical="center"/>
    </xf>
    <xf numFmtId="43" fontId="73" fillId="0" borderId="3" xfId="5" applyFont="1" applyBorder="1" applyAlignment="1">
      <alignment horizontal="right" vertical="center"/>
    </xf>
    <xf numFmtId="14" fontId="73" fillId="0" borderId="8" xfId="0" applyNumberFormat="1" applyFont="1" applyBorder="1" applyAlignment="1">
      <alignment horizontal="center" vertical="center"/>
    </xf>
    <xf numFmtId="14" fontId="73" fillId="0" borderId="3" xfId="0" applyNumberFormat="1" applyFont="1" applyBorder="1" applyAlignment="1">
      <alignment horizontal="center" vertical="center"/>
    </xf>
    <xf numFmtId="176" fontId="73" fillId="0" borderId="8" xfId="0" applyFont="1" applyBorder="1" applyAlignment="1">
      <alignment vertical="center"/>
    </xf>
    <xf numFmtId="176" fontId="73" fillId="0" borderId="3" xfId="0" applyFont="1" applyBorder="1" applyAlignment="1">
      <alignment vertical="center"/>
    </xf>
    <xf numFmtId="180" fontId="73" fillId="0" borderId="8" xfId="0" applyNumberFormat="1" applyFont="1" applyBorder="1" applyAlignment="1">
      <alignment horizontal="right" vertical="center"/>
    </xf>
    <xf numFmtId="180" fontId="73" fillId="0" borderId="3" xfId="0" applyNumberFormat="1" applyFont="1" applyBorder="1" applyAlignment="1">
      <alignment horizontal="right" vertical="center"/>
    </xf>
    <xf numFmtId="176" fontId="16" fillId="0" borderId="3" xfId="0" applyFont="1" applyBorder="1" applyAlignment="1">
      <alignment horizontal="center" vertical="center"/>
    </xf>
    <xf numFmtId="14" fontId="40" fillId="0" borderId="1" xfId="0" applyNumberFormat="1" applyFont="1" applyBorder="1" applyAlignment="1">
      <alignment horizontal="center" vertical="center"/>
    </xf>
    <xf numFmtId="176" fontId="40" fillId="0" borderId="1" xfId="0" applyFont="1" applyBorder="1" applyAlignment="1">
      <alignment horizontal="center" vertical="center"/>
    </xf>
    <xf numFmtId="176" fontId="16" fillId="0" borderId="4" xfId="0" applyFont="1" applyBorder="1" applyAlignment="1">
      <alignment horizontal="center" vertical="center"/>
    </xf>
    <xf numFmtId="180" fontId="6" fillId="0" borderId="8" xfId="0" applyNumberFormat="1" applyFont="1" applyBorder="1">
      <alignment vertical="center"/>
    </xf>
    <xf numFmtId="180" fontId="6" fillId="0" borderId="4" xfId="0" applyNumberFormat="1" applyFont="1" applyBorder="1">
      <alignment vertical="center"/>
    </xf>
    <xf numFmtId="180" fontId="6" fillId="0" borderId="3" xfId="0" applyNumberFormat="1" applyFont="1" applyBorder="1">
      <alignment vertical="center"/>
    </xf>
    <xf numFmtId="176" fontId="73" fillId="0" borderId="8" xfId="0" applyFont="1" applyBorder="1" applyAlignment="1">
      <alignment horizontal="center" vertical="center"/>
    </xf>
    <xf numFmtId="176" fontId="73" fillId="0" borderId="3" xfId="0" applyFont="1" applyBorder="1" applyAlignment="1">
      <alignment horizontal="center" vertical="center"/>
    </xf>
    <xf numFmtId="176" fontId="37" fillId="0" borderId="8" xfId="0" applyFont="1" applyBorder="1" applyAlignment="1">
      <alignment horizontal="center" vertical="center" wrapText="1"/>
    </xf>
    <xf numFmtId="176" fontId="37" fillId="0" borderId="3" xfId="0" applyFont="1" applyBorder="1" applyAlignment="1">
      <alignment horizontal="center" vertical="center"/>
    </xf>
    <xf numFmtId="180" fontId="40" fillId="0" borderId="8" xfId="0" applyNumberFormat="1" applyFont="1" applyBorder="1">
      <alignment vertical="center"/>
    </xf>
    <xf numFmtId="180" fontId="40" fillId="0" borderId="3" xfId="0" applyNumberFormat="1" applyFont="1" applyBorder="1">
      <alignment vertical="center"/>
    </xf>
    <xf numFmtId="43" fontId="6" fillId="0" borderId="4" xfId="5" applyFont="1" applyBorder="1" applyAlignment="1">
      <alignment horizontal="center" vertical="center"/>
    </xf>
    <xf numFmtId="180" fontId="6" fillId="0" borderId="4" xfId="0" applyNumberFormat="1" applyFont="1" applyBorder="1" applyAlignment="1">
      <alignment horizontal="right" vertical="center"/>
    </xf>
    <xf numFmtId="176" fontId="37" fillId="0" borderId="4" xfId="0" applyFont="1" applyBorder="1" applyAlignment="1">
      <alignment horizontal="center" vertical="center"/>
    </xf>
    <xf numFmtId="2" fontId="40" fillId="0" borderId="8" xfId="0" applyNumberFormat="1" applyFont="1" applyBorder="1">
      <alignment vertical="center"/>
    </xf>
    <xf numFmtId="2" fontId="40" fillId="0" borderId="4" xfId="0" applyNumberFormat="1" applyFont="1" applyBorder="1">
      <alignment vertical="center"/>
    </xf>
    <xf numFmtId="2" fontId="40" fillId="0" borderId="3" xfId="0" applyNumberFormat="1" applyFont="1" applyBorder="1">
      <alignment vertical="center"/>
    </xf>
    <xf numFmtId="180" fontId="40" fillId="0" borderId="4" xfId="0" applyNumberFormat="1" applyFont="1" applyBorder="1">
      <alignment vertical="center"/>
    </xf>
    <xf numFmtId="14" fontId="73" fillId="0" borderId="4" xfId="0" applyNumberFormat="1" applyFont="1" applyBorder="1" applyAlignment="1">
      <alignment horizontal="center" vertical="center"/>
    </xf>
    <xf numFmtId="176" fontId="37" fillId="0" borderId="8" xfId="0" applyFont="1" applyBorder="1" applyAlignment="1">
      <alignment horizontal="center" vertical="center"/>
    </xf>
    <xf numFmtId="43" fontId="73" fillId="0" borderId="8" xfId="5" applyFont="1" applyBorder="1" applyAlignment="1">
      <alignment horizontal="center" vertical="center"/>
    </xf>
    <xf numFmtId="43" fontId="73" fillId="0" borderId="4" xfId="5" applyFont="1" applyBorder="1" applyAlignment="1">
      <alignment horizontal="center" vertical="center"/>
    </xf>
    <xf numFmtId="43" fontId="73" fillId="0" borderId="3" xfId="5" applyFont="1" applyBorder="1" applyAlignment="1">
      <alignment horizontal="center" vertical="center"/>
    </xf>
    <xf numFmtId="180" fontId="73" fillId="0" borderId="4" xfId="0" applyNumberFormat="1" applyFont="1" applyBorder="1" applyAlignment="1">
      <alignment horizontal="right" vertical="center"/>
    </xf>
    <xf numFmtId="176" fontId="73" fillId="0" borderId="4" xfId="0" applyFont="1" applyBorder="1" applyAlignment="1">
      <alignment horizontal="center" vertical="center"/>
    </xf>
    <xf numFmtId="183" fontId="40" fillId="0" borderId="8" xfId="0" applyNumberFormat="1" applyFont="1" applyBorder="1" applyAlignment="1">
      <alignment horizontal="right" vertical="center"/>
    </xf>
    <xf numFmtId="183" fontId="40" fillId="0" borderId="4" xfId="0" applyNumberFormat="1" applyFont="1" applyBorder="1" applyAlignment="1">
      <alignment horizontal="right" vertical="center"/>
    </xf>
    <xf numFmtId="183" fontId="40" fillId="0" borderId="3" xfId="0" applyNumberFormat="1" applyFont="1" applyBorder="1" applyAlignment="1">
      <alignment horizontal="right" vertical="center"/>
    </xf>
    <xf numFmtId="176" fontId="40" fillId="0" borderId="4" xfId="0" applyFont="1" applyBorder="1" applyAlignment="1">
      <alignment horizontal="center" vertical="center"/>
    </xf>
    <xf numFmtId="183" fontId="40" fillId="0" borderId="8" xfId="0" applyNumberFormat="1" applyFont="1" applyBorder="1" applyAlignment="1">
      <alignment vertical="center"/>
    </xf>
    <xf numFmtId="183" fontId="40" fillId="0" borderId="4" xfId="0" applyNumberFormat="1" applyFont="1" applyBorder="1" applyAlignment="1">
      <alignment vertical="center"/>
    </xf>
    <xf numFmtId="183" fontId="40" fillId="0" borderId="3" xfId="0" applyNumberFormat="1" applyFont="1" applyBorder="1" applyAlignment="1">
      <alignment vertical="center"/>
    </xf>
    <xf numFmtId="183" fontId="6" fillId="0" borderId="8" xfId="0" applyNumberFormat="1" applyFont="1" applyBorder="1" applyAlignment="1">
      <alignment horizontal="right" vertical="center"/>
    </xf>
    <xf numFmtId="183" fontId="6" fillId="0" borderId="3" xfId="0" applyNumberFormat="1" applyFont="1" applyBorder="1" applyAlignment="1">
      <alignment horizontal="right" vertical="center"/>
    </xf>
    <xf numFmtId="14" fontId="6" fillId="0" borderId="8" xfId="0" applyNumberFormat="1" applyFont="1" applyFill="1" applyBorder="1" applyAlignment="1">
      <alignment horizontal="center" vertical="center" wrapText="1"/>
    </xf>
    <xf numFmtId="14" fontId="6" fillId="0" borderId="4" xfId="0" applyNumberFormat="1" applyFont="1" applyFill="1" applyBorder="1" applyAlignment="1">
      <alignment horizontal="center" vertical="center" wrapText="1"/>
    </xf>
    <xf numFmtId="14" fontId="6" fillId="0" borderId="3" xfId="0" applyNumberFormat="1" applyFont="1" applyFill="1" applyBorder="1" applyAlignment="1">
      <alignment horizontal="center" vertical="center" wrapText="1"/>
    </xf>
    <xf numFmtId="43" fontId="6" fillId="0" borderId="8" xfId="5" applyFont="1" applyBorder="1" applyAlignment="1">
      <alignment horizontal="center" vertical="center" wrapText="1"/>
    </xf>
    <xf numFmtId="43" fontId="6" fillId="0" borderId="3" xfId="5" applyFont="1" applyBorder="1" applyAlignment="1">
      <alignment horizontal="center" vertical="center" wrapText="1"/>
    </xf>
    <xf numFmtId="176" fontId="6" fillId="0" borderId="8" xfId="0" applyFont="1" applyFill="1" applyBorder="1" applyAlignment="1">
      <alignment horizontal="center" vertical="center" wrapText="1"/>
    </xf>
    <xf numFmtId="176" fontId="6" fillId="0" borderId="4" xfId="0" applyFont="1" applyFill="1" applyBorder="1" applyAlignment="1">
      <alignment horizontal="center" vertical="center" wrapText="1"/>
    </xf>
    <xf numFmtId="176" fontId="6" fillId="0" borderId="3" xfId="0" applyFont="1" applyFill="1" applyBorder="1" applyAlignment="1">
      <alignment horizontal="center" vertical="center" wrapText="1"/>
    </xf>
    <xf numFmtId="180" fontId="6" fillId="0" borderId="8" xfId="0" applyNumberFormat="1" applyFont="1" applyBorder="1" applyAlignment="1">
      <alignment horizontal="center" vertical="center" wrapText="1"/>
    </xf>
    <xf numFmtId="180" fontId="6" fillId="0" borderId="4" xfId="0" applyNumberFormat="1" applyFont="1" applyBorder="1" applyAlignment="1">
      <alignment horizontal="center" vertical="center" wrapText="1"/>
    </xf>
    <xf numFmtId="180" fontId="6" fillId="0" borderId="3" xfId="0" applyNumberFormat="1" applyFont="1" applyBorder="1" applyAlignment="1">
      <alignment horizontal="center" vertical="center" wrapText="1"/>
    </xf>
    <xf numFmtId="180" fontId="40" fillId="0" borderId="8" xfId="0" applyNumberFormat="1" applyFont="1" applyBorder="1" applyAlignment="1">
      <alignment horizontal="center" vertical="center"/>
    </xf>
    <xf numFmtId="180" fontId="40" fillId="0" borderId="4" xfId="0" applyNumberFormat="1" applyFont="1" applyBorder="1" applyAlignment="1">
      <alignment horizontal="center" vertical="center"/>
    </xf>
    <xf numFmtId="180" fontId="40" fillId="0" borderId="3" xfId="0" applyNumberFormat="1" applyFont="1" applyBorder="1" applyAlignment="1">
      <alignment horizontal="center" vertical="center"/>
    </xf>
    <xf numFmtId="180" fontId="40" fillId="0" borderId="8" xfId="0" applyNumberFormat="1" applyFont="1" applyBorder="1" applyAlignment="1">
      <alignment horizontal="center" vertical="center" wrapText="1"/>
    </xf>
    <xf numFmtId="180" fontId="40" fillId="0" borderId="4" xfId="0" applyNumberFormat="1" applyFont="1" applyBorder="1" applyAlignment="1">
      <alignment horizontal="center" vertical="center" wrapText="1"/>
    </xf>
    <xf numFmtId="180" fontId="40" fillId="0" borderId="3" xfId="0" applyNumberFormat="1" applyFont="1" applyBorder="1" applyAlignment="1">
      <alignment horizontal="center" vertical="center" wrapText="1"/>
    </xf>
    <xf numFmtId="14" fontId="40" fillId="0" borderId="8" xfId="0" applyNumberFormat="1" applyFont="1" applyFill="1" applyBorder="1" applyAlignment="1">
      <alignment horizontal="center" vertical="center" wrapText="1"/>
    </xf>
    <xf numFmtId="14" fontId="40" fillId="0" borderId="3" xfId="0" applyNumberFormat="1" applyFont="1" applyFill="1" applyBorder="1" applyAlignment="1">
      <alignment horizontal="center" vertical="center" wrapText="1"/>
    </xf>
    <xf numFmtId="43" fontId="40" fillId="0" borderId="8" xfId="5" applyFont="1" applyBorder="1" applyAlignment="1">
      <alignment horizontal="center" vertical="center"/>
    </xf>
    <xf numFmtId="43" fontId="40" fillId="0" borderId="3" xfId="5" applyFont="1" applyBorder="1" applyAlignment="1">
      <alignment horizontal="center" vertical="center"/>
    </xf>
    <xf numFmtId="176" fontId="37" fillId="0" borderId="8" xfId="0" applyFont="1" applyBorder="1" applyAlignment="1">
      <alignment horizontal="left" vertical="center"/>
    </xf>
    <xf numFmtId="176" fontId="37" fillId="0" borderId="4" xfId="0" applyFont="1" applyBorder="1" applyAlignment="1">
      <alignment horizontal="left" vertical="center"/>
    </xf>
    <xf numFmtId="176" fontId="37" fillId="0" borderId="3" xfId="0" applyFont="1" applyBorder="1" applyAlignment="1">
      <alignment horizontal="left" vertical="center"/>
    </xf>
    <xf numFmtId="180" fontId="40" fillId="0" borderId="1" xfId="0" applyNumberFormat="1" applyFont="1" applyBorder="1" applyAlignment="1">
      <alignment horizontal="center" vertical="center" wrapText="1"/>
    </xf>
    <xf numFmtId="14" fontId="40" fillId="0" borderId="8" xfId="0" applyNumberFormat="1" applyFont="1" applyBorder="1" applyAlignment="1">
      <alignment horizontal="center" vertical="center" wrapText="1"/>
    </xf>
    <xf numFmtId="14" fontId="40" fillId="0" borderId="4" xfId="0" applyNumberFormat="1" applyFont="1" applyBorder="1" applyAlignment="1">
      <alignment horizontal="center" vertical="center" wrapText="1"/>
    </xf>
    <xf numFmtId="14" fontId="40" fillId="0" borderId="3" xfId="0" applyNumberFormat="1" applyFont="1" applyBorder="1" applyAlignment="1">
      <alignment horizontal="center" vertical="center" wrapText="1"/>
    </xf>
    <xf numFmtId="176" fontId="37" fillId="0" borderId="8" xfId="0" applyFont="1" applyFill="1" applyBorder="1" applyAlignment="1">
      <alignment horizontal="left" vertical="center"/>
    </xf>
    <xf numFmtId="176" fontId="37" fillId="0" borderId="4" xfId="0" applyFont="1" applyFill="1" applyBorder="1" applyAlignment="1">
      <alignment horizontal="left" vertical="center"/>
    </xf>
    <xf numFmtId="176" fontId="37" fillId="0" borderId="3" xfId="0" applyFont="1" applyFill="1" applyBorder="1" applyAlignment="1">
      <alignment horizontal="left" vertical="center"/>
    </xf>
    <xf numFmtId="176" fontId="37" fillId="0" borderId="8" xfId="0" applyFont="1" applyFill="1" applyBorder="1" applyAlignment="1">
      <alignment horizontal="center" vertical="center"/>
    </xf>
    <xf numFmtId="176" fontId="37" fillId="0" borderId="4" xfId="0" applyFont="1" applyFill="1" applyBorder="1" applyAlignment="1">
      <alignment horizontal="center" vertical="center"/>
    </xf>
    <xf numFmtId="176" fontId="37" fillId="0" borderId="3" xfId="0" applyFont="1" applyFill="1" applyBorder="1" applyAlignment="1">
      <alignment horizontal="center" vertical="center"/>
    </xf>
    <xf numFmtId="14" fontId="40" fillId="0" borderId="8" xfId="0" applyNumberFormat="1" applyFont="1" applyFill="1" applyBorder="1" applyAlignment="1">
      <alignment horizontal="center" vertical="center"/>
    </xf>
    <xf numFmtId="14" fontId="40" fillId="0" borderId="4" xfId="0" applyNumberFormat="1" applyFont="1" applyFill="1" applyBorder="1" applyAlignment="1">
      <alignment horizontal="center" vertical="center"/>
    </xf>
    <xf numFmtId="14" fontId="40" fillId="0" borderId="3" xfId="0" applyNumberFormat="1" applyFont="1" applyFill="1" applyBorder="1" applyAlignment="1">
      <alignment horizontal="center" vertical="center"/>
    </xf>
    <xf numFmtId="180" fontId="40" fillId="0" borderId="8" xfId="0" applyNumberFormat="1" applyFont="1" applyFill="1" applyBorder="1" applyAlignment="1">
      <alignment horizontal="center" vertical="center" wrapText="1"/>
    </xf>
    <xf numFmtId="180" fontId="40" fillId="0" borderId="4" xfId="0" applyNumberFormat="1" applyFont="1" applyFill="1" applyBorder="1" applyAlignment="1">
      <alignment horizontal="center" vertical="center" wrapText="1"/>
    </xf>
    <xf numFmtId="180" fontId="40" fillId="0" borderId="3" xfId="0" applyNumberFormat="1" applyFont="1" applyFill="1" applyBorder="1" applyAlignment="1">
      <alignment horizontal="center" vertical="center" wrapText="1"/>
    </xf>
    <xf numFmtId="180" fontId="6" fillId="0" borderId="8" xfId="0" applyNumberFormat="1" applyFont="1" applyBorder="1" applyAlignment="1">
      <alignment horizontal="center" vertical="center"/>
    </xf>
    <xf numFmtId="180" fontId="6" fillId="0" borderId="4" xfId="0" applyNumberFormat="1" applyFont="1" applyBorder="1" applyAlignment="1">
      <alignment horizontal="center" vertical="center"/>
    </xf>
    <xf numFmtId="180" fontId="6" fillId="0" borderId="3" xfId="0" applyNumberFormat="1" applyFont="1" applyBorder="1" applyAlignment="1">
      <alignment horizontal="center" vertical="center"/>
    </xf>
    <xf numFmtId="176" fontId="40" fillId="0" borderId="8" xfId="0" applyFont="1" applyFill="1" applyBorder="1" applyAlignment="1">
      <alignment horizontal="center" vertical="center" wrapText="1"/>
    </xf>
    <xf numFmtId="176" fontId="40" fillId="0" borderId="3" xfId="0" applyFont="1" applyFill="1" applyBorder="1" applyAlignment="1">
      <alignment horizontal="center" vertical="center" wrapText="1"/>
    </xf>
    <xf numFmtId="176" fontId="37" fillId="0" borderId="4" xfId="0" applyFont="1" applyBorder="1" applyAlignment="1">
      <alignment horizontal="center" vertical="center" wrapText="1"/>
    </xf>
    <xf numFmtId="176" fontId="37" fillId="0" borderId="3" xfId="0" applyFont="1" applyBorder="1" applyAlignment="1">
      <alignment horizontal="center" vertical="center" wrapText="1"/>
    </xf>
    <xf numFmtId="176" fontId="16" fillId="0" borderId="4" xfId="0" applyFont="1" applyBorder="1" applyAlignment="1">
      <alignment horizontal="center" vertical="center" wrapText="1"/>
    </xf>
    <xf numFmtId="176" fontId="16" fillId="0" borderId="3" xfId="0" applyFont="1" applyBorder="1" applyAlignment="1">
      <alignment horizontal="center" vertical="center" wrapText="1"/>
    </xf>
    <xf numFmtId="14" fontId="73" fillId="0" borderId="8" xfId="0" applyNumberFormat="1" applyFont="1" applyFill="1" applyBorder="1" applyAlignment="1">
      <alignment horizontal="center" vertical="center" wrapText="1"/>
    </xf>
    <xf numFmtId="14" fontId="73" fillId="0" borderId="3" xfId="0" applyNumberFormat="1" applyFont="1" applyFill="1" applyBorder="1" applyAlignment="1">
      <alignment horizontal="center" vertical="center" wrapText="1"/>
    </xf>
    <xf numFmtId="176" fontId="73" fillId="0" borderId="8" xfId="0" applyFont="1" applyFill="1" applyBorder="1" applyAlignment="1">
      <alignment horizontal="center" vertical="center" wrapText="1"/>
    </xf>
    <xf numFmtId="176" fontId="73" fillId="0" borderId="3" xfId="0" applyFont="1" applyFill="1" applyBorder="1" applyAlignment="1">
      <alignment horizontal="center" vertical="center" wrapText="1"/>
    </xf>
    <xf numFmtId="180" fontId="40" fillId="0" borderId="1" xfId="0" applyNumberFormat="1" applyFont="1" applyBorder="1" applyAlignment="1">
      <alignment horizontal="right" vertical="center"/>
    </xf>
    <xf numFmtId="43" fontId="6" fillId="0" borderId="4" xfId="5" applyFont="1" applyBorder="1" applyAlignment="1">
      <alignment horizontal="right" vertical="center"/>
    </xf>
    <xf numFmtId="43" fontId="40" fillId="0" borderId="4" xfId="5" applyFont="1" applyBorder="1" applyAlignment="1">
      <alignment horizontal="center" vertical="center"/>
    </xf>
    <xf numFmtId="43" fontId="6" fillId="0" borderId="1" xfId="5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/>
    </xf>
    <xf numFmtId="180" fontId="6" fillId="0" borderId="8" xfId="5" applyNumberFormat="1" applyFont="1" applyBorder="1" applyAlignment="1">
      <alignment horizontal="right" vertical="center"/>
    </xf>
    <xf numFmtId="180" fontId="6" fillId="0" borderId="4" xfId="5" applyNumberFormat="1" applyFont="1" applyBorder="1" applyAlignment="1">
      <alignment horizontal="right" vertical="center"/>
    </xf>
    <xf numFmtId="180" fontId="6" fillId="0" borderId="3" xfId="5" applyNumberFormat="1" applyFont="1" applyBorder="1" applyAlignment="1">
      <alignment horizontal="right" vertical="center"/>
    </xf>
    <xf numFmtId="180" fontId="40" fillId="0" borderId="8" xfId="5" applyNumberFormat="1" applyFont="1" applyBorder="1" applyAlignment="1">
      <alignment horizontal="right" vertical="center"/>
    </xf>
    <xf numFmtId="180" fontId="40" fillId="0" borderId="4" xfId="5" applyNumberFormat="1" applyFont="1" applyBorder="1" applyAlignment="1">
      <alignment horizontal="right" vertical="center"/>
    </xf>
    <xf numFmtId="180" fontId="40" fillId="0" borderId="3" xfId="5" applyNumberFormat="1" applyFont="1" applyBorder="1" applyAlignment="1">
      <alignment horizontal="right" vertical="center"/>
    </xf>
    <xf numFmtId="176" fontId="16" fillId="0" borderId="8" xfId="0" applyFont="1" applyBorder="1" applyAlignment="1">
      <alignment horizontal="left" vertical="center"/>
    </xf>
    <xf numFmtId="176" fontId="16" fillId="0" borderId="4" xfId="0" applyFont="1" applyBorder="1" applyAlignment="1">
      <alignment horizontal="left" vertical="center"/>
    </xf>
    <xf numFmtId="176" fontId="16" fillId="0" borderId="3" xfId="0" applyFont="1" applyBorder="1" applyAlignment="1">
      <alignment horizontal="left" vertical="center"/>
    </xf>
    <xf numFmtId="2" fontId="6" fillId="0" borderId="8" xfId="0" applyNumberFormat="1" applyFont="1" applyBorder="1" applyAlignment="1">
      <alignment vertical="center" wrapText="1"/>
    </xf>
    <xf numFmtId="2" fontId="6" fillId="0" borderId="4" xfId="0" applyNumberFormat="1" applyFont="1" applyBorder="1" applyAlignment="1">
      <alignment vertical="center" wrapText="1"/>
    </xf>
    <xf numFmtId="2" fontId="6" fillId="0" borderId="3" xfId="0" applyNumberFormat="1" applyFont="1" applyBorder="1" applyAlignment="1">
      <alignment vertical="center" wrapText="1"/>
    </xf>
    <xf numFmtId="14" fontId="6" fillId="0" borderId="8" xfId="0" applyNumberFormat="1" applyFont="1" applyBorder="1" applyAlignment="1">
      <alignment horizontal="center" vertical="center" wrapText="1"/>
    </xf>
    <xf numFmtId="14" fontId="6" fillId="0" borderId="4" xfId="0" applyNumberFormat="1" applyFont="1" applyBorder="1" applyAlignment="1">
      <alignment horizontal="center" vertical="center" wrapText="1"/>
    </xf>
    <xf numFmtId="14" fontId="6" fillId="0" borderId="3" xfId="0" applyNumberFormat="1" applyFont="1" applyBorder="1" applyAlignment="1">
      <alignment horizontal="center" vertical="center" wrapText="1"/>
    </xf>
    <xf numFmtId="2" fontId="40" fillId="0" borderId="8" xfId="0" applyNumberFormat="1" applyFont="1" applyBorder="1" applyAlignment="1">
      <alignment horizontal="right" vertical="center" wrapText="1"/>
    </xf>
    <xf numFmtId="2" fontId="40" fillId="0" borderId="4" xfId="0" applyNumberFormat="1" applyFont="1" applyBorder="1" applyAlignment="1">
      <alignment horizontal="right" vertical="center" wrapText="1"/>
    </xf>
    <xf numFmtId="2" fontId="40" fillId="0" borderId="3" xfId="0" applyNumberFormat="1" applyFont="1" applyBorder="1" applyAlignment="1">
      <alignment horizontal="right" vertical="center" wrapText="1"/>
    </xf>
    <xf numFmtId="2" fontId="40" fillId="0" borderId="1" xfId="0" applyNumberFormat="1" applyFont="1" applyBorder="1" applyAlignment="1">
      <alignment vertical="center" wrapText="1"/>
    </xf>
    <xf numFmtId="2" fontId="40" fillId="0" borderId="1" xfId="0" applyNumberFormat="1" applyFont="1" applyBorder="1" applyAlignment="1">
      <alignment horizontal="right" vertical="center" wrapText="1"/>
    </xf>
    <xf numFmtId="2" fontId="6" fillId="0" borderId="8" xfId="0" applyNumberFormat="1" applyFont="1" applyBorder="1" applyAlignment="1">
      <alignment horizontal="right" vertical="center" wrapText="1"/>
    </xf>
    <xf numFmtId="2" fontId="6" fillId="0" borderId="4" xfId="0" applyNumberFormat="1" applyFont="1" applyBorder="1" applyAlignment="1">
      <alignment horizontal="right" vertical="center" wrapText="1"/>
    </xf>
    <xf numFmtId="2" fontId="6" fillId="0" borderId="3" xfId="0" applyNumberFormat="1" applyFont="1" applyBorder="1" applyAlignment="1">
      <alignment horizontal="right" vertical="center" wrapText="1"/>
    </xf>
    <xf numFmtId="14" fontId="40" fillId="0" borderId="1" xfId="0" applyNumberFormat="1" applyFont="1" applyBorder="1" applyAlignment="1">
      <alignment horizontal="center" vertical="center" wrapText="1"/>
    </xf>
    <xf numFmtId="176" fontId="40" fillId="0" borderId="1" xfId="0" applyFont="1" applyBorder="1" applyAlignment="1">
      <alignment horizontal="center" vertical="center" wrapText="1"/>
    </xf>
    <xf numFmtId="176" fontId="37" fillId="0" borderId="1" xfId="0" applyFont="1" applyBorder="1" applyAlignment="1">
      <alignment horizontal="center" vertical="center" wrapText="1"/>
    </xf>
    <xf numFmtId="176" fontId="6" fillId="0" borderId="8" xfId="0" applyFont="1" applyBorder="1" applyAlignment="1">
      <alignment horizontal="center" vertical="center" wrapText="1"/>
    </xf>
    <xf numFmtId="176" fontId="6" fillId="0" borderId="3" xfId="0" applyFont="1" applyBorder="1" applyAlignment="1">
      <alignment horizontal="center" vertical="center" wrapText="1"/>
    </xf>
    <xf numFmtId="43" fontId="6" fillId="0" borderId="4" xfId="5" applyFont="1" applyBorder="1" applyAlignment="1">
      <alignment horizontal="center" vertical="center" wrapText="1"/>
    </xf>
    <xf numFmtId="180" fontId="6" fillId="0" borderId="8" xfId="0" applyNumberFormat="1" applyFont="1" applyFill="1" applyBorder="1" applyAlignment="1">
      <alignment vertical="center"/>
    </xf>
    <xf numFmtId="180" fontId="6" fillId="0" borderId="3" xfId="0" applyNumberFormat="1" applyFont="1" applyFill="1" applyBorder="1" applyAlignment="1">
      <alignment vertical="center"/>
    </xf>
    <xf numFmtId="176" fontId="37" fillId="0" borderId="8" xfId="0" applyFont="1" applyBorder="1" applyAlignment="1">
      <alignment horizontal="left" vertical="center" wrapText="1"/>
    </xf>
    <xf numFmtId="176" fontId="37" fillId="0" borderId="3" xfId="0" applyFont="1" applyBorder="1" applyAlignment="1">
      <alignment horizontal="left" vertical="center" wrapText="1"/>
    </xf>
    <xf numFmtId="43" fontId="40" fillId="0" borderId="8" xfId="5" applyFont="1" applyFill="1" applyBorder="1" applyAlignment="1">
      <alignment horizontal="center" vertical="center"/>
    </xf>
    <xf numFmtId="43" fontId="40" fillId="0" borderId="4" xfId="5" applyFont="1" applyFill="1" applyBorder="1" applyAlignment="1">
      <alignment horizontal="center" vertical="center"/>
    </xf>
    <xf numFmtId="43" fontId="40" fillId="0" borderId="3" xfId="5" applyFont="1" applyFill="1" applyBorder="1" applyAlignment="1">
      <alignment horizontal="center" vertical="center"/>
    </xf>
    <xf numFmtId="180" fontId="6" fillId="0" borderId="8" xfId="0" applyNumberFormat="1" applyFont="1" applyFill="1" applyBorder="1" applyAlignment="1">
      <alignment horizontal="right" vertical="center"/>
    </xf>
    <xf numFmtId="180" fontId="6" fillId="0" borderId="3" xfId="0" applyNumberFormat="1" applyFont="1" applyFill="1" applyBorder="1" applyAlignment="1">
      <alignment horizontal="right" vertical="center"/>
    </xf>
    <xf numFmtId="180" fontId="40" fillId="0" borderId="8" xfId="0" applyNumberFormat="1" applyFont="1" applyFill="1" applyBorder="1" applyAlignment="1">
      <alignment horizontal="right" vertical="center"/>
    </xf>
    <xf numFmtId="180" fontId="40" fillId="0" borderId="4" xfId="0" applyNumberFormat="1" applyFont="1" applyFill="1" applyBorder="1" applyAlignment="1">
      <alignment horizontal="right" vertical="center"/>
    </xf>
    <xf numFmtId="180" fontId="40" fillId="0" borderId="3" xfId="0" applyNumberFormat="1" applyFont="1" applyFill="1" applyBorder="1" applyAlignment="1">
      <alignment horizontal="right" vertical="center"/>
    </xf>
    <xf numFmtId="176" fontId="37" fillId="0" borderId="1" xfId="0" applyFont="1" applyFill="1" applyBorder="1" applyAlignment="1">
      <alignment horizontal="center" vertical="center"/>
    </xf>
    <xf numFmtId="14" fontId="37" fillId="0" borderId="1" xfId="0" applyNumberFormat="1" applyFont="1" applyFill="1" applyBorder="1" applyAlignment="1">
      <alignment horizontal="center" vertical="center"/>
    </xf>
    <xf numFmtId="2" fontId="37" fillId="0" borderId="1" xfId="0" applyNumberFormat="1" applyFont="1" applyFill="1" applyBorder="1" applyAlignment="1">
      <alignment horizontal="right" vertical="center" wrapText="1"/>
    </xf>
    <xf numFmtId="14" fontId="37" fillId="0" borderId="8" xfId="0" applyNumberFormat="1" applyFont="1" applyFill="1" applyBorder="1" applyAlignment="1">
      <alignment horizontal="center" vertical="center" wrapText="1"/>
    </xf>
    <xf numFmtId="14" fontId="37" fillId="0" borderId="4" xfId="0" applyNumberFormat="1" applyFont="1" applyFill="1" applyBorder="1" applyAlignment="1">
      <alignment horizontal="center" vertical="center" wrapText="1"/>
    </xf>
    <xf numFmtId="14" fontId="37" fillId="0" borderId="3" xfId="0" applyNumberFormat="1" applyFont="1" applyFill="1" applyBorder="1" applyAlignment="1">
      <alignment horizontal="center" vertical="center" wrapText="1"/>
    </xf>
    <xf numFmtId="2" fontId="37" fillId="0" borderId="1" xfId="0" applyNumberFormat="1" applyFont="1" applyFill="1" applyBorder="1" applyAlignment="1">
      <alignment horizontal="right" vertical="center"/>
    </xf>
    <xf numFmtId="176" fontId="37" fillId="0" borderId="1" xfId="0" applyFont="1" applyFill="1" applyBorder="1" applyAlignment="1">
      <alignment vertical="center"/>
    </xf>
    <xf numFmtId="14" fontId="37" fillId="0" borderId="1" xfId="0" applyNumberFormat="1" applyFont="1" applyFill="1" applyBorder="1" applyAlignment="1">
      <alignment horizontal="center"/>
    </xf>
    <xf numFmtId="14" fontId="37" fillId="0" borderId="8" xfId="0" applyNumberFormat="1" applyFont="1" applyFill="1" applyBorder="1" applyAlignment="1">
      <alignment horizontal="center" vertical="center"/>
    </xf>
    <xf numFmtId="14" fontId="37" fillId="0" borderId="4" xfId="0" applyNumberFormat="1" applyFont="1" applyFill="1" applyBorder="1" applyAlignment="1">
      <alignment horizontal="center" vertical="center"/>
    </xf>
    <xf numFmtId="14" fontId="37" fillId="0" borderId="3" xfId="0" applyNumberFormat="1" applyFont="1" applyFill="1" applyBorder="1" applyAlignment="1">
      <alignment horizontal="center" vertical="center"/>
    </xf>
    <xf numFmtId="176" fontId="37" fillId="0" borderId="8" xfId="0" applyFont="1" applyFill="1" applyBorder="1" applyAlignment="1">
      <alignment horizontal="center" vertical="center" wrapText="1"/>
    </xf>
    <xf numFmtId="180" fontId="40" fillId="0" borderId="6" xfId="0" applyNumberFormat="1" applyFont="1" applyFill="1" applyBorder="1" applyAlignment="1">
      <alignment horizontal="center" vertical="center"/>
    </xf>
    <xf numFmtId="180" fontId="40" fillId="0" borderId="25" xfId="0" applyNumberFormat="1" applyFont="1" applyFill="1" applyBorder="1" applyAlignment="1">
      <alignment horizontal="center" vertical="center"/>
    </xf>
    <xf numFmtId="180" fontId="40" fillId="0" borderId="5" xfId="0" applyNumberFormat="1" applyFont="1" applyFill="1" applyBorder="1" applyAlignment="1">
      <alignment horizontal="center" vertical="center"/>
    </xf>
    <xf numFmtId="14" fontId="73" fillId="0" borderId="8" xfId="0" applyNumberFormat="1" applyFont="1" applyBorder="1" applyAlignment="1">
      <alignment horizontal="center" vertical="center" wrapText="1"/>
    </xf>
    <xf numFmtId="14" fontId="73" fillId="0" borderId="4" xfId="0" applyNumberFormat="1" applyFont="1" applyBorder="1" applyAlignment="1">
      <alignment horizontal="center" vertical="center" wrapText="1"/>
    </xf>
    <xf numFmtId="14" fontId="73" fillId="0" borderId="3" xfId="0" applyNumberFormat="1" applyFont="1" applyBorder="1" applyAlignment="1">
      <alignment horizontal="center" vertical="center" wrapText="1"/>
    </xf>
    <xf numFmtId="176" fontId="73" fillId="0" borderId="8" xfId="0" applyFont="1" applyBorder="1" applyAlignment="1">
      <alignment horizontal="center" vertical="center" wrapText="1"/>
    </xf>
    <xf numFmtId="176" fontId="73" fillId="0" borderId="4" xfId="0" applyFont="1" applyBorder="1" applyAlignment="1">
      <alignment horizontal="center" vertical="center" wrapText="1"/>
    </xf>
    <xf numFmtId="176" fontId="73" fillId="0" borderId="3" xfId="0" applyFont="1" applyBorder="1" applyAlignment="1">
      <alignment horizontal="center" vertical="center" wrapText="1"/>
    </xf>
    <xf numFmtId="180" fontId="73" fillId="0" borderId="8" xfId="0" applyNumberFormat="1" applyFont="1" applyFill="1" applyBorder="1" applyAlignment="1">
      <alignment horizontal="right" vertical="center"/>
    </xf>
    <xf numFmtId="180" fontId="73" fillId="0" borderId="4" xfId="0" applyNumberFormat="1" applyFont="1" applyFill="1" applyBorder="1" applyAlignment="1">
      <alignment horizontal="right" vertical="center"/>
    </xf>
    <xf numFmtId="180" fontId="73" fillId="0" borderId="3" xfId="0" applyNumberFormat="1" applyFont="1" applyFill="1" applyBorder="1" applyAlignment="1">
      <alignment horizontal="right" vertical="center"/>
    </xf>
    <xf numFmtId="43" fontId="73" fillId="0" borderId="8" xfId="5" applyFont="1" applyFill="1" applyBorder="1" applyAlignment="1">
      <alignment horizontal="center" vertical="center"/>
    </xf>
    <xf numFmtId="43" fontId="73" fillId="0" borderId="4" xfId="5" applyFont="1" applyFill="1" applyBorder="1" applyAlignment="1">
      <alignment horizontal="center" vertical="center"/>
    </xf>
    <xf numFmtId="43" fontId="73" fillId="0" borderId="3" xfId="5" applyFont="1" applyFill="1" applyBorder="1" applyAlignment="1">
      <alignment horizontal="center" vertical="center"/>
    </xf>
    <xf numFmtId="43" fontId="6" fillId="0" borderId="8" xfId="5" applyFont="1" applyFill="1" applyBorder="1" applyAlignment="1">
      <alignment vertical="center"/>
    </xf>
    <xf numFmtId="43" fontId="6" fillId="0" borderId="3" xfId="5" applyFont="1" applyFill="1" applyBorder="1" applyAlignment="1">
      <alignment vertical="center"/>
    </xf>
    <xf numFmtId="180" fontId="6" fillId="0" borderId="4" xfId="0" applyNumberFormat="1" applyFont="1" applyFill="1" applyBorder="1" applyAlignment="1">
      <alignment vertical="center"/>
    </xf>
    <xf numFmtId="43" fontId="6" fillId="0" borderId="8" xfId="5" applyFont="1" applyFill="1" applyBorder="1" applyAlignment="1">
      <alignment horizontal="center" vertical="center"/>
    </xf>
    <xf numFmtId="43" fontId="6" fillId="0" borderId="3" xfId="5" applyFont="1" applyFill="1" applyBorder="1" applyAlignment="1">
      <alignment horizontal="center" vertical="center"/>
    </xf>
    <xf numFmtId="43" fontId="6" fillId="0" borderId="4" xfId="5" applyFont="1" applyFill="1" applyBorder="1" applyAlignment="1">
      <alignment horizontal="center" vertical="center"/>
    </xf>
    <xf numFmtId="180" fontId="6" fillId="0" borderId="4" xfId="0" applyNumberFormat="1" applyFont="1" applyFill="1" applyBorder="1" applyAlignment="1">
      <alignment horizontal="right" vertical="center"/>
    </xf>
    <xf numFmtId="14" fontId="37" fillId="0" borderId="8" xfId="0" applyNumberFormat="1" applyFont="1" applyBorder="1" applyAlignment="1">
      <alignment horizontal="center" vertical="center"/>
    </xf>
    <xf numFmtId="14" fontId="37" fillId="0" borderId="4" xfId="0" applyNumberFormat="1" applyFont="1" applyBorder="1" applyAlignment="1">
      <alignment horizontal="center" vertical="center"/>
    </xf>
    <xf numFmtId="14" fontId="37" fillId="0" borderId="3" xfId="0" applyNumberFormat="1" applyFont="1" applyBorder="1" applyAlignment="1">
      <alignment horizontal="center" vertical="center"/>
    </xf>
    <xf numFmtId="176" fontId="0" fillId="0" borderId="4" xfId="0" applyBorder="1" applyAlignment="1">
      <alignment horizontal="left" vertical="center"/>
    </xf>
    <xf numFmtId="176" fontId="0" fillId="0" borderId="3" xfId="0" applyBorder="1" applyAlignment="1">
      <alignment horizontal="left" vertical="center"/>
    </xf>
    <xf numFmtId="43" fontId="6" fillId="0" borderId="4" xfId="5" applyFont="1" applyFill="1" applyBorder="1" applyAlignment="1">
      <alignment vertical="center"/>
    </xf>
    <xf numFmtId="14" fontId="16" fillId="0" borderId="8" xfId="0" applyNumberFormat="1" applyFont="1" applyBorder="1" applyAlignment="1">
      <alignment horizontal="center" vertical="center" wrapText="1"/>
    </xf>
    <xf numFmtId="14" fontId="16" fillId="0" borderId="4" xfId="0" applyNumberFormat="1" applyFont="1" applyBorder="1" applyAlignment="1">
      <alignment horizontal="center" vertical="center"/>
    </xf>
    <xf numFmtId="14" fontId="16" fillId="0" borderId="3" xfId="0" applyNumberFormat="1" applyFont="1" applyBorder="1" applyAlignment="1">
      <alignment horizontal="center" vertical="center"/>
    </xf>
    <xf numFmtId="183" fontId="6" fillId="0" borderId="8" xfId="0" applyNumberFormat="1" applyFont="1" applyBorder="1">
      <alignment vertical="center"/>
    </xf>
    <xf numFmtId="183" fontId="6" fillId="0" borderId="4" xfId="0" applyNumberFormat="1" applyFont="1" applyBorder="1">
      <alignment vertical="center"/>
    </xf>
    <xf numFmtId="183" fontId="6" fillId="0" borderId="3" xfId="0" applyNumberFormat="1" applyFont="1" applyBorder="1">
      <alignment vertical="center"/>
    </xf>
    <xf numFmtId="14" fontId="16" fillId="0" borderId="8" xfId="0" applyNumberFormat="1" applyFont="1" applyBorder="1" applyAlignment="1">
      <alignment horizontal="center" vertical="center"/>
    </xf>
    <xf numFmtId="43" fontId="6" fillId="0" borderId="4" xfId="5" applyFont="1" applyBorder="1">
      <alignment vertical="center"/>
    </xf>
    <xf numFmtId="176" fontId="0" fillId="0" borderId="8" xfId="0" applyBorder="1" applyAlignment="1">
      <alignment horizontal="center" vertical="center"/>
    </xf>
    <xf numFmtId="176" fontId="0" fillId="0" borderId="4" xfId="0" applyBorder="1" applyAlignment="1">
      <alignment horizontal="center" vertical="center"/>
    </xf>
    <xf numFmtId="176" fontId="0" fillId="0" borderId="3" xfId="0" applyBorder="1" applyAlignment="1">
      <alignment horizontal="center" vertical="center"/>
    </xf>
    <xf numFmtId="43" fontId="6" fillId="0" borderId="8" xfId="5" applyFont="1" applyFill="1" applyBorder="1" applyAlignment="1">
      <alignment horizontal="right" vertical="center"/>
    </xf>
    <xf numFmtId="43" fontId="6" fillId="0" borderId="3" xfId="5" applyFont="1" applyFill="1" applyBorder="1" applyAlignment="1">
      <alignment horizontal="right" vertical="center"/>
    </xf>
    <xf numFmtId="43" fontId="73" fillId="0" borderId="8" xfId="5" applyFont="1" applyFill="1" applyBorder="1" applyAlignment="1">
      <alignment horizontal="right" vertical="center"/>
    </xf>
    <xf numFmtId="43" fontId="73" fillId="0" borderId="3" xfId="5" applyFont="1" applyFill="1" applyBorder="1" applyAlignment="1">
      <alignment horizontal="right" vertical="center"/>
    </xf>
    <xf numFmtId="176" fontId="6" fillId="0" borderId="1" xfId="0" applyFont="1" applyBorder="1" applyAlignment="1">
      <alignment horizontal="center" vertical="center"/>
    </xf>
    <xf numFmtId="180" fontId="6" fillId="0" borderId="8" xfId="0" applyNumberFormat="1" applyFont="1" applyBorder="1" applyAlignment="1">
      <alignment vertical="center"/>
    </xf>
    <xf numFmtId="180" fontId="6" fillId="0" borderId="3" xfId="0" applyNumberFormat="1" applyFont="1" applyBorder="1" applyAlignment="1">
      <alignment vertical="center"/>
    </xf>
    <xf numFmtId="180" fontId="6" fillId="0" borderId="4" xfId="0" applyNumberFormat="1" applyFont="1" applyBorder="1" applyAlignment="1">
      <alignment vertical="center"/>
    </xf>
    <xf numFmtId="180" fontId="37" fillId="0" borderId="8" xfId="0" applyNumberFormat="1" applyFont="1" applyFill="1" applyBorder="1" applyAlignment="1">
      <alignment horizontal="center" vertical="center"/>
    </xf>
    <xf numFmtId="180" fontId="37" fillId="0" borderId="3" xfId="0" applyNumberFormat="1" applyFont="1" applyFill="1" applyBorder="1" applyAlignment="1">
      <alignment horizontal="center" vertical="center"/>
    </xf>
    <xf numFmtId="180" fontId="37" fillId="0" borderId="8" xfId="0" applyNumberFormat="1" applyFont="1" applyFill="1" applyBorder="1" applyAlignment="1">
      <alignment vertical="center"/>
    </xf>
    <xf numFmtId="180" fontId="37" fillId="0" borderId="3" xfId="0" applyNumberFormat="1" applyFont="1" applyFill="1" applyBorder="1" applyAlignment="1">
      <alignment vertical="center"/>
    </xf>
    <xf numFmtId="43" fontId="37" fillId="0" borderId="8" xfId="5" applyFont="1" applyFill="1" applyBorder="1" applyAlignment="1">
      <alignment horizontal="center" vertical="center"/>
    </xf>
    <xf numFmtId="43" fontId="37" fillId="0" borderId="4" xfId="5" applyFont="1" applyFill="1" applyBorder="1" applyAlignment="1">
      <alignment horizontal="center" vertical="center"/>
    </xf>
    <xf numFmtId="43" fontId="37" fillId="0" borderId="3" xfId="5" applyFont="1" applyFill="1" applyBorder="1" applyAlignment="1">
      <alignment horizontal="center" vertical="center"/>
    </xf>
    <xf numFmtId="180" fontId="37" fillId="0" borderId="4" xfId="0" applyNumberFormat="1" applyFont="1" applyFill="1" applyBorder="1" applyAlignment="1">
      <alignment horizontal="center" vertical="center"/>
    </xf>
    <xf numFmtId="180" fontId="37" fillId="0" borderId="4" xfId="0" applyNumberFormat="1" applyFont="1" applyFill="1" applyBorder="1" applyAlignment="1">
      <alignment vertical="center"/>
    </xf>
    <xf numFmtId="14" fontId="16" fillId="0" borderId="8" xfId="0" applyNumberFormat="1" applyFont="1" applyBorder="1" applyAlignment="1">
      <alignment horizontal="left" vertical="center"/>
    </xf>
    <xf numFmtId="14" fontId="16" fillId="0" borderId="4" xfId="0" applyNumberFormat="1" applyFont="1" applyBorder="1" applyAlignment="1">
      <alignment horizontal="left" vertical="center"/>
    </xf>
    <xf numFmtId="14" fontId="16" fillId="0" borderId="3" xfId="0" applyNumberFormat="1" applyFont="1" applyBorder="1" applyAlignment="1">
      <alignment horizontal="left" vertical="center"/>
    </xf>
    <xf numFmtId="14" fontId="37" fillId="0" borderId="1" xfId="0" applyNumberFormat="1" applyFont="1" applyBorder="1" applyAlignment="1">
      <alignment horizontal="center" vertical="center"/>
    </xf>
    <xf numFmtId="183" fontId="37" fillId="0" borderId="1" xfId="0" applyNumberFormat="1" applyFont="1" applyBorder="1" applyAlignment="1">
      <alignment horizontal="right" vertical="center"/>
    </xf>
    <xf numFmtId="183" fontId="40" fillId="0" borderId="1" xfId="0" applyNumberFormat="1" applyFont="1" applyBorder="1" applyAlignment="1">
      <alignment horizontal="right" vertical="center"/>
    </xf>
    <xf numFmtId="183" fontId="40" fillId="0" borderId="8" xfId="0" applyNumberFormat="1" applyFont="1" applyBorder="1" applyAlignment="1">
      <alignment horizontal="center" vertical="center"/>
    </xf>
    <xf numFmtId="183" fontId="40" fillId="0" borderId="4" xfId="0" applyNumberFormat="1" applyFont="1" applyBorder="1" applyAlignment="1">
      <alignment horizontal="center" vertical="center"/>
    </xf>
    <xf numFmtId="183" fontId="40" fillId="0" borderId="3" xfId="0" applyNumberFormat="1" applyFont="1" applyBorder="1" applyAlignment="1">
      <alignment horizontal="center" vertical="center"/>
    </xf>
    <xf numFmtId="14" fontId="37" fillId="0" borderId="8" xfId="0" applyNumberFormat="1" applyFont="1" applyBorder="1" applyAlignment="1">
      <alignment horizontal="center" vertical="center" wrapText="1"/>
    </xf>
    <xf numFmtId="14" fontId="37" fillId="0" borderId="8" xfId="0" applyNumberFormat="1" applyFont="1" applyBorder="1" applyAlignment="1">
      <alignment horizontal="left" vertical="center"/>
    </xf>
    <xf numFmtId="14" fontId="37" fillId="0" borderId="4" xfId="0" applyNumberFormat="1" applyFont="1" applyBorder="1" applyAlignment="1">
      <alignment horizontal="left" vertical="center"/>
    </xf>
    <xf numFmtId="14" fontId="37" fillId="0" borderId="3" xfId="0" applyNumberFormat="1" applyFont="1" applyBorder="1" applyAlignment="1">
      <alignment horizontal="left" vertical="center"/>
    </xf>
    <xf numFmtId="183" fontId="6" fillId="0" borderId="4" xfId="0" applyNumberFormat="1" applyFont="1" applyBorder="1" applyAlignment="1">
      <alignment horizontal="right" vertical="center"/>
    </xf>
    <xf numFmtId="183" fontId="40" fillId="0" borderId="8" xfId="0" applyNumberFormat="1" applyFont="1" applyBorder="1">
      <alignment vertical="center"/>
    </xf>
    <xf numFmtId="183" fontId="40" fillId="0" borderId="3" xfId="0" applyNumberFormat="1" applyFont="1" applyBorder="1">
      <alignment vertical="center"/>
    </xf>
    <xf numFmtId="183" fontId="40" fillId="0" borderId="4" xfId="0" applyNumberFormat="1" applyFont="1" applyBorder="1">
      <alignment vertical="center"/>
    </xf>
    <xf numFmtId="176" fontId="45" fillId="0" borderId="8" xfId="0" applyFont="1" applyBorder="1" applyAlignment="1">
      <alignment horizontal="center" vertical="center" wrapText="1"/>
    </xf>
    <xf numFmtId="176" fontId="45" fillId="0" borderId="4" xfId="0" applyFont="1" applyBorder="1" applyAlignment="1">
      <alignment horizontal="center" vertical="center"/>
    </xf>
    <xf numFmtId="176" fontId="45" fillId="0" borderId="3" xfId="0" applyFont="1" applyBorder="1" applyAlignment="1">
      <alignment horizontal="center" vertical="center"/>
    </xf>
    <xf numFmtId="176" fontId="45" fillId="0" borderId="8" xfId="0" applyFont="1" applyBorder="1" applyAlignment="1">
      <alignment horizontal="center" vertical="center"/>
    </xf>
    <xf numFmtId="176" fontId="45" fillId="0" borderId="1" xfId="0" applyFont="1" applyBorder="1" applyAlignment="1">
      <alignment horizontal="center" vertical="center"/>
    </xf>
    <xf numFmtId="180" fontId="45" fillId="0" borderId="1" xfId="0" applyNumberFormat="1" applyFont="1" applyBorder="1" applyAlignment="1">
      <alignment horizontal="right" vertical="center"/>
    </xf>
    <xf numFmtId="14" fontId="45" fillId="0" borderId="1" xfId="0" applyNumberFormat="1" applyFont="1" applyBorder="1" applyAlignment="1">
      <alignment horizontal="center" vertical="center"/>
    </xf>
    <xf numFmtId="176" fontId="45" fillId="0" borderId="1" xfId="0" applyFont="1" applyBorder="1" applyAlignment="1">
      <alignment horizontal="center" vertical="center" wrapText="1"/>
    </xf>
    <xf numFmtId="176" fontId="8" fillId="0" borderId="8" xfId="0" applyFont="1" applyBorder="1" applyAlignment="1">
      <alignment horizontal="center" vertical="center"/>
    </xf>
    <xf numFmtId="176" fontId="8" fillId="0" borderId="4" xfId="0" applyFont="1" applyBorder="1" applyAlignment="1">
      <alignment horizontal="center" vertical="center"/>
    </xf>
    <xf numFmtId="176" fontId="8" fillId="0" borderId="3" xfId="0" applyFont="1" applyBorder="1" applyAlignment="1">
      <alignment horizontal="center" vertical="center"/>
    </xf>
    <xf numFmtId="176" fontId="8" fillId="0" borderId="8" xfId="0" applyFont="1" applyBorder="1" applyAlignment="1">
      <alignment horizontal="center" vertical="center" wrapText="1"/>
    </xf>
    <xf numFmtId="43" fontId="73" fillId="0" borderId="8" xfId="5" applyFont="1" applyBorder="1">
      <alignment vertical="center"/>
    </xf>
    <xf numFmtId="43" fontId="73" fillId="0" borderId="3" xfId="5" applyFont="1" applyBorder="1">
      <alignment vertical="center"/>
    </xf>
    <xf numFmtId="180" fontId="73" fillId="0" borderId="8" xfId="0" applyNumberFormat="1" applyFont="1" applyBorder="1">
      <alignment vertical="center"/>
    </xf>
    <xf numFmtId="180" fontId="73" fillId="0" borderId="3" xfId="0" applyNumberFormat="1" applyFont="1" applyBorder="1">
      <alignment vertical="center"/>
    </xf>
    <xf numFmtId="183" fontId="40" fillId="0" borderId="8" xfId="0" applyNumberFormat="1" applyFont="1" applyFill="1" applyBorder="1" applyAlignment="1">
      <alignment horizontal="right" vertical="center"/>
    </xf>
    <xf numFmtId="183" fontId="40" fillId="0" borderId="3" xfId="0" applyNumberFormat="1" applyFont="1" applyFill="1" applyBorder="1" applyAlignment="1">
      <alignment horizontal="right" vertical="center"/>
    </xf>
    <xf numFmtId="176" fontId="40" fillId="0" borderId="3" xfId="0" applyFont="1" applyFill="1" applyBorder="1" applyAlignment="1">
      <alignment horizontal="center" vertical="center"/>
    </xf>
    <xf numFmtId="176" fontId="47" fillId="0" borderId="8" xfId="0" applyFont="1" applyFill="1" applyBorder="1" applyAlignment="1">
      <alignment horizontal="center" vertical="center" wrapText="1"/>
    </xf>
    <xf numFmtId="176" fontId="47" fillId="0" borderId="3" xfId="0" applyFont="1" applyFill="1" applyBorder="1" applyAlignment="1">
      <alignment horizontal="center" vertical="center"/>
    </xf>
    <xf numFmtId="14" fontId="6" fillId="0" borderId="8" xfId="0" applyNumberFormat="1" applyFont="1" applyFill="1" applyBorder="1" applyAlignment="1">
      <alignment horizontal="center" vertical="center"/>
    </xf>
    <xf numFmtId="14" fontId="6" fillId="0" borderId="3" xfId="0" applyNumberFormat="1" applyFont="1" applyFill="1" applyBorder="1" applyAlignment="1">
      <alignment horizontal="center" vertical="center"/>
    </xf>
    <xf numFmtId="176" fontId="47" fillId="0" borderId="4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/>
    </xf>
    <xf numFmtId="176" fontId="45" fillId="0" borderId="4" xfId="0" applyFont="1" applyBorder="1" applyAlignment="1">
      <alignment horizontal="center" vertical="center" wrapText="1"/>
    </xf>
    <xf numFmtId="176" fontId="45" fillId="0" borderId="3" xfId="0" applyFont="1" applyBorder="1" applyAlignment="1">
      <alignment horizontal="center" vertical="center" wrapText="1"/>
    </xf>
    <xf numFmtId="176" fontId="6" fillId="0" borderId="8" xfId="0" applyFont="1" applyFill="1" applyBorder="1" applyAlignment="1">
      <alignment horizontal="center" vertical="center"/>
    </xf>
    <xf numFmtId="176" fontId="6" fillId="0" borderId="3" xfId="0" applyFont="1" applyFill="1" applyBorder="1" applyAlignment="1">
      <alignment horizontal="center" vertical="center"/>
    </xf>
    <xf numFmtId="43" fontId="6" fillId="0" borderId="8" xfId="5" applyFont="1" applyBorder="1" applyAlignment="1">
      <alignment vertical="center"/>
    </xf>
    <xf numFmtId="43" fontId="6" fillId="0" borderId="4" xfId="5" applyFont="1" applyBorder="1" applyAlignment="1">
      <alignment vertical="center"/>
    </xf>
    <xf numFmtId="43" fontId="6" fillId="0" borderId="3" xfId="5" applyFont="1" applyBorder="1" applyAlignment="1">
      <alignment vertical="center"/>
    </xf>
    <xf numFmtId="176" fontId="6" fillId="0" borderId="4" xfId="0" applyFont="1" applyFill="1" applyBorder="1" applyAlignment="1">
      <alignment horizontal="center" vertical="center"/>
    </xf>
    <xf numFmtId="176" fontId="50" fillId="0" borderId="8" xfId="0" applyFont="1" applyBorder="1" applyAlignment="1">
      <alignment horizontal="center" vertical="center"/>
    </xf>
    <xf numFmtId="176" fontId="50" fillId="0" borderId="4" xfId="0" applyFont="1" applyBorder="1" applyAlignment="1">
      <alignment horizontal="center" vertical="center"/>
    </xf>
    <xf numFmtId="176" fontId="50" fillId="0" borderId="3" xfId="0" applyFont="1" applyBorder="1" applyAlignment="1">
      <alignment horizontal="center" vertical="center"/>
    </xf>
    <xf numFmtId="176" fontId="50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right" vertical="center"/>
    </xf>
    <xf numFmtId="180" fontId="40" fillId="0" borderId="8" xfId="0" applyNumberFormat="1" applyFont="1" applyBorder="1" applyAlignment="1">
      <alignment vertical="center"/>
    </xf>
    <xf numFmtId="180" fontId="40" fillId="0" borderId="3" xfId="0" applyNumberFormat="1" applyFont="1" applyBorder="1" applyAlignment="1">
      <alignment vertical="center"/>
    </xf>
    <xf numFmtId="180" fontId="40" fillId="0" borderId="4" xfId="0" applyNumberFormat="1" applyFont="1" applyBorder="1" applyAlignment="1">
      <alignment vertical="center"/>
    </xf>
    <xf numFmtId="180" fontId="40" fillId="0" borderId="1" xfId="0" applyNumberFormat="1" applyFont="1" applyBorder="1" applyAlignment="1">
      <alignment vertical="center"/>
    </xf>
    <xf numFmtId="43" fontId="6" fillId="0" borderId="4" xfId="5" applyFont="1" applyFill="1" applyBorder="1" applyAlignment="1">
      <alignment horizontal="right" vertical="center"/>
    </xf>
    <xf numFmtId="180" fontId="6" fillId="0" borderId="8" xfId="5" applyNumberFormat="1" applyFont="1" applyFill="1" applyBorder="1" applyAlignment="1">
      <alignment horizontal="right" vertical="center"/>
    </xf>
    <xf numFmtId="180" fontId="6" fillId="0" borderId="3" xfId="5" applyNumberFormat="1" applyFont="1" applyFill="1" applyBorder="1" applyAlignment="1">
      <alignment horizontal="right" vertical="center"/>
    </xf>
    <xf numFmtId="180" fontId="6" fillId="0" borderId="4" xfId="5" applyNumberFormat="1" applyFont="1" applyFill="1" applyBorder="1" applyAlignment="1">
      <alignment horizontal="right" vertical="center"/>
    </xf>
    <xf numFmtId="176" fontId="16" fillId="0" borderId="8" xfId="0" applyFont="1" applyFill="1" applyBorder="1" applyAlignment="1">
      <alignment horizontal="center" vertical="center" wrapText="1"/>
    </xf>
    <xf numFmtId="180" fontId="40" fillId="0" borderId="8" xfId="5" applyNumberFormat="1" applyFont="1" applyFill="1" applyBorder="1" applyAlignment="1">
      <alignment horizontal="right" vertical="center"/>
    </xf>
    <xf numFmtId="180" fontId="40" fillId="0" borderId="3" xfId="5" applyNumberFormat="1" applyFont="1" applyFill="1" applyBorder="1" applyAlignment="1">
      <alignment horizontal="right" vertical="center"/>
    </xf>
    <xf numFmtId="180" fontId="40" fillId="0" borderId="4" xfId="5" applyNumberFormat="1" applyFont="1" applyFill="1" applyBorder="1" applyAlignment="1">
      <alignment horizontal="right" vertical="center"/>
    </xf>
    <xf numFmtId="176" fontId="28" fillId="0" borderId="8" xfId="0" applyFont="1" applyFill="1" applyBorder="1" applyAlignment="1">
      <alignment horizontal="left" vertical="center"/>
    </xf>
    <xf numFmtId="176" fontId="28" fillId="0" borderId="4" xfId="0" applyFont="1" applyFill="1" applyBorder="1" applyAlignment="1">
      <alignment horizontal="left" vertical="center"/>
    </xf>
    <xf numFmtId="176" fontId="28" fillId="0" borderId="3" xfId="0" applyFont="1" applyFill="1" applyBorder="1" applyAlignment="1">
      <alignment horizontal="left" vertical="center"/>
    </xf>
    <xf numFmtId="176" fontId="40" fillId="0" borderId="8" xfId="0" applyFont="1" applyFill="1" applyBorder="1" applyAlignment="1">
      <alignment horizontal="center" vertical="center"/>
    </xf>
    <xf numFmtId="176" fontId="28" fillId="0" borderId="8" xfId="0" applyFont="1" applyFill="1" applyBorder="1" applyAlignment="1">
      <alignment horizontal="center" vertical="center"/>
    </xf>
    <xf numFmtId="176" fontId="28" fillId="0" borderId="3" xfId="0" applyFont="1" applyFill="1" applyBorder="1" applyAlignment="1">
      <alignment horizontal="center" vertical="center"/>
    </xf>
    <xf numFmtId="176" fontId="28" fillId="0" borderId="4" xfId="0" applyFont="1" applyFill="1" applyBorder="1" applyAlignment="1">
      <alignment horizontal="center" vertical="center"/>
    </xf>
    <xf numFmtId="2" fontId="28" fillId="0" borderId="1" xfId="0" applyNumberFormat="1" applyFont="1" applyFill="1" applyBorder="1" applyAlignment="1">
      <alignment horizontal="right" vertical="center"/>
    </xf>
    <xf numFmtId="14" fontId="28" fillId="0" borderId="1" xfId="0" applyNumberFormat="1" applyFont="1" applyFill="1" applyBorder="1" applyAlignment="1">
      <alignment horizontal="center" vertical="center"/>
    </xf>
    <xf numFmtId="176" fontId="28" fillId="0" borderId="1" xfId="0" applyFont="1" applyFill="1" applyBorder="1" applyAlignment="1">
      <alignment horizontal="center" vertical="center" wrapText="1"/>
    </xf>
    <xf numFmtId="14" fontId="28" fillId="0" borderId="1" xfId="0" applyNumberFormat="1" applyFont="1" applyFill="1" applyBorder="1" applyAlignment="1">
      <alignment horizontal="center" vertical="center" wrapText="1"/>
    </xf>
    <xf numFmtId="14" fontId="23" fillId="0" borderId="1" xfId="2" applyNumberFormat="1" applyFont="1" applyFill="1" applyBorder="1" applyAlignment="1">
      <alignment horizontal="center" vertical="center"/>
    </xf>
    <xf numFmtId="14" fontId="23" fillId="0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Fill="1" applyBorder="1" applyAlignment="1">
      <alignment horizontal="right" vertical="center" wrapText="1"/>
    </xf>
    <xf numFmtId="176" fontId="28" fillId="0" borderId="1" xfId="0" applyFont="1" applyFill="1" applyBorder="1" applyAlignment="1">
      <alignment horizontal="center" vertical="center"/>
    </xf>
    <xf numFmtId="176" fontId="28" fillId="0" borderId="1" xfId="0" applyFont="1" applyFill="1" applyBorder="1" applyAlignment="1">
      <alignment vertical="center"/>
    </xf>
    <xf numFmtId="176" fontId="16" fillId="0" borderId="1" xfId="0" applyFont="1" applyFill="1" applyBorder="1" applyAlignment="1">
      <alignment horizontal="center" vertical="center" wrapText="1"/>
    </xf>
    <xf numFmtId="176" fontId="16" fillId="0" borderId="1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180" fontId="6" fillId="0" borderId="1" xfId="0" applyNumberFormat="1" applyFont="1" applyFill="1" applyBorder="1" applyAlignment="1">
      <alignment horizontal="right" vertical="center"/>
    </xf>
    <xf numFmtId="176" fontId="37" fillId="0" borderId="1" xfId="0" applyFont="1" applyFill="1" applyBorder="1" applyAlignment="1">
      <alignment horizontal="center" vertical="center" wrapText="1"/>
    </xf>
    <xf numFmtId="14" fontId="40" fillId="0" borderId="1" xfId="0" applyNumberFormat="1" applyFont="1" applyFill="1" applyBorder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/>
    </xf>
    <xf numFmtId="176" fontId="0" fillId="0" borderId="1" xfId="0" applyFont="1" applyBorder="1" applyAlignment="1">
      <alignment horizontal="center" vertical="center"/>
    </xf>
    <xf numFmtId="176" fontId="0" fillId="0" borderId="3" xfId="0" applyFont="1" applyBorder="1" applyAlignment="1">
      <alignment horizontal="left" vertical="center"/>
    </xf>
    <xf numFmtId="2" fontId="6" fillId="0" borderId="4" xfId="0" applyNumberFormat="1" applyFont="1" applyBorder="1">
      <alignment vertical="center"/>
    </xf>
    <xf numFmtId="180" fontId="28" fillId="0" borderId="1" xfId="0" applyNumberFormat="1" applyFont="1" applyFill="1" applyBorder="1" applyAlignment="1">
      <alignment horizontal="center" vertical="center"/>
    </xf>
    <xf numFmtId="180" fontId="37" fillId="0" borderId="1" xfId="0" applyNumberFormat="1" applyFont="1" applyBorder="1" applyAlignment="1">
      <alignment horizontal="center" vertical="center"/>
    </xf>
    <xf numFmtId="180" fontId="37" fillId="0" borderId="1" xfId="0" applyNumberFormat="1" applyFont="1" applyFill="1" applyBorder="1" applyAlignment="1">
      <alignment horizontal="center" vertical="center"/>
    </xf>
    <xf numFmtId="176" fontId="40" fillId="0" borderId="6" xfId="0" applyFont="1" applyBorder="1" applyAlignment="1">
      <alignment horizontal="center" vertical="center"/>
    </xf>
    <xf numFmtId="176" fontId="40" fillId="0" borderId="25" xfId="0" applyFont="1" applyBorder="1" applyAlignment="1">
      <alignment horizontal="center" vertical="center"/>
    </xf>
    <xf numFmtId="176" fontId="40" fillId="0" borderId="5" xfId="0" applyFont="1" applyBorder="1" applyAlignment="1">
      <alignment horizontal="center" vertical="center"/>
    </xf>
    <xf numFmtId="176" fontId="62" fillId="0" borderId="4" xfId="0" applyFont="1" applyBorder="1" applyAlignment="1">
      <alignment horizontal="center" vertical="center"/>
    </xf>
    <xf numFmtId="176" fontId="62" fillId="0" borderId="3" xfId="0" applyFont="1" applyBorder="1" applyAlignment="1">
      <alignment horizontal="center" vertical="center"/>
    </xf>
    <xf numFmtId="14" fontId="73" fillId="0" borderId="8" xfId="0" applyNumberFormat="1" applyFont="1" applyFill="1" applyBorder="1" applyAlignment="1">
      <alignment horizontal="center" vertical="center"/>
    </xf>
    <xf numFmtId="14" fontId="73" fillId="0" borderId="3" xfId="0" applyNumberFormat="1" applyFont="1" applyFill="1" applyBorder="1" applyAlignment="1">
      <alignment horizontal="center" vertical="center"/>
    </xf>
    <xf numFmtId="176" fontId="60" fillId="0" borderId="8" xfId="0" applyFont="1" applyFill="1" applyBorder="1" applyAlignment="1">
      <alignment horizontal="center" vertical="center"/>
    </xf>
    <xf numFmtId="176" fontId="60" fillId="0" borderId="3" xfId="0" applyFont="1" applyFill="1" applyBorder="1" applyAlignment="1">
      <alignment horizontal="center" vertical="center"/>
    </xf>
    <xf numFmtId="176" fontId="73" fillId="0" borderId="8" xfId="0" applyFont="1" applyFill="1" applyBorder="1" applyAlignment="1">
      <alignment horizontal="center" vertical="center"/>
    </xf>
    <xf numFmtId="176" fontId="73" fillId="0" borderId="3" xfId="0" applyFont="1" applyFill="1" applyBorder="1" applyAlignment="1">
      <alignment horizontal="center" vertical="center"/>
    </xf>
    <xf numFmtId="176" fontId="50" fillId="0" borderId="8" xfId="0" applyFont="1" applyFill="1" applyBorder="1" applyAlignment="1">
      <alignment horizontal="center" vertical="center"/>
    </xf>
    <xf numFmtId="176" fontId="50" fillId="0" borderId="4" xfId="0" applyFont="1" applyFill="1" applyBorder="1" applyAlignment="1">
      <alignment horizontal="center" vertical="center"/>
    </xf>
    <xf numFmtId="176" fontId="50" fillId="0" borderId="3" xfId="0" applyFont="1" applyFill="1" applyBorder="1" applyAlignment="1">
      <alignment horizontal="center" vertical="center"/>
    </xf>
    <xf numFmtId="176" fontId="50" fillId="0" borderId="1" xfId="0" applyFont="1" applyFill="1" applyBorder="1" applyAlignment="1">
      <alignment horizontal="left" vertical="center"/>
    </xf>
    <xf numFmtId="177" fontId="40" fillId="0" borderId="1" xfId="0" applyNumberFormat="1" applyFont="1" applyFill="1" applyBorder="1" applyAlignment="1">
      <alignment horizontal="center" vertical="center"/>
    </xf>
    <xf numFmtId="180" fontId="40" fillId="0" borderId="1" xfId="0" applyNumberFormat="1" applyFont="1" applyFill="1" applyBorder="1" applyAlignment="1">
      <alignment horizontal="right" vertical="center"/>
    </xf>
    <xf numFmtId="176" fontId="50" fillId="0" borderId="8" xfId="0" applyFont="1" applyFill="1" applyBorder="1" applyAlignment="1">
      <alignment horizontal="left" vertical="center"/>
    </xf>
    <xf numFmtId="176" fontId="50" fillId="0" borderId="3" xfId="0" applyFont="1" applyFill="1" applyBorder="1" applyAlignment="1">
      <alignment horizontal="left" vertical="center"/>
    </xf>
    <xf numFmtId="176" fontId="50" fillId="0" borderId="1" xfId="0" applyFont="1" applyFill="1" applyBorder="1" applyAlignment="1">
      <alignment horizontal="center" vertical="center"/>
    </xf>
    <xf numFmtId="176" fontId="51" fillId="0" borderId="0" xfId="0" applyFont="1" applyFill="1" applyBorder="1" applyAlignment="1">
      <alignment horizontal="center" vertical="center"/>
    </xf>
    <xf numFmtId="176" fontId="50" fillId="0" borderId="1" xfId="0" applyFont="1" applyFill="1" applyBorder="1" applyAlignment="1">
      <alignment horizontal="center" vertical="center" wrapText="1"/>
    </xf>
    <xf numFmtId="176" fontId="40" fillId="0" borderId="1" xfId="0" applyFont="1" applyFill="1" applyBorder="1" applyAlignment="1">
      <alignment horizontal="center" vertical="center" wrapText="1"/>
    </xf>
    <xf numFmtId="176" fontId="40" fillId="0" borderId="1" xfId="0" applyFont="1" applyFill="1" applyBorder="1" applyAlignment="1">
      <alignment horizontal="center" vertical="center"/>
    </xf>
    <xf numFmtId="180" fontId="40" fillId="0" borderId="1" xfId="0" applyNumberFormat="1" applyFont="1" applyFill="1" applyBorder="1" applyAlignment="1">
      <alignment horizontal="right" vertical="center" wrapText="1"/>
    </xf>
    <xf numFmtId="43" fontId="40" fillId="0" borderId="8" xfId="5" applyFont="1" applyFill="1" applyBorder="1" applyAlignment="1">
      <alignment horizontal="right" vertical="center"/>
    </xf>
    <xf numFmtId="43" fontId="40" fillId="0" borderId="4" xfId="5" applyFont="1" applyFill="1" applyBorder="1" applyAlignment="1">
      <alignment horizontal="right" vertical="center"/>
    </xf>
    <xf numFmtId="43" fontId="40" fillId="0" borderId="3" xfId="5" applyFont="1" applyFill="1" applyBorder="1" applyAlignment="1">
      <alignment horizontal="right" vertical="center"/>
    </xf>
    <xf numFmtId="176" fontId="60" fillId="0" borderId="1" xfId="0" applyFont="1" applyFill="1" applyBorder="1" applyAlignment="1">
      <alignment horizontal="center" vertical="center"/>
    </xf>
    <xf numFmtId="176" fontId="60" fillId="0" borderId="1" xfId="0" applyFont="1" applyFill="1" applyBorder="1" applyAlignment="1">
      <alignment vertical="center"/>
    </xf>
    <xf numFmtId="183" fontId="50" fillId="0" borderId="1" xfId="0" applyNumberFormat="1" applyFont="1" applyFill="1" applyBorder="1" applyAlignment="1">
      <alignment horizontal="right" vertical="center"/>
    </xf>
    <xf numFmtId="2" fontId="60" fillId="0" borderId="1" xfId="0" applyNumberFormat="1" applyFont="1" applyFill="1" applyBorder="1" applyAlignment="1">
      <alignment horizontal="right" vertical="center"/>
    </xf>
    <xf numFmtId="14" fontId="50" fillId="0" borderId="1" xfId="0" applyNumberFormat="1" applyFont="1" applyFill="1" applyBorder="1" applyAlignment="1">
      <alignment horizontal="center" vertical="center"/>
    </xf>
    <xf numFmtId="14" fontId="60" fillId="0" borderId="1" xfId="0" applyNumberFormat="1" applyFont="1" applyFill="1" applyBorder="1" applyAlignment="1">
      <alignment horizontal="center" vertical="center"/>
    </xf>
    <xf numFmtId="176" fontId="8" fillId="0" borderId="8" xfId="0" applyFont="1" applyFill="1" applyBorder="1" applyAlignment="1">
      <alignment horizontal="center" vertical="center"/>
    </xf>
    <xf numFmtId="176" fontId="8" fillId="0" borderId="4" xfId="0" applyFont="1" applyFill="1" applyBorder="1" applyAlignment="1">
      <alignment horizontal="center" vertical="center"/>
    </xf>
    <xf numFmtId="176" fontId="8" fillId="0" borderId="3" xfId="0" applyFont="1" applyFill="1" applyBorder="1" applyAlignment="1">
      <alignment horizontal="center" vertical="center"/>
    </xf>
    <xf numFmtId="180" fontId="6" fillId="0" borderId="1" xfId="0" applyNumberFormat="1" applyFont="1" applyBorder="1" applyAlignment="1">
      <alignment horizontal="right" vertical="center"/>
    </xf>
    <xf numFmtId="176" fontId="8" fillId="0" borderId="1" xfId="0" applyFont="1" applyFill="1" applyBorder="1" applyAlignment="1">
      <alignment horizontal="center" vertical="center"/>
    </xf>
    <xf numFmtId="176" fontId="19" fillId="0" borderId="1" xfId="0" applyFont="1" applyFill="1" applyBorder="1" applyAlignment="1">
      <alignment horizontal="center" vertical="center"/>
    </xf>
    <xf numFmtId="2" fontId="50" fillId="0" borderId="1" xfId="0" applyNumberFormat="1" applyFont="1" applyFill="1" applyBorder="1" applyAlignment="1">
      <alignment horizontal="right" vertical="center"/>
    </xf>
    <xf numFmtId="176" fontId="8" fillId="0" borderId="8" xfId="0" applyFont="1" applyFill="1" applyBorder="1" applyAlignment="1">
      <alignment horizontal="center" vertical="center" wrapText="1"/>
    </xf>
    <xf numFmtId="176" fontId="19" fillId="0" borderId="4" xfId="0" applyFont="1" applyFill="1" applyBorder="1" applyAlignment="1">
      <alignment horizontal="center" vertical="center"/>
    </xf>
    <xf numFmtId="176" fontId="19" fillId="0" borderId="3" xfId="0" applyFont="1" applyFill="1" applyBorder="1" applyAlignment="1">
      <alignment horizontal="center" vertical="center"/>
    </xf>
    <xf numFmtId="176" fontId="16" fillId="0" borderId="8" xfId="0" applyNumberFormat="1" applyFont="1" applyFill="1" applyBorder="1" applyAlignment="1">
      <alignment horizontal="center" vertical="center"/>
    </xf>
    <xf numFmtId="176" fontId="16" fillId="0" borderId="4" xfId="0" applyNumberFormat="1" applyFont="1" applyFill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176" fontId="6" fillId="0" borderId="8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6" fontId="16" fillId="0" borderId="8" xfId="0" applyNumberFormat="1" applyFont="1" applyFill="1" applyBorder="1" applyAlignment="1">
      <alignment horizontal="left" vertical="center"/>
    </xf>
    <xf numFmtId="176" fontId="16" fillId="0" borderId="4" xfId="0" applyNumberFormat="1" applyFont="1" applyFill="1" applyBorder="1" applyAlignment="1">
      <alignment horizontal="left" vertical="center"/>
    </xf>
    <xf numFmtId="176" fontId="16" fillId="0" borderId="3" xfId="0" applyNumberFormat="1" applyFont="1" applyFill="1" applyBorder="1" applyAlignment="1">
      <alignment horizontal="left" vertical="center"/>
    </xf>
    <xf numFmtId="180" fontId="6" fillId="0" borderId="1" xfId="0" applyNumberFormat="1" applyFont="1" applyFill="1" applyBorder="1" applyAlignment="1">
      <alignment vertical="center"/>
    </xf>
    <xf numFmtId="176" fontId="16" fillId="0" borderId="1" xfId="0" applyNumberFormat="1" applyFont="1" applyFill="1" applyBorder="1" applyAlignment="1">
      <alignment horizontal="center" vertical="center"/>
    </xf>
    <xf numFmtId="176" fontId="20" fillId="0" borderId="8" xfId="0" applyFont="1" applyBorder="1" applyAlignment="1">
      <alignment horizontal="center" vertical="center" wrapText="1"/>
    </xf>
    <xf numFmtId="176" fontId="20" fillId="0" borderId="4" xfId="0" applyFont="1" applyBorder="1" applyAlignment="1">
      <alignment horizontal="center" vertical="center" wrapText="1"/>
    </xf>
    <xf numFmtId="176" fontId="20" fillId="0" borderId="3" xfId="0" applyFont="1" applyBorder="1" applyAlignment="1">
      <alignment horizontal="center" vertical="center" wrapText="1"/>
    </xf>
    <xf numFmtId="176" fontId="20" fillId="0" borderId="3" xfId="0" applyFont="1" applyBorder="1" applyAlignment="1">
      <alignment horizontal="center" vertical="center"/>
    </xf>
    <xf numFmtId="176" fontId="20" fillId="0" borderId="4" xfId="0" applyFont="1" applyBorder="1" applyAlignment="1">
      <alignment horizontal="center" vertical="center"/>
    </xf>
    <xf numFmtId="180" fontId="6" fillId="0" borderId="8" xfId="5" applyNumberFormat="1" applyFont="1" applyBorder="1" applyAlignment="1">
      <alignment vertical="center"/>
    </xf>
    <xf numFmtId="180" fontId="6" fillId="0" borderId="4" xfId="5" applyNumberFormat="1" applyFont="1" applyBorder="1" applyAlignment="1">
      <alignment vertical="center"/>
    </xf>
    <xf numFmtId="180" fontId="6" fillId="0" borderId="3" xfId="5" applyNumberFormat="1" applyFont="1" applyBorder="1" applyAlignment="1">
      <alignment vertical="center"/>
    </xf>
    <xf numFmtId="180" fontId="40" fillId="0" borderId="8" xfId="5" applyNumberFormat="1" applyFont="1" applyBorder="1" applyAlignment="1">
      <alignment vertical="center"/>
    </xf>
    <xf numFmtId="180" fontId="40" fillId="0" borderId="4" xfId="5" applyNumberFormat="1" applyFont="1" applyBorder="1" applyAlignment="1">
      <alignment vertical="center"/>
    </xf>
    <xf numFmtId="180" fontId="40" fillId="0" borderId="3" xfId="5" applyNumberFormat="1" applyFont="1" applyBorder="1" applyAlignment="1">
      <alignment vertical="center"/>
    </xf>
    <xf numFmtId="43" fontId="40" fillId="0" borderId="8" xfId="5" applyFont="1" applyBorder="1" applyAlignment="1">
      <alignment vertical="center"/>
    </xf>
    <xf numFmtId="43" fontId="40" fillId="0" borderId="4" xfId="5" applyFont="1" applyBorder="1" applyAlignment="1">
      <alignment vertical="center"/>
    </xf>
    <xf numFmtId="43" fontId="40" fillId="0" borderId="3" xfId="5" applyFont="1" applyBorder="1" applyAlignment="1">
      <alignment vertical="center"/>
    </xf>
    <xf numFmtId="176" fontId="86" fillId="0" borderId="8" xfId="0" applyFont="1" applyBorder="1" applyAlignment="1">
      <alignment horizontal="center" vertical="center" wrapText="1"/>
    </xf>
    <xf numFmtId="176" fontId="86" fillId="0" borderId="4" xfId="0" applyFont="1" applyBorder="1" applyAlignment="1">
      <alignment horizontal="center" vertical="center"/>
    </xf>
    <xf numFmtId="176" fontId="86" fillId="0" borderId="3" xfId="0" applyFont="1" applyBorder="1" applyAlignment="1">
      <alignment horizontal="center" vertical="center"/>
    </xf>
    <xf numFmtId="176" fontId="62" fillId="0" borderId="1" xfId="0" applyFont="1" applyBorder="1" applyAlignment="1">
      <alignment horizontal="center" vertical="center"/>
    </xf>
    <xf numFmtId="176" fontId="6" fillId="0" borderId="9" xfId="0" applyFont="1" applyBorder="1" applyAlignment="1">
      <alignment horizontal="center" vertical="center"/>
    </xf>
    <xf numFmtId="176" fontId="6" fillId="0" borderId="24" xfId="0" applyFont="1" applyBorder="1" applyAlignment="1">
      <alignment horizontal="center" vertical="center"/>
    </xf>
    <xf numFmtId="14" fontId="6" fillId="0" borderId="9" xfId="0" applyNumberFormat="1" applyFont="1" applyBorder="1" applyAlignment="1">
      <alignment horizontal="center" vertical="center"/>
    </xf>
    <xf numFmtId="14" fontId="6" fillId="0" borderId="24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80" fontId="6" fillId="0" borderId="1" xfId="0" applyNumberFormat="1" applyFont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180" fontId="40" fillId="0" borderId="1" xfId="0" applyNumberFormat="1" applyFont="1" applyBorder="1" applyAlignment="1">
      <alignment horizontal="center" vertical="center"/>
    </xf>
    <xf numFmtId="14" fontId="16" fillId="0" borderId="1" xfId="0" applyNumberFormat="1" applyFont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right" vertical="center"/>
    </xf>
    <xf numFmtId="183" fontId="40" fillId="0" borderId="4" xfId="0" applyNumberFormat="1" applyFont="1" applyFill="1" applyBorder="1" applyAlignment="1">
      <alignment horizontal="right" vertical="center"/>
    </xf>
    <xf numFmtId="176" fontId="40" fillId="0" borderId="4" xfId="0" applyFont="1" applyFill="1" applyBorder="1" applyAlignment="1">
      <alignment horizontal="center" vertical="center"/>
    </xf>
    <xf numFmtId="176" fontId="40" fillId="0" borderId="1" xfId="0" applyNumberFormat="1" applyFont="1" applyFill="1" applyBorder="1" applyAlignment="1">
      <alignment horizontal="center" vertical="center"/>
    </xf>
    <xf numFmtId="176" fontId="45" fillId="0" borderId="8" xfId="0" applyFont="1" applyFill="1" applyBorder="1" applyAlignment="1">
      <alignment horizontal="center" vertical="center"/>
    </xf>
    <xf numFmtId="2" fontId="6" fillId="0" borderId="8" xfId="0" applyNumberFormat="1" applyFont="1" applyFill="1" applyBorder="1" applyAlignment="1">
      <alignment horizontal="right" vertical="center"/>
    </xf>
    <xf numFmtId="2" fontId="6" fillId="0" borderId="4" xfId="0" applyNumberFormat="1" applyFont="1" applyFill="1" applyBorder="1" applyAlignment="1">
      <alignment horizontal="right" vertical="center"/>
    </xf>
    <xf numFmtId="2" fontId="6" fillId="0" borderId="3" xfId="0" applyNumberFormat="1" applyFont="1" applyFill="1" applyBorder="1" applyAlignment="1">
      <alignment horizontal="right" vertical="center"/>
    </xf>
    <xf numFmtId="2" fontId="40" fillId="0" borderId="1" xfId="0" applyNumberFormat="1" applyFont="1" applyBorder="1" applyAlignment="1">
      <alignment horizontal="right" vertical="center"/>
    </xf>
    <xf numFmtId="2" fontId="40" fillId="0" borderId="1" xfId="0" applyNumberFormat="1" applyFont="1" applyFill="1" applyBorder="1" applyAlignment="1">
      <alignment horizontal="right" vertical="center" wrapText="1"/>
    </xf>
    <xf numFmtId="43" fontId="40" fillId="0" borderId="8" xfId="5" applyFont="1" applyBorder="1">
      <alignment vertical="center"/>
    </xf>
    <xf numFmtId="43" fontId="40" fillId="0" borderId="4" xfId="5" applyFont="1" applyBorder="1">
      <alignment vertical="center"/>
    </xf>
    <xf numFmtId="43" fontId="40" fillId="0" borderId="3" xfId="5" applyFont="1" applyBorder="1">
      <alignment vertical="center"/>
    </xf>
    <xf numFmtId="180" fontId="40" fillId="0" borderId="8" xfId="0" applyNumberFormat="1" applyFont="1" applyFill="1" applyBorder="1" applyAlignment="1">
      <alignment vertical="center"/>
    </xf>
    <xf numFmtId="180" fontId="40" fillId="0" borderId="4" xfId="0" applyNumberFormat="1" applyFont="1" applyFill="1" applyBorder="1" applyAlignment="1">
      <alignment vertical="center"/>
    </xf>
    <xf numFmtId="180" fontId="40" fillId="0" borderId="3" xfId="0" applyNumberFormat="1" applyFont="1" applyFill="1" applyBorder="1" applyAlignment="1">
      <alignment vertical="center"/>
    </xf>
    <xf numFmtId="14" fontId="37" fillId="0" borderId="1" xfId="0" applyNumberFormat="1" applyFont="1" applyBorder="1" applyAlignment="1">
      <alignment horizontal="center" vertical="center" wrapText="1"/>
    </xf>
    <xf numFmtId="176" fontId="40" fillId="0" borderId="8" xfId="0" applyFont="1" applyBorder="1" applyAlignment="1">
      <alignment horizontal="center" vertical="center" wrapText="1"/>
    </xf>
    <xf numFmtId="176" fontId="40" fillId="0" borderId="4" xfId="0" applyFont="1" applyBorder="1" applyAlignment="1">
      <alignment horizontal="center" vertical="center" wrapText="1"/>
    </xf>
    <xf numFmtId="176" fontId="40" fillId="0" borderId="3" xfId="0" applyFont="1" applyBorder="1" applyAlignment="1">
      <alignment horizontal="center" vertical="center" wrapText="1"/>
    </xf>
    <xf numFmtId="176" fontId="1" fillId="0" borderId="1" xfId="0" applyFont="1" applyFill="1" applyBorder="1" applyAlignment="1">
      <alignment horizontal="center" vertical="center"/>
    </xf>
    <xf numFmtId="180" fontId="1" fillId="0" borderId="1" xfId="0" applyNumberFormat="1" applyFont="1" applyFill="1" applyBorder="1" applyAlignment="1">
      <alignment horizontal="center" vertical="center"/>
    </xf>
    <xf numFmtId="180" fontId="0" fillId="0" borderId="1" xfId="0" applyNumberFormat="1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49" fontId="45" fillId="0" borderId="8" xfId="0" applyNumberFormat="1" applyFont="1" applyFill="1" applyBorder="1" applyAlignment="1">
      <alignment horizontal="center" vertical="center"/>
    </xf>
    <xf numFmtId="49" fontId="45" fillId="0" borderId="4" xfId="0" applyNumberFormat="1" applyFont="1" applyFill="1" applyBorder="1" applyAlignment="1">
      <alignment horizontal="center" vertical="center"/>
    </xf>
    <xf numFmtId="49" fontId="45" fillId="0" borderId="3" xfId="0" applyNumberFormat="1" applyFont="1" applyFill="1" applyBorder="1" applyAlignment="1">
      <alignment horizontal="center" vertical="center"/>
    </xf>
    <xf numFmtId="49" fontId="45" fillId="0" borderId="1" xfId="0" applyNumberFormat="1" applyFont="1" applyFill="1" applyBorder="1" applyAlignment="1">
      <alignment horizontal="center" vertical="center"/>
    </xf>
    <xf numFmtId="180" fontId="40" fillId="0" borderId="8" xfId="0" applyNumberFormat="1" applyFont="1" applyFill="1" applyBorder="1" applyAlignment="1">
      <alignment horizontal="center" vertical="center"/>
    </xf>
    <xf numFmtId="180" fontId="40" fillId="0" borderId="4" xfId="0" applyNumberFormat="1" applyFont="1" applyFill="1" applyBorder="1" applyAlignment="1">
      <alignment horizontal="center" vertical="center"/>
    </xf>
    <xf numFmtId="180" fontId="40" fillId="0" borderId="3" xfId="0" applyNumberFormat="1" applyFont="1" applyFill="1" applyBorder="1" applyAlignment="1">
      <alignment horizontal="center" vertical="center"/>
    </xf>
    <xf numFmtId="182" fontId="45" fillId="0" borderId="8" xfId="0" applyNumberFormat="1" applyFont="1" applyFill="1" applyBorder="1" applyAlignment="1">
      <alignment horizontal="center" vertical="center"/>
    </xf>
    <xf numFmtId="182" fontId="45" fillId="0" borderId="4" xfId="0" applyNumberFormat="1" applyFont="1" applyFill="1" applyBorder="1" applyAlignment="1">
      <alignment horizontal="center" vertical="center"/>
    </xf>
    <xf numFmtId="182" fontId="45" fillId="0" borderId="3" xfId="0" applyNumberFormat="1" applyFont="1" applyFill="1" applyBorder="1" applyAlignment="1">
      <alignment horizontal="center" vertical="center"/>
    </xf>
    <xf numFmtId="43" fontId="62" fillId="0" borderId="8" xfId="5" applyFont="1" applyBorder="1" applyAlignment="1">
      <alignment horizontal="right" vertical="center"/>
    </xf>
    <xf numFmtId="43" fontId="62" fillId="0" borderId="4" xfId="5" applyFont="1" applyBorder="1" applyAlignment="1">
      <alignment horizontal="right" vertical="center"/>
    </xf>
    <xf numFmtId="43" fontId="62" fillId="0" borderId="3" xfId="5" applyFont="1" applyBorder="1" applyAlignment="1">
      <alignment horizontal="right" vertical="center"/>
    </xf>
    <xf numFmtId="2" fontId="62" fillId="0" borderId="8" xfId="0" applyNumberFormat="1" applyFont="1" applyBorder="1" applyAlignment="1">
      <alignment horizontal="right" vertical="center"/>
    </xf>
    <xf numFmtId="2" fontId="62" fillId="0" borderId="4" xfId="0" applyNumberFormat="1" applyFont="1" applyBorder="1" applyAlignment="1">
      <alignment horizontal="right" vertical="center"/>
    </xf>
    <xf numFmtId="2" fontId="62" fillId="0" borderId="3" xfId="0" applyNumberFormat="1" applyFont="1" applyBorder="1" applyAlignment="1">
      <alignment horizontal="right" vertical="center"/>
    </xf>
    <xf numFmtId="49" fontId="6" fillId="0" borderId="8" xfId="0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180" fontId="6" fillId="0" borderId="8" xfId="0" applyNumberFormat="1" applyFont="1" applyFill="1" applyBorder="1" applyAlignment="1">
      <alignment horizontal="center" vertical="center"/>
    </xf>
    <xf numFmtId="180" fontId="6" fillId="0" borderId="4" xfId="0" applyNumberFormat="1" applyFont="1" applyFill="1" applyBorder="1" applyAlignment="1">
      <alignment horizontal="center" vertical="center"/>
    </xf>
    <xf numFmtId="180" fontId="6" fillId="0" borderId="3" xfId="0" applyNumberFormat="1" applyFont="1" applyFill="1" applyBorder="1" applyAlignment="1">
      <alignment horizontal="center" vertical="center"/>
    </xf>
    <xf numFmtId="176" fontId="35" fillId="0" borderId="3" xfId="0" applyFont="1" applyBorder="1" applyAlignment="1">
      <alignment horizontal="center" vertical="center"/>
    </xf>
    <xf numFmtId="180" fontId="77" fillId="0" borderId="8" xfId="0" applyNumberFormat="1" applyFont="1" applyBorder="1" applyAlignment="1">
      <alignment horizontal="right" vertical="center"/>
    </xf>
    <xf numFmtId="180" fontId="77" fillId="0" borderId="3" xfId="0" applyNumberFormat="1" applyFont="1" applyBorder="1" applyAlignment="1">
      <alignment horizontal="right" vertical="center"/>
    </xf>
    <xf numFmtId="2" fontId="40" fillId="0" borderId="8" xfId="0" applyNumberFormat="1" applyFont="1" applyBorder="1" applyAlignment="1">
      <alignment horizontal="center" vertical="center"/>
    </xf>
    <xf numFmtId="2" fontId="40" fillId="0" borderId="4" xfId="0" applyNumberFormat="1" applyFont="1" applyBorder="1" applyAlignment="1">
      <alignment horizontal="center" vertical="center"/>
    </xf>
    <xf numFmtId="2" fontId="40" fillId="0" borderId="3" xfId="0" applyNumberFormat="1" applyFont="1" applyBorder="1" applyAlignment="1">
      <alignment horizontal="center" vertical="center"/>
    </xf>
    <xf numFmtId="176" fontId="16" fillId="0" borderId="8" xfId="0" applyFont="1" applyBorder="1">
      <alignment vertical="center"/>
    </xf>
    <xf numFmtId="176" fontId="16" fillId="0" borderId="4" xfId="0" applyFont="1" applyBorder="1">
      <alignment vertical="center"/>
    </xf>
    <xf numFmtId="176" fontId="16" fillId="0" borderId="3" xfId="0" applyFont="1" applyBorder="1">
      <alignment vertical="center"/>
    </xf>
    <xf numFmtId="2" fontId="73" fillId="0" borderId="8" xfId="0" applyNumberFormat="1" applyFont="1" applyBorder="1">
      <alignment vertical="center"/>
    </xf>
    <xf numFmtId="2" fontId="73" fillId="0" borderId="3" xfId="0" applyNumberFormat="1" applyFont="1" applyBorder="1">
      <alignment vertical="center"/>
    </xf>
    <xf numFmtId="43" fontId="73" fillId="0" borderId="4" xfId="5" applyFont="1" applyBorder="1">
      <alignment vertical="center"/>
    </xf>
    <xf numFmtId="180" fontId="73" fillId="0" borderId="4" xfId="0" applyNumberFormat="1" applyFont="1" applyBorder="1">
      <alignment vertic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76" fontId="0" fillId="0" borderId="9" xfId="0" applyFont="1" applyBorder="1" applyAlignment="1">
      <alignment horizontal="center" vertical="center"/>
    </xf>
    <xf numFmtId="176" fontId="0" fillId="0" borderId="0" xfId="0" applyFont="1" applyAlignment="1">
      <alignment horizontal="center" vertical="center"/>
    </xf>
    <xf numFmtId="176" fontId="5" fillId="0" borderId="8" xfId="0" applyFont="1" applyBorder="1" applyAlignment="1">
      <alignment horizontal="center" vertical="center"/>
    </xf>
    <xf numFmtId="176" fontId="5" fillId="0" borderId="4" xfId="0" applyFont="1" applyBorder="1" applyAlignment="1">
      <alignment horizontal="center" vertical="center"/>
    </xf>
    <xf numFmtId="176" fontId="5" fillId="0" borderId="3" xfId="0" applyFont="1" applyBorder="1" applyAlignment="1">
      <alignment horizontal="center" vertical="center"/>
    </xf>
    <xf numFmtId="176" fontId="28" fillId="0" borderId="0" xfId="0" applyFont="1" applyFill="1" applyBorder="1" applyAlignment="1">
      <alignment horizontal="center"/>
    </xf>
    <xf numFmtId="176" fontId="29" fillId="0" borderId="0" xfId="0" applyFont="1" applyFill="1" applyBorder="1" applyAlignment="1">
      <alignment horizontal="center"/>
    </xf>
    <xf numFmtId="176" fontId="31" fillId="0" borderId="17" xfId="0" applyFont="1" applyFill="1" applyBorder="1" applyAlignment="1">
      <alignment horizontal="center" vertical="center"/>
    </xf>
    <xf numFmtId="176" fontId="2" fillId="0" borderId="12" xfId="0" applyFont="1" applyFill="1" applyBorder="1" applyAlignment="1">
      <alignment horizontal="center"/>
    </xf>
    <xf numFmtId="176" fontId="32" fillId="0" borderId="10" xfId="0" applyFont="1" applyFill="1" applyBorder="1" applyAlignment="1">
      <alignment horizontal="center" vertical="center"/>
    </xf>
    <xf numFmtId="176" fontId="32" fillId="0" borderId="11" xfId="0" applyFont="1" applyFill="1" applyBorder="1" applyAlignment="1">
      <alignment horizontal="center" vertical="center"/>
    </xf>
    <xf numFmtId="176" fontId="32" fillId="0" borderId="23" xfId="0" applyFont="1" applyFill="1" applyBorder="1" applyAlignment="1">
      <alignment horizontal="center" vertical="center"/>
    </xf>
    <xf numFmtId="176" fontId="2" fillId="0" borderId="8" xfId="0" applyFont="1" applyFill="1" applyBorder="1" applyAlignment="1">
      <alignment horizontal="center" vertical="center"/>
    </xf>
    <xf numFmtId="176" fontId="2" fillId="0" borderId="3" xfId="0" applyFont="1" applyFill="1" applyBorder="1" applyAlignment="1">
      <alignment horizontal="center" vertical="center"/>
    </xf>
    <xf numFmtId="176" fontId="2" fillId="0" borderId="4" xfId="0" applyFont="1" applyFill="1" applyBorder="1" applyAlignment="1">
      <alignment horizontal="center" vertical="center"/>
    </xf>
    <xf numFmtId="180" fontId="32" fillId="0" borderId="1" xfId="0" applyNumberFormat="1" applyFont="1" applyBorder="1">
      <alignment vertical="center"/>
    </xf>
    <xf numFmtId="43" fontId="32" fillId="0" borderId="1" xfId="5" applyFont="1" applyBorder="1">
      <alignment vertical="center"/>
    </xf>
    <xf numFmtId="180" fontId="73" fillId="0" borderId="8" xfId="0" applyNumberFormat="1" applyFont="1" applyFill="1" applyBorder="1" applyAlignment="1">
      <alignment vertical="center"/>
    </xf>
    <xf numFmtId="180" fontId="73" fillId="0" borderId="3" xfId="0" applyNumberFormat="1" applyFont="1" applyFill="1" applyBorder="1" applyAlignment="1">
      <alignment vertical="center"/>
    </xf>
    <xf numFmtId="176" fontId="73" fillId="0" borderId="8" xfId="0" applyNumberFormat="1" applyFont="1" applyFill="1" applyBorder="1" applyAlignment="1">
      <alignment horizontal="center" vertical="center"/>
    </xf>
    <xf numFmtId="176" fontId="73" fillId="0" borderId="3" xfId="0" applyNumberFormat="1" applyFont="1" applyFill="1" applyBorder="1" applyAlignment="1">
      <alignment horizontal="center" vertical="center"/>
    </xf>
  </cellXfs>
  <cellStyles count="6">
    <cellStyle name="常规" xfId="0" builtinId="0"/>
    <cellStyle name="常规 2" xfId="1"/>
    <cellStyle name="常规 3" xfId="2"/>
    <cellStyle name="常规 4" xfId="3"/>
    <cellStyle name="超链接" xfId="4" builtinId="8"/>
    <cellStyle name="千位分隔" xfId="5" builtin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61</xdr:row>
      <xdr:rowOff>126999</xdr:rowOff>
    </xdr:from>
    <xdr:to>
      <xdr:col>9</xdr:col>
      <xdr:colOff>0</xdr:colOff>
      <xdr:row>61</xdr:row>
      <xdr:rowOff>127000</xdr:rowOff>
    </xdr:to>
    <xdr:cxnSp macro="">
      <xdr:nvCxnSpPr>
        <xdr:cNvPr id="2" name="直接箭头连接符 1"/>
        <xdr:cNvCxnSpPr/>
      </xdr:nvCxnSpPr>
      <xdr:spPr>
        <a:xfrm flipV="1">
          <a:off x="11112500" y="14350999"/>
          <a:ext cx="1714500" cy="1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M315"/>
  <sheetViews>
    <sheetView topLeftCell="A157" zoomScaleSheetLayoutView="100" workbookViewId="0">
      <selection activeCell="F26" sqref="F26"/>
    </sheetView>
  </sheetViews>
  <sheetFormatPr defaultRowHeight="14.25"/>
  <cols>
    <col min="1" max="1" width="34.875" customWidth="1"/>
    <col min="2" max="2" width="11.5" customWidth="1"/>
    <col min="3" max="3" width="21.375" customWidth="1"/>
    <col min="4" max="4" width="10.875" customWidth="1"/>
    <col min="5" max="5" width="9.875" customWidth="1"/>
    <col min="6" max="6" width="13.125" customWidth="1"/>
    <col min="7" max="7" width="48" customWidth="1"/>
    <col min="9" max="9" width="16" customWidth="1"/>
    <col min="10" max="11" width="10.375" bestFit="1" customWidth="1"/>
    <col min="13" max="13" width="9.375" bestFit="1" customWidth="1"/>
  </cols>
  <sheetData>
    <row r="2" spans="1:7" ht="15.75">
      <c r="A2" s="144" t="s">
        <v>0</v>
      </c>
      <c r="B2" s="144" t="s">
        <v>1</v>
      </c>
      <c r="C2" s="144" t="s">
        <v>2</v>
      </c>
      <c r="D2" s="144" t="s">
        <v>3</v>
      </c>
      <c r="E2" s="144" t="s">
        <v>4</v>
      </c>
      <c r="F2" s="144" t="s">
        <v>5</v>
      </c>
      <c r="G2" s="144" t="s">
        <v>6</v>
      </c>
    </row>
    <row r="3" spans="1:7" ht="15.75">
      <c r="A3" s="144"/>
      <c r="B3" s="144"/>
      <c r="C3" s="144" t="s">
        <v>7</v>
      </c>
      <c r="D3" s="144"/>
      <c r="E3" s="144"/>
      <c r="F3" s="144">
        <v>0</v>
      </c>
      <c r="G3" s="144"/>
    </row>
    <row r="4" spans="1:7" ht="15.75">
      <c r="A4" s="1873" t="s">
        <v>8</v>
      </c>
      <c r="B4" s="145">
        <v>43544</v>
      </c>
      <c r="C4" s="146" t="s">
        <v>9</v>
      </c>
      <c r="D4" s="146">
        <v>6509.22</v>
      </c>
      <c r="E4" s="144"/>
      <c r="F4" s="144">
        <f t="shared" ref="F4:F25" si="0">F3+D4-E4</f>
        <v>6509.22</v>
      </c>
      <c r="G4" s="144"/>
    </row>
    <row r="5" spans="1:7" ht="15.75">
      <c r="A5" s="1873"/>
      <c r="B5" s="146" t="s">
        <v>10</v>
      </c>
      <c r="C5" s="146" t="s">
        <v>11</v>
      </c>
      <c r="D5" s="144"/>
      <c r="E5" s="146">
        <v>6215.41</v>
      </c>
      <c r="F5" s="144">
        <f t="shared" si="0"/>
        <v>293.8100000000004</v>
      </c>
      <c r="G5" s="144" t="s">
        <v>12</v>
      </c>
    </row>
    <row r="6" spans="1:7" ht="15.75">
      <c r="A6" s="1873"/>
      <c r="B6" s="146" t="s">
        <v>10</v>
      </c>
      <c r="C6" s="146" t="s">
        <v>13</v>
      </c>
      <c r="D6" s="144"/>
      <c r="E6" s="146">
        <v>1.89</v>
      </c>
      <c r="F6" s="144">
        <f t="shared" si="0"/>
        <v>291.92000000000041</v>
      </c>
      <c r="G6" s="144"/>
    </row>
    <row r="7" spans="1:7" ht="15.75">
      <c r="A7" s="1873"/>
      <c r="B7" s="147" t="s">
        <v>10</v>
      </c>
      <c r="C7" s="144" t="s">
        <v>14</v>
      </c>
      <c r="D7" s="144"/>
      <c r="E7" s="146">
        <v>291.92</v>
      </c>
      <c r="F7" s="144">
        <f t="shared" si="0"/>
        <v>0</v>
      </c>
      <c r="G7" s="144"/>
    </row>
    <row r="8" spans="1:7" ht="15.75">
      <c r="A8" s="1873" t="s">
        <v>15</v>
      </c>
      <c r="B8" s="147" t="s">
        <v>16</v>
      </c>
      <c r="C8" s="144" t="s">
        <v>17</v>
      </c>
      <c r="D8" s="144">
        <v>3988.21</v>
      </c>
      <c r="E8" s="146"/>
      <c r="F8" s="144">
        <f t="shared" si="0"/>
        <v>3988.21</v>
      </c>
      <c r="G8" s="144" t="s">
        <v>18</v>
      </c>
    </row>
    <row r="9" spans="1:7" ht="15.75">
      <c r="A9" s="1873"/>
      <c r="B9" s="147" t="s">
        <v>19</v>
      </c>
      <c r="C9" s="144" t="s">
        <v>20</v>
      </c>
      <c r="D9" s="144">
        <v>2680.13</v>
      </c>
      <c r="E9" s="146"/>
      <c r="F9" s="144">
        <f t="shared" si="0"/>
        <v>6668.34</v>
      </c>
      <c r="G9" s="144" t="s">
        <v>21</v>
      </c>
    </row>
    <row r="10" spans="1:7" ht="15.75">
      <c r="A10" s="1873"/>
      <c r="B10" s="144" t="s">
        <v>22</v>
      </c>
      <c r="C10" s="144" t="s">
        <v>23</v>
      </c>
      <c r="D10" s="144">
        <v>378</v>
      </c>
      <c r="E10" s="144"/>
      <c r="F10" s="144">
        <f t="shared" si="0"/>
        <v>7046.34</v>
      </c>
      <c r="G10" s="144" t="s">
        <v>24</v>
      </c>
    </row>
    <row r="11" spans="1:7" ht="15.75">
      <c r="A11" s="1873"/>
      <c r="B11" s="144" t="s">
        <v>25</v>
      </c>
      <c r="C11" s="144" t="s">
        <v>26</v>
      </c>
      <c r="D11" s="144"/>
      <c r="E11" s="144">
        <v>2499.6999999999998</v>
      </c>
      <c r="F11" s="144">
        <f t="shared" si="0"/>
        <v>4546.6400000000003</v>
      </c>
      <c r="G11" s="144" t="s">
        <v>27</v>
      </c>
    </row>
    <row r="12" spans="1:7" ht="15.75">
      <c r="A12" s="1873"/>
      <c r="B12" s="148">
        <v>43840</v>
      </c>
      <c r="C12" s="144" t="s">
        <v>28</v>
      </c>
      <c r="D12" s="144"/>
      <c r="E12" s="144">
        <v>4546.6400000000003</v>
      </c>
      <c r="F12" s="144">
        <f t="shared" si="0"/>
        <v>0</v>
      </c>
      <c r="G12" s="144"/>
    </row>
    <row r="13" spans="1:7" ht="15.75">
      <c r="A13" s="1873" t="s">
        <v>29</v>
      </c>
      <c r="B13" s="149">
        <v>43515</v>
      </c>
      <c r="C13" s="146" t="s">
        <v>30</v>
      </c>
      <c r="D13" s="144">
        <v>1637</v>
      </c>
      <c r="E13" s="144"/>
      <c r="F13" s="144">
        <f t="shared" si="0"/>
        <v>1637</v>
      </c>
      <c r="G13" s="146" t="s">
        <v>31</v>
      </c>
    </row>
    <row r="14" spans="1:7" ht="15.75">
      <c r="A14" s="1873"/>
      <c r="B14" s="149">
        <v>43515</v>
      </c>
      <c r="C14" s="146" t="s">
        <v>32</v>
      </c>
      <c r="D14" s="144">
        <v>1615.03</v>
      </c>
      <c r="E14" s="144"/>
      <c r="F14" s="144">
        <f t="shared" si="0"/>
        <v>3252.0299999999997</v>
      </c>
      <c r="G14" s="146" t="s">
        <v>31</v>
      </c>
    </row>
    <row r="15" spans="1:7" ht="15.75">
      <c r="A15" s="1873"/>
      <c r="B15" s="149">
        <v>43515</v>
      </c>
      <c r="C15" s="146" t="s">
        <v>33</v>
      </c>
      <c r="D15" s="144">
        <v>6126.7049999999999</v>
      </c>
      <c r="E15" s="144"/>
      <c r="F15" s="144">
        <f t="shared" si="0"/>
        <v>9378.7350000000006</v>
      </c>
      <c r="G15" s="146" t="s">
        <v>31</v>
      </c>
    </row>
    <row r="16" spans="1:7" ht="15.75">
      <c r="A16" s="1873"/>
      <c r="B16" s="149">
        <v>43517</v>
      </c>
      <c r="C16" s="146" t="s">
        <v>34</v>
      </c>
      <c r="D16" s="144">
        <v>6860.12</v>
      </c>
      <c r="E16" s="144"/>
      <c r="F16" s="144">
        <f t="shared" si="0"/>
        <v>16238.855</v>
      </c>
      <c r="G16" s="146" t="s">
        <v>31</v>
      </c>
    </row>
    <row r="17" spans="1:7" ht="15.75">
      <c r="A17" s="1873"/>
      <c r="B17" s="149">
        <v>43525</v>
      </c>
      <c r="C17" s="146" t="s">
        <v>35</v>
      </c>
      <c r="D17" s="144">
        <v>4882.3500000000004</v>
      </c>
      <c r="E17" s="144"/>
      <c r="F17" s="144">
        <f t="shared" si="0"/>
        <v>21121.205000000002</v>
      </c>
      <c r="G17" s="146" t="s">
        <v>31</v>
      </c>
    </row>
    <row r="18" spans="1:7" ht="15.75">
      <c r="A18" s="1873"/>
      <c r="B18" s="149">
        <v>43539</v>
      </c>
      <c r="C18" s="146" t="s">
        <v>36</v>
      </c>
      <c r="D18" s="144"/>
      <c r="E18" s="144">
        <v>235.2</v>
      </c>
      <c r="F18" s="144">
        <f t="shared" si="0"/>
        <v>20886.005000000001</v>
      </c>
      <c r="G18" s="146" t="s">
        <v>37</v>
      </c>
    </row>
    <row r="19" spans="1:7" ht="15.75">
      <c r="A19" s="1873"/>
      <c r="B19" s="148" t="s">
        <v>38</v>
      </c>
      <c r="C19" s="144" t="s">
        <v>14</v>
      </c>
      <c r="D19" s="144"/>
      <c r="E19" s="144">
        <v>20885</v>
      </c>
      <c r="F19" s="144">
        <f t="shared" si="0"/>
        <v>1.0050000000010186</v>
      </c>
      <c r="G19" s="144"/>
    </row>
    <row r="20" spans="1:7" ht="15.75">
      <c r="A20" s="1873"/>
      <c r="B20" s="148" t="s">
        <v>38</v>
      </c>
      <c r="C20" s="144" t="s">
        <v>39</v>
      </c>
      <c r="D20" s="144"/>
      <c r="E20" s="144">
        <v>1.0049999999999999</v>
      </c>
      <c r="F20" s="150">
        <f t="shared" si="0"/>
        <v>1.0187406473960436E-12</v>
      </c>
      <c r="G20" s="144"/>
    </row>
    <row r="21" spans="1:7" ht="15.75">
      <c r="A21" s="1870" t="s">
        <v>40</v>
      </c>
      <c r="B21" s="144" t="s">
        <v>41</v>
      </c>
      <c r="C21" s="144" t="s">
        <v>42</v>
      </c>
      <c r="D21" s="144">
        <v>2938.53</v>
      </c>
      <c r="E21" s="144"/>
      <c r="F21" s="144">
        <f t="shared" si="0"/>
        <v>2938.5300000000011</v>
      </c>
      <c r="G21" s="144" t="s">
        <v>43</v>
      </c>
    </row>
    <row r="22" spans="1:7" ht="15.75">
      <c r="A22" s="1871"/>
      <c r="B22" s="144" t="s">
        <v>44</v>
      </c>
      <c r="C22" s="144" t="s">
        <v>45</v>
      </c>
      <c r="D22" s="144">
        <v>2458.77</v>
      </c>
      <c r="E22" s="144"/>
      <c r="F22" s="144">
        <f t="shared" si="0"/>
        <v>5397.3000000000011</v>
      </c>
      <c r="G22" s="144" t="s">
        <v>46</v>
      </c>
    </row>
    <row r="23" spans="1:7" ht="15.75">
      <c r="A23" s="1871"/>
      <c r="B23" s="144" t="s">
        <v>47</v>
      </c>
      <c r="C23" s="144" t="s">
        <v>48</v>
      </c>
      <c r="D23" s="144">
        <v>898.65</v>
      </c>
      <c r="E23" s="144"/>
      <c r="F23" s="144">
        <f t="shared" si="0"/>
        <v>6295.9500000000007</v>
      </c>
      <c r="G23" s="144" t="s">
        <v>49</v>
      </c>
    </row>
    <row r="24" spans="1:7" ht="15.75">
      <c r="A24" s="1871"/>
      <c r="B24" s="144" t="s">
        <v>50</v>
      </c>
      <c r="C24" s="144" t="s">
        <v>51</v>
      </c>
      <c r="D24" s="144"/>
      <c r="E24" s="144">
        <v>5397</v>
      </c>
      <c r="F24" s="144">
        <f t="shared" si="0"/>
        <v>898.95000000000073</v>
      </c>
      <c r="G24" s="144"/>
    </row>
    <row r="25" spans="1:7" ht="15.75">
      <c r="A25" s="1871"/>
      <c r="B25" s="144" t="s">
        <v>52</v>
      </c>
      <c r="C25" s="5" t="s">
        <v>53</v>
      </c>
      <c r="D25" s="144"/>
      <c r="E25" s="144">
        <v>898.95</v>
      </c>
      <c r="F25" s="144">
        <f t="shared" si="0"/>
        <v>0</v>
      </c>
      <c r="G25" s="5" t="s">
        <v>54</v>
      </c>
    </row>
    <row r="26" spans="1:7" ht="15.75">
      <c r="A26" s="1872"/>
      <c r="B26" s="144" t="s">
        <v>52</v>
      </c>
      <c r="C26" s="5" t="s">
        <v>55</v>
      </c>
      <c r="D26" s="5">
        <v>1909.83</v>
      </c>
      <c r="E26" s="144"/>
      <c r="F26" s="144">
        <f t="shared" ref="F26:F89" si="1">F25+D26-E26</f>
        <v>1909.83</v>
      </c>
      <c r="G26" s="144" t="s">
        <v>49</v>
      </c>
    </row>
    <row r="27" spans="1:7" ht="15.75">
      <c r="A27" s="1873" t="s">
        <v>56</v>
      </c>
      <c r="B27" s="107"/>
      <c r="C27" s="144" t="s">
        <v>57</v>
      </c>
      <c r="D27" s="144">
        <v>4716.7</v>
      </c>
      <c r="E27" s="144"/>
      <c r="F27" s="144">
        <f t="shared" si="1"/>
        <v>6626.53</v>
      </c>
      <c r="G27" s="144" t="s">
        <v>58</v>
      </c>
    </row>
    <row r="28" spans="1:7" ht="15.75">
      <c r="A28" s="1873"/>
      <c r="B28" s="107" t="s">
        <v>59</v>
      </c>
      <c r="C28" s="144" t="s">
        <v>60</v>
      </c>
      <c r="D28" s="144">
        <v>3.3</v>
      </c>
      <c r="E28" s="144"/>
      <c r="F28" s="144">
        <f t="shared" si="1"/>
        <v>6629.83</v>
      </c>
      <c r="G28" s="144" t="s">
        <v>61</v>
      </c>
    </row>
    <row r="29" spans="1:7" ht="15.75">
      <c r="A29" s="1873"/>
      <c r="B29" s="146" t="s">
        <v>62</v>
      </c>
      <c r="C29" s="144" t="s">
        <v>63</v>
      </c>
      <c r="D29" s="144">
        <v>2806.24</v>
      </c>
      <c r="E29" s="144"/>
      <c r="F29" s="144">
        <f t="shared" si="1"/>
        <v>9436.07</v>
      </c>
      <c r="G29" s="144" t="s">
        <v>64</v>
      </c>
    </row>
    <row r="30" spans="1:7" ht="15.75">
      <c r="A30" s="1873"/>
      <c r="B30" s="144" t="s">
        <v>65</v>
      </c>
      <c r="C30" s="144" t="s">
        <v>51</v>
      </c>
      <c r="D30" s="144"/>
      <c r="E30" s="144">
        <v>4720</v>
      </c>
      <c r="F30" s="144">
        <f t="shared" si="1"/>
        <v>4716.07</v>
      </c>
      <c r="G30" s="144"/>
    </row>
    <row r="31" spans="1:7" ht="15.75">
      <c r="A31" s="1870" t="s">
        <v>66</v>
      </c>
      <c r="B31" s="148">
        <v>43509</v>
      </c>
      <c r="C31" s="144" t="s">
        <v>67</v>
      </c>
      <c r="D31" s="144">
        <v>2211.9299999999998</v>
      </c>
      <c r="E31" s="144"/>
      <c r="F31" s="144">
        <f t="shared" si="1"/>
        <v>6928</v>
      </c>
      <c r="G31" s="144" t="s">
        <v>68</v>
      </c>
    </row>
    <row r="32" spans="1:7" ht="15.75">
      <c r="A32" s="1871"/>
      <c r="B32" s="148">
        <v>43509</v>
      </c>
      <c r="C32" s="144" t="s">
        <v>69</v>
      </c>
      <c r="D32" s="144">
        <v>1470</v>
      </c>
      <c r="E32" s="144"/>
      <c r="F32" s="144">
        <f t="shared" si="1"/>
        <v>8398</v>
      </c>
      <c r="G32" s="144" t="s">
        <v>70</v>
      </c>
    </row>
    <row r="33" spans="1:7" ht="15.75">
      <c r="A33" s="1871"/>
      <c r="B33" s="148">
        <v>43509</v>
      </c>
      <c r="C33" s="144" t="s">
        <v>71</v>
      </c>
      <c r="D33" s="144">
        <v>9336.4599999999991</v>
      </c>
      <c r="E33" s="144"/>
      <c r="F33" s="144">
        <f t="shared" si="1"/>
        <v>17734.46</v>
      </c>
      <c r="G33" s="144" t="s">
        <v>72</v>
      </c>
    </row>
    <row r="34" spans="1:7" ht="15.75">
      <c r="A34" s="1871"/>
      <c r="B34" s="148">
        <v>43525</v>
      </c>
      <c r="C34" s="144" t="s">
        <v>73</v>
      </c>
      <c r="D34" s="144">
        <v>5448.33</v>
      </c>
      <c r="E34" s="144"/>
      <c r="F34" s="144">
        <f t="shared" si="1"/>
        <v>23182.79</v>
      </c>
      <c r="G34" s="144" t="s">
        <v>74</v>
      </c>
    </row>
    <row r="35" spans="1:7" ht="15.75">
      <c r="A35" s="1871"/>
      <c r="B35" s="148">
        <v>43525</v>
      </c>
      <c r="C35" s="144" t="s">
        <v>75</v>
      </c>
      <c r="D35" s="144">
        <v>1381.66</v>
      </c>
      <c r="E35" s="144"/>
      <c r="F35" s="144">
        <f t="shared" si="1"/>
        <v>24564.45</v>
      </c>
      <c r="G35" s="144" t="s">
        <v>68</v>
      </c>
    </row>
    <row r="36" spans="1:7" ht="15.75">
      <c r="A36" s="1871"/>
      <c r="B36" s="148">
        <v>43539</v>
      </c>
      <c r="C36" s="144" t="s">
        <v>76</v>
      </c>
      <c r="D36" s="144">
        <v>4428.8100000000004</v>
      </c>
      <c r="E36" s="144"/>
      <c r="F36" s="144">
        <f t="shared" si="1"/>
        <v>28993.260000000002</v>
      </c>
      <c r="G36" s="144"/>
    </row>
    <row r="37" spans="1:7" ht="15.75">
      <c r="A37" s="1871"/>
      <c r="B37" s="148">
        <v>43539</v>
      </c>
      <c r="C37" s="144" t="s">
        <v>77</v>
      </c>
      <c r="D37" s="144">
        <v>1417.25</v>
      </c>
      <c r="E37" s="144"/>
      <c r="F37" s="144">
        <f t="shared" si="1"/>
        <v>30410.510000000002</v>
      </c>
      <c r="G37" s="144"/>
    </row>
    <row r="38" spans="1:7" ht="15.75">
      <c r="A38" s="1871"/>
      <c r="B38" s="148">
        <v>43589</v>
      </c>
      <c r="C38" s="144" t="s">
        <v>51</v>
      </c>
      <c r="D38" s="144"/>
      <c r="E38" s="144">
        <v>10000</v>
      </c>
      <c r="F38" s="144">
        <f t="shared" si="1"/>
        <v>20410.510000000002</v>
      </c>
      <c r="G38" s="144"/>
    </row>
    <row r="39" spans="1:7" ht="15.75">
      <c r="A39" s="1871"/>
      <c r="B39" s="148">
        <v>43591</v>
      </c>
      <c r="C39" s="144" t="s">
        <v>78</v>
      </c>
      <c r="D39" s="144">
        <v>966.9</v>
      </c>
      <c r="E39" s="144"/>
      <c r="F39" s="144">
        <f t="shared" si="1"/>
        <v>21377.410000000003</v>
      </c>
      <c r="G39" s="144"/>
    </row>
    <row r="40" spans="1:7" ht="15.75">
      <c r="A40" s="1871"/>
      <c r="B40" s="148">
        <v>43598</v>
      </c>
      <c r="C40" s="144" t="s">
        <v>79</v>
      </c>
      <c r="D40" s="144">
        <v>1339.41</v>
      </c>
      <c r="E40" s="144"/>
      <c r="F40" s="144">
        <f t="shared" si="1"/>
        <v>22716.820000000003</v>
      </c>
      <c r="G40" s="144"/>
    </row>
    <row r="41" spans="1:7" ht="15.75">
      <c r="A41" s="1871"/>
      <c r="B41" s="148">
        <v>43613</v>
      </c>
      <c r="C41" s="144" t="s">
        <v>80</v>
      </c>
      <c r="D41" s="144">
        <v>2324.59</v>
      </c>
      <c r="E41" s="144"/>
      <c r="F41" s="144">
        <f t="shared" si="1"/>
        <v>25041.410000000003</v>
      </c>
      <c r="G41" s="144"/>
    </row>
    <row r="42" spans="1:7" ht="15.75">
      <c r="A42" s="1871"/>
      <c r="B42" s="144" t="s">
        <v>81</v>
      </c>
      <c r="C42" s="144" t="s">
        <v>82</v>
      </c>
      <c r="D42" s="144">
        <v>663.75</v>
      </c>
      <c r="E42" s="144"/>
      <c r="F42" s="144">
        <f t="shared" si="1"/>
        <v>25705.160000000003</v>
      </c>
      <c r="G42" s="144"/>
    </row>
    <row r="43" spans="1:7" ht="15.75">
      <c r="A43" s="1871"/>
      <c r="B43" s="144" t="s">
        <v>83</v>
      </c>
      <c r="C43" s="144" t="s">
        <v>84</v>
      </c>
      <c r="D43" s="144">
        <v>1746</v>
      </c>
      <c r="E43" s="144"/>
      <c r="F43" s="144">
        <f t="shared" si="1"/>
        <v>27451.160000000003</v>
      </c>
      <c r="G43" s="144" t="s">
        <v>85</v>
      </c>
    </row>
    <row r="44" spans="1:7" ht="15.75">
      <c r="A44" s="1871"/>
      <c r="B44" s="144" t="s">
        <v>83</v>
      </c>
      <c r="C44" s="144" t="s">
        <v>86</v>
      </c>
      <c r="D44" s="144">
        <v>221.25</v>
      </c>
      <c r="E44" s="144"/>
      <c r="F44" s="144">
        <f t="shared" si="1"/>
        <v>27672.410000000003</v>
      </c>
      <c r="G44" s="144" t="s">
        <v>85</v>
      </c>
    </row>
    <row r="45" spans="1:7" ht="15.75">
      <c r="A45" s="1871"/>
      <c r="B45" s="144" t="s">
        <v>87</v>
      </c>
      <c r="C45" s="144" t="s">
        <v>88</v>
      </c>
      <c r="D45" s="144">
        <v>3699.84</v>
      </c>
      <c r="E45" s="144"/>
      <c r="F45" s="144">
        <f t="shared" si="1"/>
        <v>31372.250000000004</v>
      </c>
      <c r="G45" s="144" t="s">
        <v>85</v>
      </c>
    </row>
    <row r="46" spans="1:7" ht="15.75">
      <c r="A46" s="1871"/>
      <c r="B46" s="144" t="s">
        <v>87</v>
      </c>
      <c r="C46" s="144" t="s">
        <v>89</v>
      </c>
      <c r="D46" s="144">
        <v>2237.1999999999998</v>
      </c>
      <c r="E46" s="144"/>
      <c r="F46" s="144">
        <f t="shared" si="1"/>
        <v>33609.450000000004</v>
      </c>
      <c r="G46" s="144" t="s">
        <v>85</v>
      </c>
    </row>
    <row r="47" spans="1:7" ht="15.75">
      <c r="A47" s="1871"/>
      <c r="B47" s="144" t="s">
        <v>90</v>
      </c>
      <c r="C47" s="144" t="s">
        <v>91</v>
      </c>
      <c r="D47" s="144"/>
      <c r="E47" s="144">
        <v>1083.9100000000001</v>
      </c>
      <c r="F47" s="144">
        <f t="shared" si="1"/>
        <v>32525.540000000005</v>
      </c>
      <c r="G47" s="144" t="s">
        <v>92</v>
      </c>
    </row>
    <row r="48" spans="1:7" ht="15.75">
      <c r="A48" s="1871"/>
      <c r="B48" s="144" t="s">
        <v>93</v>
      </c>
      <c r="C48" s="144" t="s">
        <v>94</v>
      </c>
      <c r="D48" s="144">
        <v>1497.7</v>
      </c>
      <c r="E48" s="144"/>
      <c r="F48" s="144">
        <f t="shared" si="1"/>
        <v>34023.240000000005</v>
      </c>
      <c r="G48" s="144" t="s">
        <v>85</v>
      </c>
    </row>
    <row r="49" spans="1:7" ht="15.75">
      <c r="A49" s="1871"/>
      <c r="B49" s="148">
        <v>43748</v>
      </c>
      <c r="C49" s="144" t="s">
        <v>51</v>
      </c>
      <c r="D49" s="144"/>
      <c r="E49" s="144">
        <v>5000</v>
      </c>
      <c r="F49" s="144">
        <f t="shared" si="1"/>
        <v>29023.240000000005</v>
      </c>
      <c r="G49" s="144"/>
    </row>
    <row r="50" spans="1:7" ht="15.75">
      <c r="A50" s="1871"/>
      <c r="B50" s="144" t="s">
        <v>95</v>
      </c>
      <c r="C50" s="144" t="s">
        <v>96</v>
      </c>
      <c r="D50" s="144"/>
      <c r="E50" s="144">
        <v>11216.87</v>
      </c>
      <c r="F50" s="144">
        <f t="shared" si="1"/>
        <v>17806.370000000003</v>
      </c>
      <c r="G50" s="144" t="s">
        <v>97</v>
      </c>
    </row>
    <row r="51" spans="1:7" ht="15.75">
      <c r="A51" s="1871"/>
      <c r="B51" s="144" t="s">
        <v>95</v>
      </c>
      <c r="C51" s="144" t="s">
        <v>98</v>
      </c>
      <c r="D51" s="144"/>
      <c r="E51" s="144">
        <v>128.63</v>
      </c>
      <c r="F51" s="144">
        <f t="shared" si="1"/>
        <v>17677.740000000002</v>
      </c>
      <c r="G51" s="144" t="s">
        <v>97</v>
      </c>
    </row>
    <row r="52" spans="1:7" ht="15.75">
      <c r="A52" s="1871"/>
      <c r="B52" s="144" t="s">
        <v>95</v>
      </c>
      <c r="C52" s="144" t="s">
        <v>99</v>
      </c>
      <c r="D52" s="144"/>
      <c r="E52" s="144">
        <v>101.29</v>
      </c>
      <c r="F52" s="144">
        <f t="shared" si="1"/>
        <v>17576.45</v>
      </c>
      <c r="G52" s="144" t="s">
        <v>97</v>
      </c>
    </row>
    <row r="53" spans="1:7" ht="15.75">
      <c r="A53" s="1871"/>
      <c r="B53" s="144" t="s">
        <v>95</v>
      </c>
      <c r="C53" s="144" t="s">
        <v>100</v>
      </c>
      <c r="D53" s="144"/>
      <c r="E53" s="144">
        <v>218.4</v>
      </c>
      <c r="F53" s="144">
        <f t="shared" si="1"/>
        <v>17358.05</v>
      </c>
      <c r="G53" s="144" t="s">
        <v>97</v>
      </c>
    </row>
    <row r="54" spans="1:7" ht="15.75">
      <c r="A54" s="1871"/>
      <c r="B54" s="144" t="s">
        <v>95</v>
      </c>
      <c r="C54" s="144" t="s">
        <v>101</v>
      </c>
      <c r="D54" s="144"/>
      <c r="E54" s="144">
        <v>2863.28</v>
      </c>
      <c r="F54" s="144">
        <f t="shared" si="1"/>
        <v>14494.769999999999</v>
      </c>
      <c r="G54" s="144" t="s">
        <v>102</v>
      </c>
    </row>
    <row r="55" spans="1:7" ht="15.75">
      <c r="A55" s="1872"/>
      <c r="B55" s="144" t="s">
        <v>103</v>
      </c>
      <c r="C55" s="144" t="s">
        <v>104</v>
      </c>
      <c r="D55" s="144">
        <v>3905.15</v>
      </c>
      <c r="E55" s="144"/>
      <c r="F55" s="144">
        <f t="shared" si="1"/>
        <v>18399.919999999998</v>
      </c>
      <c r="G55" s="144"/>
    </row>
    <row r="56" spans="1:7" ht="15.75">
      <c r="A56" s="1873" t="s">
        <v>105</v>
      </c>
      <c r="B56" s="152">
        <v>43545</v>
      </c>
      <c r="C56" s="144" t="s">
        <v>106</v>
      </c>
      <c r="D56" s="144">
        <v>807.54</v>
      </c>
      <c r="E56" s="144"/>
      <c r="F56" s="144">
        <f t="shared" si="1"/>
        <v>19207.46</v>
      </c>
      <c r="G56" s="144"/>
    </row>
    <row r="57" spans="1:7" ht="15.75">
      <c r="A57" s="1873"/>
      <c r="B57" s="145">
        <v>43545</v>
      </c>
      <c r="C57" s="144" t="s">
        <v>107</v>
      </c>
      <c r="D57" s="144">
        <v>3130.8</v>
      </c>
      <c r="E57" s="144"/>
      <c r="F57" s="144">
        <f t="shared" si="1"/>
        <v>22338.26</v>
      </c>
      <c r="G57" s="144"/>
    </row>
    <row r="58" spans="1:7" ht="15.75">
      <c r="A58" s="1873"/>
      <c r="B58" s="145">
        <v>43545</v>
      </c>
      <c r="C58" s="144" t="s">
        <v>108</v>
      </c>
      <c r="D58" s="144">
        <v>8186.68</v>
      </c>
      <c r="E58" s="144"/>
      <c r="F58" s="144">
        <f t="shared" si="1"/>
        <v>30524.94</v>
      </c>
      <c r="G58" s="144"/>
    </row>
    <row r="59" spans="1:7" ht="15.75">
      <c r="A59" s="1873"/>
      <c r="B59" s="145">
        <v>43545</v>
      </c>
      <c r="C59" s="144" t="s">
        <v>109</v>
      </c>
      <c r="D59" s="144">
        <v>1957.64</v>
      </c>
      <c r="E59" s="144"/>
      <c r="F59" s="144">
        <f t="shared" si="1"/>
        <v>32482.579999999998</v>
      </c>
      <c r="G59" s="144"/>
    </row>
    <row r="60" spans="1:7" ht="15.75">
      <c r="A60" s="1873"/>
      <c r="B60" s="145">
        <v>43552</v>
      </c>
      <c r="C60" s="144"/>
      <c r="D60" s="144"/>
      <c r="E60" s="144">
        <v>32.44</v>
      </c>
      <c r="F60" s="144">
        <f t="shared" si="1"/>
        <v>32450.14</v>
      </c>
      <c r="G60" s="144"/>
    </row>
    <row r="61" spans="1:7" ht="15.75">
      <c r="A61" s="1873"/>
      <c r="B61" s="145">
        <v>43560</v>
      </c>
      <c r="C61" s="144" t="s">
        <v>110</v>
      </c>
      <c r="D61" s="144">
        <v>175.4</v>
      </c>
      <c r="E61" s="144"/>
      <c r="F61" s="144">
        <f t="shared" si="1"/>
        <v>32625.54</v>
      </c>
      <c r="G61" s="144"/>
    </row>
    <row r="62" spans="1:7" ht="15.75">
      <c r="A62" s="1873"/>
      <c r="B62" s="145" t="s">
        <v>111</v>
      </c>
      <c r="C62" s="144" t="s">
        <v>112</v>
      </c>
      <c r="D62" s="144"/>
      <c r="E62" s="144">
        <v>175</v>
      </c>
      <c r="F62" s="144">
        <f t="shared" si="1"/>
        <v>32450.54</v>
      </c>
      <c r="G62" s="144" t="s">
        <v>113</v>
      </c>
    </row>
    <row r="63" spans="1:7" ht="15.75">
      <c r="A63" s="1873"/>
      <c r="B63" s="149">
        <v>43578</v>
      </c>
      <c r="C63" s="144" t="s">
        <v>114</v>
      </c>
      <c r="D63" s="144">
        <v>608.4</v>
      </c>
      <c r="E63" s="144"/>
      <c r="F63" s="144">
        <f t="shared" si="1"/>
        <v>33058.94</v>
      </c>
      <c r="G63" s="144"/>
    </row>
    <row r="64" spans="1:7" ht="15.75">
      <c r="A64" s="1873"/>
      <c r="B64" s="153" t="s">
        <v>115</v>
      </c>
      <c r="C64" s="144" t="s">
        <v>112</v>
      </c>
      <c r="D64" s="144"/>
      <c r="E64" s="144">
        <v>608</v>
      </c>
      <c r="F64" s="144">
        <f t="shared" si="1"/>
        <v>32450.940000000002</v>
      </c>
      <c r="G64" s="144" t="s">
        <v>116</v>
      </c>
    </row>
    <row r="65" spans="1:7" ht="15.75">
      <c r="A65" s="1873"/>
      <c r="B65" s="153" t="s">
        <v>117</v>
      </c>
      <c r="C65" s="144" t="s">
        <v>112</v>
      </c>
      <c r="D65" s="144"/>
      <c r="E65" s="144">
        <v>3000</v>
      </c>
      <c r="F65" s="144">
        <f t="shared" si="1"/>
        <v>29450.940000000002</v>
      </c>
      <c r="G65" s="144" t="s">
        <v>118</v>
      </c>
    </row>
    <row r="66" spans="1:7" ht="15.75">
      <c r="A66" s="1873"/>
      <c r="B66" s="153">
        <v>43620</v>
      </c>
      <c r="C66" s="144" t="s">
        <v>119</v>
      </c>
      <c r="D66" s="144"/>
      <c r="E66" s="144">
        <v>1330.89</v>
      </c>
      <c r="F66" s="144">
        <f t="shared" si="1"/>
        <v>28120.050000000003</v>
      </c>
      <c r="G66" s="144"/>
    </row>
    <row r="67" spans="1:7" ht="15.75">
      <c r="A67" s="1873"/>
      <c r="B67" s="153" t="s">
        <v>120</v>
      </c>
      <c r="C67" s="144" t="s">
        <v>121</v>
      </c>
      <c r="D67" s="144"/>
      <c r="E67" s="144">
        <v>1636.8</v>
      </c>
      <c r="F67" s="144">
        <f t="shared" si="1"/>
        <v>26483.250000000004</v>
      </c>
      <c r="G67" s="144"/>
    </row>
    <row r="68" spans="1:7" ht="15.75">
      <c r="A68" s="1873"/>
      <c r="B68" s="153" t="s">
        <v>120</v>
      </c>
      <c r="C68" s="144" t="s">
        <v>122</v>
      </c>
      <c r="D68" s="144"/>
      <c r="E68" s="144">
        <v>2791.31</v>
      </c>
      <c r="F68" s="144">
        <f t="shared" si="1"/>
        <v>23691.940000000002</v>
      </c>
      <c r="G68" s="144"/>
    </row>
    <row r="69" spans="1:7" ht="15.75">
      <c r="A69" s="1873"/>
      <c r="B69" s="153" t="s">
        <v>120</v>
      </c>
      <c r="C69" s="144" t="s">
        <v>123</v>
      </c>
      <c r="D69" s="144"/>
      <c r="E69" s="144">
        <v>664.91</v>
      </c>
      <c r="F69" s="144">
        <f t="shared" si="1"/>
        <v>23027.030000000002</v>
      </c>
      <c r="G69" s="144"/>
    </row>
    <row r="70" spans="1:7" ht="15.75">
      <c r="A70" s="1873"/>
      <c r="B70" s="153" t="s">
        <v>25</v>
      </c>
      <c r="C70" s="144" t="s">
        <v>124</v>
      </c>
      <c r="D70" s="144"/>
      <c r="E70" s="144">
        <v>1835.34</v>
      </c>
      <c r="F70" s="144">
        <f t="shared" si="1"/>
        <v>21191.690000000002</v>
      </c>
      <c r="G70" s="144"/>
    </row>
    <row r="71" spans="1:7" ht="15.75">
      <c r="A71" s="1873"/>
      <c r="B71" s="153" t="s">
        <v>25</v>
      </c>
      <c r="C71" s="144" t="s">
        <v>125</v>
      </c>
      <c r="D71" s="144"/>
      <c r="E71" s="144">
        <v>180.21</v>
      </c>
      <c r="F71" s="144">
        <f t="shared" si="1"/>
        <v>21011.480000000003</v>
      </c>
      <c r="G71" s="144"/>
    </row>
    <row r="72" spans="1:7" ht="15.75">
      <c r="A72" s="1873"/>
      <c r="B72" s="153" t="s">
        <v>25</v>
      </c>
      <c r="C72" s="144" t="s">
        <v>126</v>
      </c>
      <c r="D72" s="144"/>
      <c r="E72" s="144">
        <v>457.54</v>
      </c>
      <c r="F72" s="144">
        <f t="shared" si="1"/>
        <v>20553.940000000002</v>
      </c>
      <c r="G72" s="144"/>
    </row>
    <row r="73" spans="1:7" ht="15.75">
      <c r="A73" s="1873"/>
      <c r="B73" s="144" t="s">
        <v>127</v>
      </c>
      <c r="C73" s="144" t="s">
        <v>128</v>
      </c>
      <c r="D73" s="144"/>
      <c r="E73" s="144">
        <v>2154.02</v>
      </c>
      <c r="F73" s="144">
        <f t="shared" si="1"/>
        <v>18399.920000000002</v>
      </c>
      <c r="G73" s="144"/>
    </row>
    <row r="74" spans="1:7" ht="15.75">
      <c r="A74" s="1873" t="s">
        <v>129</v>
      </c>
      <c r="B74" s="145">
        <v>43552</v>
      </c>
      <c r="C74" s="146" t="s">
        <v>130</v>
      </c>
      <c r="D74" s="146">
        <v>8283.09</v>
      </c>
      <c r="E74" s="144"/>
      <c r="F74" s="144">
        <f t="shared" si="1"/>
        <v>26683.010000000002</v>
      </c>
      <c r="G74" s="146" t="s">
        <v>131</v>
      </c>
    </row>
    <row r="75" spans="1:7" ht="15.75">
      <c r="A75" s="1873"/>
      <c r="B75" s="146" t="s">
        <v>132</v>
      </c>
      <c r="C75" s="146" t="s">
        <v>133</v>
      </c>
      <c r="D75" s="146"/>
      <c r="E75" s="144">
        <v>66.63</v>
      </c>
      <c r="F75" s="144">
        <f t="shared" si="1"/>
        <v>26616.38</v>
      </c>
      <c r="G75" s="144" t="s">
        <v>134</v>
      </c>
    </row>
    <row r="76" spans="1:7" ht="15.75">
      <c r="A76" s="1873"/>
      <c r="B76" s="146" t="s">
        <v>135</v>
      </c>
      <c r="C76" s="146" t="s">
        <v>136</v>
      </c>
      <c r="D76" s="146">
        <v>940.75</v>
      </c>
      <c r="E76" s="144"/>
      <c r="F76" s="144">
        <f t="shared" si="1"/>
        <v>27557.13</v>
      </c>
      <c r="G76" s="144"/>
    </row>
    <row r="77" spans="1:7" ht="15.75">
      <c r="A77" s="1873"/>
      <c r="B77" s="146" t="s">
        <v>137</v>
      </c>
      <c r="C77" s="146" t="s">
        <v>138</v>
      </c>
      <c r="D77" s="146">
        <v>1152.3800000000001</v>
      </c>
      <c r="E77" s="144"/>
      <c r="F77" s="144">
        <f t="shared" si="1"/>
        <v>28709.510000000002</v>
      </c>
      <c r="G77" s="144" t="s">
        <v>85</v>
      </c>
    </row>
    <row r="78" spans="1:7" ht="15.75">
      <c r="A78" s="1873"/>
      <c r="B78" s="145" t="s">
        <v>139</v>
      </c>
      <c r="C78" s="146" t="s">
        <v>140</v>
      </c>
      <c r="D78" s="146">
        <v>1231.18</v>
      </c>
      <c r="E78" s="144"/>
      <c r="F78" s="144">
        <f t="shared" si="1"/>
        <v>29940.690000000002</v>
      </c>
      <c r="G78" s="144" t="s">
        <v>85</v>
      </c>
    </row>
    <row r="79" spans="1:7" ht="15.75">
      <c r="A79" s="1873"/>
      <c r="B79" s="145" t="s">
        <v>139</v>
      </c>
      <c r="C79" s="146" t="s">
        <v>141</v>
      </c>
      <c r="D79" s="146">
        <v>22</v>
      </c>
      <c r="E79" s="144"/>
      <c r="F79" s="144">
        <f t="shared" si="1"/>
        <v>29962.690000000002</v>
      </c>
      <c r="G79" s="144" t="s">
        <v>85</v>
      </c>
    </row>
    <row r="80" spans="1:7" ht="15.75">
      <c r="A80" s="1873"/>
      <c r="B80" s="145" t="s">
        <v>142</v>
      </c>
      <c r="C80" s="146" t="s">
        <v>143</v>
      </c>
      <c r="D80" s="146">
        <v>158.88999999999999</v>
      </c>
      <c r="E80" s="144"/>
      <c r="F80" s="144">
        <f t="shared" si="1"/>
        <v>30121.58</v>
      </c>
      <c r="G80" s="144" t="s">
        <v>144</v>
      </c>
    </row>
    <row r="81" spans="1:10" ht="15.75">
      <c r="A81" s="1873"/>
      <c r="B81" s="145" t="s">
        <v>142</v>
      </c>
      <c r="C81" s="146" t="s">
        <v>145</v>
      </c>
      <c r="D81" s="146"/>
      <c r="E81" s="144">
        <v>15.26</v>
      </c>
      <c r="F81" s="144">
        <f t="shared" si="1"/>
        <v>30106.320000000003</v>
      </c>
      <c r="G81" s="144" t="s">
        <v>146</v>
      </c>
    </row>
    <row r="82" spans="1:10" ht="15.75">
      <c r="A82" s="1873"/>
      <c r="B82" s="153" t="s">
        <v>147</v>
      </c>
      <c r="C82" s="146" t="s">
        <v>148</v>
      </c>
      <c r="D82" s="146"/>
      <c r="E82" s="144">
        <v>38.75</v>
      </c>
      <c r="F82" s="144">
        <f t="shared" si="1"/>
        <v>30067.570000000003</v>
      </c>
      <c r="G82" s="144" t="s">
        <v>92</v>
      </c>
    </row>
    <row r="83" spans="1:10" ht="15.75">
      <c r="A83" s="1873"/>
      <c r="B83" s="153" t="s">
        <v>147</v>
      </c>
      <c r="C83" s="146" t="s">
        <v>149</v>
      </c>
      <c r="D83" s="146"/>
      <c r="E83" s="144">
        <v>558.53</v>
      </c>
      <c r="F83" s="144">
        <f t="shared" si="1"/>
        <v>29509.040000000005</v>
      </c>
      <c r="G83" s="144" t="s">
        <v>92</v>
      </c>
    </row>
    <row r="84" spans="1:10" ht="15.75">
      <c r="A84" s="1873"/>
      <c r="B84" s="153" t="s">
        <v>150</v>
      </c>
      <c r="C84" s="146" t="s">
        <v>151</v>
      </c>
      <c r="D84" s="146">
        <v>614.51</v>
      </c>
      <c r="E84" s="144"/>
      <c r="F84" s="144">
        <f t="shared" si="1"/>
        <v>30123.550000000003</v>
      </c>
      <c r="G84" s="144" t="s">
        <v>85</v>
      </c>
    </row>
    <row r="85" spans="1:10" ht="15.75">
      <c r="A85" s="1873"/>
      <c r="B85" s="153" t="s">
        <v>152</v>
      </c>
      <c r="C85" s="146" t="s">
        <v>153</v>
      </c>
      <c r="D85" s="146"/>
      <c r="E85" s="144">
        <v>1945.37</v>
      </c>
      <c r="F85" s="144">
        <f t="shared" si="1"/>
        <v>28178.180000000004</v>
      </c>
      <c r="G85" s="144" t="s">
        <v>92</v>
      </c>
    </row>
    <row r="86" spans="1:10" ht="15.75">
      <c r="A86" s="1873"/>
      <c r="B86" s="153" t="s">
        <v>152</v>
      </c>
      <c r="C86" s="146" t="s">
        <v>154</v>
      </c>
      <c r="D86" s="146"/>
      <c r="E86" s="144">
        <v>2312.1999999999998</v>
      </c>
      <c r="F86" s="144">
        <f t="shared" si="1"/>
        <v>25865.980000000003</v>
      </c>
      <c r="G86" s="144" t="s">
        <v>155</v>
      </c>
    </row>
    <row r="87" spans="1:10" ht="15.75">
      <c r="A87" s="1873"/>
      <c r="B87" s="153" t="s">
        <v>152</v>
      </c>
      <c r="C87" s="146" t="s">
        <v>156</v>
      </c>
      <c r="D87" s="146"/>
      <c r="E87" s="144">
        <v>57.38</v>
      </c>
      <c r="F87" s="144">
        <f t="shared" si="1"/>
        <v>25808.600000000002</v>
      </c>
      <c r="G87" s="144" t="s">
        <v>92</v>
      </c>
    </row>
    <row r="88" spans="1:10" ht="15.75">
      <c r="A88" s="1873"/>
      <c r="B88" s="144" t="s">
        <v>132</v>
      </c>
      <c r="C88" s="144" t="s">
        <v>112</v>
      </c>
      <c r="D88" s="144"/>
      <c r="E88" s="144">
        <v>4000</v>
      </c>
      <c r="F88" s="144">
        <f t="shared" si="1"/>
        <v>21808.600000000002</v>
      </c>
      <c r="G88" s="144" t="s">
        <v>157</v>
      </c>
    </row>
    <row r="89" spans="1:10" ht="15.75">
      <c r="A89" s="1873"/>
      <c r="B89" s="144" t="s">
        <v>147</v>
      </c>
      <c r="C89" s="144" t="s">
        <v>112</v>
      </c>
      <c r="D89" s="144"/>
      <c r="E89" s="144">
        <v>4000</v>
      </c>
      <c r="F89" s="144">
        <f t="shared" si="1"/>
        <v>17808.600000000002</v>
      </c>
      <c r="G89" s="144" t="s">
        <v>157</v>
      </c>
    </row>
    <row r="90" spans="1:10" ht="15.75">
      <c r="A90" s="1873" t="s">
        <v>158</v>
      </c>
      <c r="B90" s="154">
        <v>43516</v>
      </c>
      <c r="C90" s="107" t="s">
        <v>159</v>
      </c>
      <c r="D90" s="107">
        <v>11267.07</v>
      </c>
      <c r="E90" s="144"/>
      <c r="F90" s="144">
        <f t="shared" ref="F90:F153" si="2">F89+D90-E90</f>
        <v>29075.670000000002</v>
      </c>
      <c r="G90" s="107" t="s">
        <v>160</v>
      </c>
      <c r="I90" t="s">
        <v>161</v>
      </c>
      <c r="J90">
        <v>591.32000000000005</v>
      </c>
    </row>
    <row r="91" spans="1:10" ht="15.75">
      <c r="A91" s="1873"/>
      <c r="B91" s="154">
        <v>43525</v>
      </c>
      <c r="C91" s="107" t="s">
        <v>162</v>
      </c>
      <c r="D91" s="107">
        <v>7366.05</v>
      </c>
      <c r="E91" s="144"/>
      <c r="F91" s="144">
        <f t="shared" si="2"/>
        <v>36441.72</v>
      </c>
      <c r="G91" s="147" t="s">
        <v>163</v>
      </c>
    </row>
    <row r="92" spans="1:10" ht="15.75">
      <c r="A92" s="1873"/>
      <c r="B92" s="154">
        <v>43539</v>
      </c>
      <c r="C92" s="107" t="s">
        <v>164</v>
      </c>
      <c r="D92" s="107">
        <v>5838.21</v>
      </c>
      <c r="E92" s="144"/>
      <c r="F92" s="144">
        <f t="shared" si="2"/>
        <v>42279.93</v>
      </c>
      <c r="G92" s="107" t="s">
        <v>160</v>
      </c>
    </row>
    <row r="93" spans="1:10" ht="15.75">
      <c r="A93" s="1873"/>
      <c r="B93" s="107" t="s">
        <v>165</v>
      </c>
      <c r="C93" s="107" t="s">
        <v>166</v>
      </c>
      <c r="D93" s="107">
        <v>984.2</v>
      </c>
      <c r="E93" s="144"/>
      <c r="F93" s="144">
        <f t="shared" si="2"/>
        <v>43264.13</v>
      </c>
      <c r="G93" s="107" t="s">
        <v>160</v>
      </c>
    </row>
    <row r="94" spans="1:10" ht="15.75">
      <c r="A94" s="1873"/>
      <c r="B94" s="152">
        <v>43553</v>
      </c>
      <c r="C94" s="107" t="s">
        <v>167</v>
      </c>
      <c r="D94" s="107">
        <v>1323</v>
      </c>
      <c r="E94" s="144"/>
      <c r="F94" s="144">
        <f t="shared" si="2"/>
        <v>44587.13</v>
      </c>
      <c r="G94" s="107" t="s">
        <v>160</v>
      </c>
    </row>
    <row r="95" spans="1:10" ht="15.75">
      <c r="A95" s="1873"/>
      <c r="B95" s="152">
        <v>43579</v>
      </c>
      <c r="C95" s="107" t="s">
        <v>168</v>
      </c>
      <c r="D95" s="107">
        <v>140</v>
      </c>
      <c r="E95" s="144"/>
      <c r="F95" s="144">
        <f t="shared" si="2"/>
        <v>44727.13</v>
      </c>
      <c r="G95" s="107" t="s">
        <v>160</v>
      </c>
    </row>
    <row r="96" spans="1:10" ht="15.75">
      <c r="A96" s="1873"/>
      <c r="B96" s="152">
        <v>43593</v>
      </c>
      <c r="C96" s="107" t="s">
        <v>169</v>
      </c>
      <c r="D96" s="107">
        <v>1189.3</v>
      </c>
      <c r="E96" s="144"/>
      <c r="F96" s="144">
        <f t="shared" si="2"/>
        <v>45916.43</v>
      </c>
      <c r="G96" s="107" t="s">
        <v>160</v>
      </c>
    </row>
    <row r="97" spans="1:7" ht="15.75">
      <c r="A97" s="1873"/>
      <c r="B97" s="152" t="s">
        <v>170</v>
      </c>
      <c r="C97" s="107" t="s">
        <v>171</v>
      </c>
      <c r="D97" s="107"/>
      <c r="E97" s="144">
        <v>10000</v>
      </c>
      <c r="F97" s="144">
        <f t="shared" si="2"/>
        <v>35916.43</v>
      </c>
      <c r="G97" s="107" t="s">
        <v>157</v>
      </c>
    </row>
    <row r="98" spans="1:7" ht="15.75">
      <c r="A98" s="1873"/>
      <c r="B98" s="152">
        <v>43605</v>
      </c>
      <c r="C98" s="107" t="s">
        <v>172</v>
      </c>
      <c r="D98" s="107">
        <v>696.5</v>
      </c>
      <c r="E98" s="144"/>
      <c r="F98" s="144">
        <f t="shared" si="2"/>
        <v>36612.93</v>
      </c>
      <c r="G98" s="107"/>
    </row>
    <row r="99" spans="1:7" ht="15.75">
      <c r="A99" s="1873"/>
      <c r="B99" s="154">
        <v>43615</v>
      </c>
      <c r="C99" s="107" t="s">
        <v>173</v>
      </c>
      <c r="D99" s="107">
        <v>661</v>
      </c>
      <c r="E99" s="144"/>
      <c r="F99" s="144">
        <f t="shared" si="2"/>
        <v>37273.93</v>
      </c>
      <c r="G99" s="107" t="s">
        <v>174</v>
      </c>
    </row>
    <row r="100" spans="1:7" ht="15.75">
      <c r="A100" s="1873"/>
      <c r="B100" s="107" t="s">
        <v>175</v>
      </c>
      <c r="C100" s="107" t="s">
        <v>176</v>
      </c>
      <c r="D100" s="107">
        <v>923.3</v>
      </c>
      <c r="E100" s="144"/>
      <c r="F100" s="144">
        <f t="shared" si="2"/>
        <v>38197.230000000003</v>
      </c>
      <c r="G100" s="107" t="s">
        <v>177</v>
      </c>
    </row>
    <row r="101" spans="1:7" ht="15.75">
      <c r="A101" s="1873"/>
      <c r="B101" s="107" t="s">
        <v>178</v>
      </c>
      <c r="C101" s="107" t="s">
        <v>179</v>
      </c>
      <c r="D101" s="107"/>
      <c r="E101" s="144">
        <v>4602.3599999999997</v>
      </c>
      <c r="F101" s="144">
        <f t="shared" si="2"/>
        <v>33594.870000000003</v>
      </c>
      <c r="G101" s="107" t="s">
        <v>180</v>
      </c>
    </row>
    <row r="102" spans="1:7" ht="15.75">
      <c r="A102" s="1873"/>
      <c r="B102" s="107" t="s">
        <v>178</v>
      </c>
      <c r="C102" s="107" t="s">
        <v>181</v>
      </c>
      <c r="D102" s="107"/>
      <c r="E102" s="144">
        <v>7012.5</v>
      </c>
      <c r="F102" s="144">
        <f t="shared" si="2"/>
        <v>26582.370000000003</v>
      </c>
      <c r="G102" s="107" t="s">
        <v>180</v>
      </c>
    </row>
    <row r="103" spans="1:7" ht="15.75">
      <c r="A103" s="1873"/>
      <c r="B103" s="107" t="s">
        <v>178</v>
      </c>
      <c r="C103" s="107" t="s">
        <v>182</v>
      </c>
      <c r="D103" s="107"/>
      <c r="E103" s="144">
        <v>4361.1099999999997</v>
      </c>
      <c r="F103" s="144">
        <f t="shared" si="2"/>
        <v>22221.260000000002</v>
      </c>
      <c r="G103" s="107" t="s">
        <v>180</v>
      </c>
    </row>
    <row r="104" spans="1:7" ht="15.75">
      <c r="A104" s="1873"/>
      <c r="B104" s="107" t="s">
        <v>178</v>
      </c>
      <c r="C104" s="107" t="s">
        <v>183</v>
      </c>
      <c r="D104" s="107"/>
      <c r="E104" s="144">
        <v>204.44</v>
      </c>
      <c r="F104" s="144">
        <f t="shared" si="2"/>
        <v>22016.820000000003</v>
      </c>
      <c r="G104" s="107" t="s">
        <v>180</v>
      </c>
    </row>
    <row r="105" spans="1:7" ht="15.75">
      <c r="A105" s="1873"/>
      <c r="B105" s="107" t="s">
        <v>184</v>
      </c>
      <c r="C105" s="107" t="s">
        <v>171</v>
      </c>
      <c r="D105" s="107"/>
      <c r="E105" s="144">
        <v>4000</v>
      </c>
      <c r="F105" s="144">
        <f t="shared" si="2"/>
        <v>18016.820000000003</v>
      </c>
      <c r="G105" s="107" t="s">
        <v>157</v>
      </c>
    </row>
    <row r="106" spans="1:7" ht="15.75">
      <c r="A106" s="1873"/>
      <c r="B106" s="107" t="s">
        <v>185</v>
      </c>
      <c r="C106" s="107" t="s">
        <v>186</v>
      </c>
      <c r="D106" s="107">
        <v>1233.3</v>
      </c>
      <c r="E106" s="144"/>
      <c r="F106" s="144">
        <f t="shared" si="2"/>
        <v>19250.120000000003</v>
      </c>
      <c r="G106" s="107" t="s">
        <v>187</v>
      </c>
    </row>
    <row r="107" spans="1:7" ht="15.75">
      <c r="A107" s="1873"/>
      <c r="B107" s="107" t="s">
        <v>188</v>
      </c>
      <c r="C107" s="107" t="s">
        <v>189</v>
      </c>
      <c r="D107" s="107">
        <v>2973.63</v>
      </c>
      <c r="E107" s="144"/>
      <c r="F107" s="144">
        <f t="shared" si="2"/>
        <v>22223.750000000004</v>
      </c>
      <c r="G107" s="107" t="s">
        <v>190</v>
      </c>
    </row>
    <row r="108" spans="1:7" ht="15.75">
      <c r="A108" s="1873"/>
      <c r="B108" s="107" t="s">
        <v>191</v>
      </c>
      <c r="C108" s="107" t="s">
        <v>192</v>
      </c>
      <c r="D108" s="107">
        <v>1022.7</v>
      </c>
      <c r="E108" s="144"/>
      <c r="F108" s="144">
        <f t="shared" si="2"/>
        <v>23246.450000000004</v>
      </c>
      <c r="G108" s="107" t="s">
        <v>85</v>
      </c>
    </row>
    <row r="109" spans="1:7" ht="15.75">
      <c r="A109" s="1873"/>
      <c r="B109" s="107" t="s">
        <v>193</v>
      </c>
      <c r="C109" s="107" t="s">
        <v>171</v>
      </c>
      <c r="D109" s="107"/>
      <c r="E109" s="144">
        <v>4000</v>
      </c>
      <c r="F109" s="144">
        <f t="shared" si="2"/>
        <v>19246.450000000004</v>
      </c>
      <c r="G109" s="107" t="s">
        <v>157</v>
      </c>
    </row>
    <row r="110" spans="1:7" ht="15.75">
      <c r="A110" s="1873"/>
      <c r="B110" s="107" t="s">
        <v>194</v>
      </c>
      <c r="C110" s="107" t="s">
        <v>195</v>
      </c>
      <c r="D110" s="107">
        <v>1311</v>
      </c>
      <c r="E110" s="144"/>
      <c r="F110" s="144">
        <f t="shared" si="2"/>
        <v>20557.450000000004</v>
      </c>
      <c r="G110" s="107" t="s">
        <v>85</v>
      </c>
    </row>
    <row r="111" spans="1:7" ht="15.75">
      <c r="A111" s="1873"/>
      <c r="B111" s="107" t="s">
        <v>196</v>
      </c>
      <c r="C111" s="107" t="s">
        <v>197</v>
      </c>
      <c r="D111" s="107">
        <v>2311.8000000000002</v>
      </c>
      <c r="E111" s="144"/>
      <c r="F111" s="144">
        <f t="shared" si="2"/>
        <v>22869.250000000004</v>
      </c>
      <c r="G111" s="107" t="s">
        <v>85</v>
      </c>
    </row>
    <row r="112" spans="1:7" ht="15.75">
      <c r="A112" s="1873"/>
      <c r="B112" s="107" t="s">
        <v>198</v>
      </c>
      <c r="C112" s="107" t="s">
        <v>199</v>
      </c>
      <c r="D112" s="107">
        <v>1396.75</v>
      </c>
      <c r="E112" s="144"/>
      <c r="F112" s="144">
        <f t="shared" si="2"/>
        <v>24266.000000000004</v>
      </c>
      <c r="G112" s="107" t="s">
        <v>85</v>
      </c>
    </row>
    <row r="113" spans="1:7" ht="15.75">
      <c r="A113" s="1873"/>
      <c r="B113" s="107" t="s">
        <v>150</v>
      </c>
      <c r="C113" s="107" t="s">
        <v>200</v>
      </c>
      <c r="D113" s="107">
        <v>1559.25</v>
      </c>
      <c r="E113" s="144"/>
      <c r="F113" s="144">
        <f t="shared" si="2"/>
        <v>25825.250000000004</v>
      </c>
      <c r="G113" s="107" t="s">
        <v>85</v>
      </c>
    </row>
    <row r="114" spans="1:7" ht="15.75">
      <c r="A114" s="1873"/>
      <c r="B114" s="107" t="s">
        <v>201</v>
      </c>
      <c r="C114" s="107" t="s">
        <v>202</v>
      </c>
      <c r="D114" s="107">
        <v>1108.5</v>
      </c>
      <c r="E114" s="144"/>
      <c r="F114" s="144">
        <f t="shared" si="2"/>
        <v>26933.750000000004</v>
      </c>
      <c r="G114" s="107" t="s">
        <v>49</v>
      </c>
    </row>
    <row r="115" spans="1:7" ht="15.75">
      <c r="A115" s="1873"/>
      <c r="B115" s="107" t="s">
        <v>203</v>
      </c>
      <c r="C115" s="107" t="s">
        <v>204</v>
      </c>
      <c r="D115" s="107">
        <v>2237.5</v>
      </c>
      <c r="E115" s="144"/>
      <c r="F115" s="144">
        <f t="shared" si="2"/>
        <v>29171.250000000004</v>
      </c>
      <c r="G115" s="107" t="s">
        <v>49</v>
      </c>
    </row>
    <row r="116" spans="1:7" ht="15.75">
      <c r="A116" s="1873"/>
      <c r="B116" s="107" t="s">
        <v>205</v>
      </c>
      <c r="C116" s="107" t="s">
        <v>112</v>
      </c>
      <c r="D116" s="107"/>
      <c r="E116" s="144">
        <v>10000</v>
      </c>
      <c r="F116" s="144">
        <f t="shared" si="2"/>
        <v>19171.250000000004</v>
      </c>
      <c r="G116" s="107" t="s">
        <v>206</v>
      </c>
    </row>
    <row r="117" spans="1:7" ht="15.75">
      <c r="A117" s="1873"/>
      <c r="B117" s="155" t="s">
        <v>207</v>
      </c>
      <c r="C117" s="155" t="s">
        <v>208</v>
      </c>
      <c r="D117" s="155">
        <v>1678.4</v>
      </c>
      <c r="E117" s="144"/>
      <c r="F117" s="144">
        <f t="shared" si="2"/>
        <v>20849.650000000005</v>
      </c>
      <c r="G117" s="107" t="s">
        <v>49</v>
      </c>
    </row>
    <row r="118" spans="1:7" ht="15.75">
      <c r="A118" s="1873" t="s">
        <v>209</v>
      </c>
      <c r="B118" s="154">
        <v>43516</v>
      </c>
      <c r="C118" s="107" t="s">
        <v>210</v>
      </c>
      <c r="D118" s="107">
        <v>6411.05</v>
      </c>
      <c r="E118" s="144"/>
      <c r="F118" s="144">
        <f t="shared" si="2"/>
        <v>27260.700000000004</v>
      </c>
      <c r="G118" s="107" t="s">
        <v>211</v>
      </c>
    </row>
    <row r="119" spans="1:7" ht="15.75">
      <c r="A119" s="1873"/>
      <c r="B119" s="154">
        <v>43525</v>
      </c>
      <c r="C119" s="107" t="s">
        <v>212</v>
      </c>
      <c r="D119" s="107">
        <v>2218.3000000000002</v>
      </c>
      <c r="E119" s="144"/>
      <c r="F119" s="144">
        <f t="shared" si="2"/>
        <v>29479.000000000004</v>
      </c>
      <c r="G119" s="144"/>
    </row>
    <row r="120" spans="1:7" ht="15.75">
      <c r="A120" s="1873"/>
      <c r="B120" s="154">
        <v>43539</v>
      </c>
      <c r="C120" s="107" t="s">
        <v>213</v>
      </c>
      <c r="D120" s="107">
        <v>2672</v>
      </c>
      <c r="E120" s="144"/>
      <c r="F120" s="144">
        <f t="shared" si="2"/>
        <v>32151.000000000004</v>
      </c>
      <c r="G120" s="107" t="s">
        <v>214</v>
      </c>
    </row>
    <row r="121" spans="1:7" ht="15.75">
      <c r="A121" s="1873"/>
      <c r="B121" s="154">
        <v>43545</v>
      </c>
      <c r="C121" s="107" t="s">
        <v>215</v>
      </c>
      <c r="D121" s="107">
        <v>2813.9</v>
      </c>
      <c r="E121" s="144"/>
      <c r="F121" s="144">
        <f t="shared" si="2"/>
        <v>34964.9</v>
      </c>
      <c r="G121" s="107" t="s">
        <v>216</v>
      </c>
    </row>
    <row r="122" spans="1:7" ht="15.75">
      <c r="A122" s="1873"/>
      <c r="B122" s="154">
        <v>43545</v>
      </c>
      <c r="C122" s="107" t="s">
        <v>217</v>
      </c>
      <c r="D122" s="107">
        <v>2829.9</v>
      </c>
      <c r="E122" s="144"/>
      <c r="F122" s="144">
        <f t="shared" si="2"/>
        <v>37794.800000000003</v>
      </c>
      <c r="G122" s="144"/>
    </row>
    <row r="123" spans="1:7" ht="15.75">
      <c r="A123" s="1873"/>
      <c r="B123" s="154">
        <v>43544</v>
      </c>
      <c r="C123" s="107" t="s">
        <v>218</v>
      </c>
      <c r="D123" s="107"/>
      <c r="E123" s="144">
        <v>2672</v>
      </c>
      <c r="F123" s="144">
        <f t="shared" si="2"/>
        <v>35122.800000000003</v>
      </c>
      <c r="G123" s="107" t="s">
        <v>219</v>
      </c>
    </row>
    <row r="124" spans="1:7" ht="15.75">
      <c r="A124" s="1873"/>
      <c r="B124" s="154">
        <v>43545</v>
      </c>
      <c r="C124" s="107" t="s">
        <v>220</v>
      </c>
      <c r="D124" s="107"/>
      <c r="E124" s="144">
        <v>2829.9</v>
      </c>
      <c r="F124" s="144">
        <f t="shared" si="2"/>
        <v>32292.9</v>
      </c>
      <c r="G124" s="107" t="s">
        <v>219</v>
      </c>
    </row>
    <row r="125" spans="1:7" ht="15.75">
      <c r="A125" s="1873"/>
      <c r="B125" s="154">
        <v>43585</v>
      </c>
      <c r="C125" s="107" t="s">
        <v>221</v>
      </c>
      <c r="D125" s="107">
        <v>940.8</v>
      </c>
      <c r="E125" s="144"/>
      <c r="F125" s="144">
        <f t="shared" si="2"/>
        <v>33233.700000000004</v>
      </c>
      <c r="G125" s="107" t="s">
        <v>214</v>
      </c>
    </row>
    <row r="126" spans="1:7" ht="15.75">
      <c r="A126" s="1873"/>
      <c r="B126" s="154" t="s">
        <v>222</v>
      </c>
      <c r="C126" s="107" t="s">
        <v>171</v>
      </c>
      <c r="D126" s="107"/>
      <c r="E126" s="144">
        <v>4000</v>
      </c>
      <c r="F126" s="144">
        <f t="shared" si="2"/>
        <v>29233.700000000004</v>
      </c>
      <c r="G126" s="144"/>
    </row>
    <row r="127" spans="1:7" ht="15.75">
      <c r="A127" s="1873"/>
      <c r="B127" s="154" t="s">
        <v>223</v>
      </c>
      <c r="C127" s="107" t="s">
        <v>171</v>
      </c>
      <c r="D127" s="107"/>
      <c r="E127" s="144">
        <v>3000</v>
      </c>
      <c r="F127" s="144">
        <f t="shared" si="2"/>
        <v>26233.700000000004</v>
      </c>
      <c r="G127" s="144"/>
    </row>
    <row r="128" spans="1:7" ht="15.75">
      <c r="A128" s="1873"/>
      <c r="B128" s="154" t="s">
        <v>224</v>
      </c>
      <c r="C128" s="107" t="s">
        <v>171</v>
      </c>
      <c r="D128" s="107"/>
      <c r="E128" s="144">
        <v>2000</v>
      </c>
      <c r="F128" s="144">
        <f t="shared" si="2"/>
        <v>24233.700000000004</v>
      </c>
      <c r="G128" s="144"/>
    </row>
    <row r="129" spans="1:7" ht="15.75">
      <c r="A129" s="1873"/>
      <c r="B129" s="107" t="s">
        <v>225</v>
      </c>
      <c r="C129" s="107" t="s">
        <v>226</v>
      </c>
      <c r="D129" s="107">
        <v>1153.8900000000001</v>
      </c>
      <c r="E129" s="144"/>
      <c r="F129" s="144">
        <f t="shared" si="2"/>
        <v>25387.590000000004</v>
      </c>
      <c r="G129" s="107" t="s">
        <v>85</v>
      </c>
    </row>
    <row r="130" spans="1:7" ht="15.75">
      <c r="A130" s="1873"/>
      <c r="B130" s="107" t="s">
        <v>227</v>
      </c>
      <c r="C130" s="107" t="s">
        <v>171</v>
      </c>
      <c r="D130" s="107"/>
      <c r="E130" s="144">
        <v>2218.3000000000002</v>
      </c>
      <c r="F130" s="144">
        <f t="shared" si="2"/>
        <v>23169.290000000005</v>
      </c>
      <c r="G130" s="144" t="s">
        <v>28</v>
      </c>
    </row>
    <row r="131" spans="1:7" ht="15.75">
      <c r="A131" s="1873"/>
      <c r="B131" s="156" t="s">
        <v>228</v>
      </c>
      <c r="C131" s="156" t="s">
        <v>229</v>
      </c>
      <c r="D131" s="156">
        <v>1920.16</v>
      </c>
      <c r="E131" s="144"/>
      <c r="F131" s="144">
        <f t="shared" si="2"/>
        <v>25089.450000000004</v>
      </c>
      <c r="G131" s="156" t="s">
        <v>230</v>
      </c>
    </row>
    <row r="132" spans="1:7" ht="15.75">
      <c r="A132" s="1873"/>
      <c r="B132" s="144" t="s">
        <v>231</v>
      </c>
      <c r="C132" s="107" t="s">
        <v>171</v>
      </c>
      <c r="D132" s="144"/>
      <c r="E132" s="144">
        <v>2120</v>
      </c>
      <c r="F132" s="144">
        <f t="shared" si="2"/>
        <v>22969.450000000004</v>
      </c>
      <c r="G132" s="144"/>
    </row>
    <row r="133" spans="1:7" ht="15.75">
      <c r="A133" s="1873"/>
      <c r="B133" s="144" t="s">
        <v>232</v>
      </c>
      <c r="C133" s="107" t="s">
        <v>171</v>
      </c>
      <c r="D133" s="144"/>
      <c r="E133" s="144">
        <v>2070</v>
      </c>
      <c r="F133" s="144">
        <f t="shared" si="2"/>
        <v>20899.450000000004</v>
      </c>
      <c r="G133" s="144"/>
    </row>
    <row r="134" spans="1:7" ht="15.75">
      <c r="A134" s="1873" t="s">
        <v>233</v>
      </c>
      <c r="B134" s="157"/>
      <c r="C134" s="146" t="s">
        <v>234</v>
      </c>
      <c r="D134" s="146">
        <v>33.14</v>
      </c>
      <c r="E134" s="157"/>
      <c r="F134" s="144">
        <f t="shared" si="2"/>
        <v>20932.590000000004</v>
      </c>
      <c r="G134" s="146" t="s">
        <v>235</v>
      </c>
    </row>
    <row r="135" spans="1:7" ht="15.75">
      <c r="A135" s="1873"/>
      <c r="B135" s="149">
        <v>43511</v>
      </c>
      <c r="C135" s="146" t="s">
        <v>236</v>
      </c>
      <c r="D135" s="146">
        <v>11461.53</v>
      </c>
      <c r="E135" s="157"/>
      <c r="F135" s="144">
        <f t="shared" si="2"/>
        <v>32394.120000000003</v>
      </c>
      <c r="G135" s="146"/>
    </row>
    <row r="136" spans="1:7" ht="15.75">
      <c r="A136" s="1873"/>
      <c r="B136" s="149">
        <v>43525</v>
      </c>
      <c r="C136" s="146" t="s">
        <v>237</v>
      </c>
      <c r="D136" s="146">
        <v>6764.46</v>
      </c>
      <c r="E136" s="157"/>
      <c r="F136" s="144">
        <f t="shared" si="2"/>
        <v>39158.58</v>
      </c>
      <c r="G136" s="146"/>
    </row>
    <row r="137" spans="1:7" ht="15.75">
      <c r="A137" s="1873"/>
      <c r="B137" s="149">
        <v>43539</v>
      </c>
      <c r="C137" s="146" t="s">
        <v>238</v>
      </c>
      <c r="D137" s="146">
        <v>4794.08</v>
      </c>
      <c r="E137" s="157"/>
      <c r="F137" s="144">
        <f t="shared" si="2"/>
        <v>43952.66</v>
      </c>
      <c r="G137" s="146"/>
    </row>
    <row r="138" spans="1:7" ht="15.75">
      <c r="A138" s="1873"/>
      <c r="B138" s="158" t="s">
        <v>222</v>
      </c>
      <c r="C138" s="146" t="s">
        <v>239</v>
      </c>
      <c r="D138" s="146"/>
      <c r="E138" s="157">
        <v>10000</v>
      </c>
      <c r="F138" s="144">
        <f t="shared" si="2"/>
        <v>33952.660000000003</v>
      </c>
      <c r="G138" s="146"/>
    </row>
    <row r="139" spans="1:7" ht="15.75">
      <c r="A139" s="1873"/>
      <c r="B139" s="149">
        <v>43566</v>
      </c>
      <c r="C139" s="146" t="s">
        <v>240</v>
      </c>
      <c r="D139" s="146">
        <v>1004.52</v>
      </c>
      <c r="E139" s="157"/>
      <c r="F139" s="144">
        <f t="shared" si="2"/>
        <v>34957.18</v>
      </c>
      <c r="G139" s="146"/>
    </row>
    <row r="140" spans="1:7" ht="15.75">
      <c r="A140" s="1873"/>
      <c r="B140" s="149">
        <v>43607</v>
      </c>
      <c r="C140" s="146" t="s">
        <v>241</v>
      </c>
      <c r="D140" s="146">
        <v>1782</v>
      </c>
      <c r="E140" s="157"/>
      <c r="F140" s="144">
        <f t="shared" si="2"/>
        <v>36739.18</v>
      </c>
      <c r="G140" s="146"/>
    </row>
    <row r="141" spans="1:7" ht="15.75">
      <c r="A141" s="1873"/>
      <c r="B141" s="149">
        <v>43615</v>
      </c>
      <c r="C141" s="146" t="s">
        <v>242</v>
      </c>
      <c r="D141" s="146"/>
      <c r="E141" s="157">
        <v>55.34</v>
      </c>
      <c r="F141" s="144">
        <f t="shared" si="2"/>
        <v>36683.840000000004</v>
      </c>
      <c r="G141" s="146" t="s">
        <v>243</v>
      </c>
    </row>
    <row r="142" spans="1:7" ht="15.75">
      <c r="A142" s="1873"/>
      <c r="B142" s="149">
        <v>43615</v>
      </c>
      <c r="C142" s="146" t="s">
        <v>244</v>
      </c>
      <c r="D142" s="146">
        <v>4548.04</v>
      </c>
      <c r="E142" s="157"/>
      <c r="F142" s="144">
        <f t="shared" si="2"/>
        <v>41231.880000000005</v>
      </c>
      <c r="G142" s="146" t="s">
        <v>245</v>
      </c>
    </row>
    <row r="143" spans="1:7" ht="15.75">
      <c r="A143" s="1873"/>
      <c r="B143" s="146" t="s">
        <v>246</v>
      </c>
      <c r="C143" s="146" t="s">
        <v>247</v>
      </c>
      <c r="D143" s="146">
        <v>124.32</v>
      </c>
      <c r="E143" s="157"/>
      <c r="F143" s="144">
        <f t="shared" si="2"/>
        <v>41356.200000000004</v>
      </c>
      <c r="G143" s="146" t="s">
        <v>248</v>
      </c>
    </row>
    <row r="144" spans="1:7" ht="15.75">
      <c r="A144" s="1873"/>
      <c r="B144" s="146" t="s">
        <v>41</v>
      </c>
      <c r="C144" s="146" t="s">
        <v>249</v>
      </c>
      <c r="D144" s="146">
        <v>2442.5500000000002</v>
      </c>
      <c r="E144" s="157"/>
      <c r="F144" s="144">
        <f t="shared" si="2"/>
        <v>43798.750000000007</v>
      </c>
      <c r="G144" s="146" t="s">
        <v>245</v>
      </c>
    </row>
    <row r="145" spans="1:7" ht="15.75">
      <c r="A145" s="1873"/>
      <c r="B145" s="146" t="s">
        <v>250</v>
      </c>
      <c r="C145" s="146" t="s">
        <v>239</v>
      </c>
      <c r="D145" s="146"/>
      <c r="E145" s="157">
        <v>10000</v>
      </c>
      <c r="F145" s="144">
        <f t="shared" si="2"/>
        <v>33798.750000000007</v>
      </c>
      <c r="G145" s="146"/>
    </row>
    <row r="146" spans="1:7" ht="15.75">
      <c r="A146" s="1873"/>
      <c r="B146" s="146" t="s">
        <v>137</v>
      </c>
      <c r="C146" s="146" t="s">
        <v>251</v>
      </c>
      <c r="D146" s="146">
        <v>1025.6300000000001</v>
      </c>
      <c r="E146" s="157"/>
      <c r="F146" s="144">
        <f t="shared" si="2"/>
        <v>34824.380000000005</v>
      </c>
      <c r="G146" s="146" t="s">
        <v>252</v>
      </c>
    </row>
    <row r="147" spans="1:7" ht="15.75">
      <c r="A147" s="1873"/>
      <c r="B147" s="146" t="s">
        <v>19</v>
      </c>
      <c r="C147" s="146" t="s">
        <v>253</v>
      </c>
      <c r="D147" s="146">
        <v>1782</v>
      </c>
      <c r="E147" s="157"/>
      <c r="F147" s="144">
        <f t="shared" si="2"/>
        <v>36606.380000000005</v>
      </c>
      <c r="G147" s="146" t="s">
        <v>252</v>
      </c>
    </row>
    <row r="148" spans="1:7" ht="15.75">
      <c r="A148" s="1873"/>
      <c r="B148" s="146" t="s">
        <v>142</v>
      </c>
      <c r="C148" s="146" t="s">
        <v>254</v>
      </c>
      <c r="D148" s="146">
        <v>1090.53</v>
      </c>
      <c r="E148" s="157"/>
      <c r="F148" s="144">
        <f t="shared" si="2"/>
        <v>37696.910000000003</v>
      </c>
      <c r="G148" s="146" t="s">
        <v>252</v>
      </c>
    </row>
    <row r="149" spans="1:7" ht="15.75">
      <c r="A149" s="1873"/>
      <c r="B149" s="146" t="s">
        <v>255</v>
      </c>
      <c r="C149" s="146" t="s">
        <v>256</v>
      </c>
      <c r="D149" s="146">
        <v>1878.3</v>
      </c>
      <c r="E149" s="157"/>
      <c r="F149" s="144">
        <f t="shared" si="2"/>
        <v>39575.210000000006</v>
      </c>
      <c r="G149" s="146" t="s">
        <v>252</v>
      </c>
    </row>
    <row r="150" spans="1:7" ht="15.75">
      <c r="A150" s="1873"/>
      <c r="B150" s="146" t="s">
        <v>257</v>
      </c>
      <c r="C150" s="146" t="s">
        <v>258</v>
      </c>
      <c r="D150" s="146"/>
      <c r="E150" s="157">
        <v>224.07</v>
      </c>
      <c r="F150" s="144">
        <f t="shared" si="2"/>
        <v>39351.140000000007</v>
      </c>
      <c r="G150" s="146" t="s">
        <v>243</v>
      </c>
    </row>
    <row r="151" spans="1:7" ht="15.75">
      <c r="A151" s="1873" t="s">
        <v>259</v>
      </c>
      <c r="B151" s="157" t="s">
        <v>260</v>
      </c>
      <c r="C151" s="157" t="s">
        <v>261</v>
      </c>
      <c r="D151" s="157">
        <v>4553.8599999999997</v>
      </c>
      <c r="E151" s="157"/>
      <c r="F151" s="144">
        <f t="shared" si="2"/>
        <v>43905.000000000007</v>
      </c>
      <c r="G151" s="157" t="s">
        <v>262</v>
      </c>
    </row>
    <row r="152" spans="1:7" ht="15.75">
      <c r="A152" s="1873"/>
      <c r="B152" s="144" t="s">
        <v>184</v>
      </c>
      <c r="C152" s="144" t="s">
        <v>263</v>
      </c>
      <c r="D152" s="144">
        <v>239.76</v>
      </c>
      <c r="E152" s="144"/>
      <c r="F152" s="144">
        <f t="shared" si="2"/>
        <v>44144.760000000009</v>
      </c>
      <c r="G152" s="144" t="s">
        <v>264</v>
      </c>
    </row>
    <row r="153" spans="1:7" ht="15.75">
      <c r="A153" s="1873"/>
      <c r="B153" s="144" t="s">
        <v>265</v>
      </c>
      <c r="C153" s="144" t="s">
        <v>266</v>
      </c>
      <c r="D153" s="144">
        <v>117.6</v>
      </c>
      <c r="E153" s="144"/>
      <c r="F153" s="144">
        <f t="shared" si="2"/>
        <v>44262.360000000008</v>
      </c>
      <c r="G153" s="144" t="s">
        <v>267</v>
      </c>
    </row>
    <row r="154" spans="1:7" ht="15.75">
      <c r="A154" s="1873"/>
      <c r="B154" s="144" t="s">
        <v>268</v>
      </c>
      <c r="C154" s="144" t="s">
        <v>269</v>
      </c>
      <c r="D154" s="144"/>
      <c r="E154" s="144">
        <v>4338.1499999999996</v>
      </c>
      <c r="F154" s="144">
        <f t="shared" ref="F154:F217" si="3">F153+D154-E154</f>
        <v>39924.210000000006</v>
      </c>
      <c r="G154" s="144" t="s">
        <v>270</v>
      </c>
    </row>
    <row r="155" spans="1:7" ht="15.75">
      <c r="A155" s="1873"/>
      <c r="B155" s="144" t="s">
        <v>271</v>
      </c>
      <c r="C155" s="144" t="s">
        <v>272</v>
      </c>
      <c r="D155" s="144"/>
      <c r="E155" s="144">
        <v>400</v>
      </c>
      <c r="F155" s="144">
        <f t="shared" si="3"/>
        <v>39524.210000000006</v>
      </c>
      <c r="G155" s="144"/>
    </row>
    <row r="156" spans="1:7" ht="15.75">
      <c r="A156" s="1873" t="s">
        <v>273</v>
      </c>
      <c r="B156" s="145">
        <v>43560</v>
      </c>
      <c r="C156" s="144" t="s">
        <v>274</v>
      </c>
      <c r="D156" s="144">
        <v>10695.47</v>
      </c>
      <c r="E156" s="144"/>
      <c r="F156" s="144">
        <f t="shared" si="3"/>
        <v>50219.680000000008</v>
      </c>
      <c r="G156" s="146"/>
    </row>
    <row r="157" spans="1:7" ht="15.75">
      <c r="A157" s="1873"/>
      <c r="B157" s="152">
        <v>43560</v>
      </c>
      <c r="C157" s="144" t="s">
        <v>275</v>
      </c>
      <c r="D157" s="144">
        <v>94.5</v>
      </c>
      <c r="E157" s="144"/>
      <c r="F157" s="144">
        <f t="shared" si="3"/>
        <v>50314.180000000008</v>
      </c>
      <c r="G157" s="107"/>
    </row>
    <row r="158" spans="1:7" ht="15.75">
      <c r="A158" s="1873"/>
      <c r="B158" s="154">
        <v>43566</v>
      </c>
      <c r="C158" s="144" t="s">
        <v>276</v>
      </c>
      <c r="D158" s="144"/>
      <c r="E158" s="144">
        <v>1969.56</v>
      </c>
      <c r="F158" s="144">
        <f t="shared" si="3"/>
        <v>48344.62000000001</v>
      </c>
      <c r="G158" s="107" t="s">
        <v>277</v>
      </c>
    </row>
    <row r="159" spans="1:7" ht="15.75">
      <c r="A159" s="1873"/>
      <c r="B159" s="107"/>
      <c r="C159" s="144" t="s">
        <v>278</v>
      </c>
      <c r="D159" s="144">
        <v>1828.88</v>
      </c>
      <c r="E159" s="144"/>
      <c r="F159" s="144">
        <f t="shared" si="3"/>
        <v>50173.500000000007</v>
      </c>
      <c r="G159" s="107"/>
    </row>
    <row r="160" spans="1:7" ht="15.75">
      <c r="A160" s="1873"/>
      <c r="B160" s="144" t="s">
        <v>279</v>
      </c>
      <c r="C160" s="144" t="s">
        <v>272</v>
      </c>
      <c r="D160" s="144"/>
      <c r="E160" s="144">
        <v>2397.21</v>
      </c>
      <c r="F160" s="144">
        <f t="shared" si="3"/>
        <v>47776.290000000008</v>
      </c>
      <c r="G160" s="146" t="s">
        <v>280</v>
      </c>
    </row>
    <row r="161" spans="1:13" ht="15.75">
      <c r="A161" s="1873"/>
      <c r="B161" s="144" t="s">
        <v>281</v>
      </c>
      <c r="C161" s="144" t="s">
        <v>171</v>
      </c>
      <c r="D161" s="144"/>
      <c r="E161" s="144">
        <v>5000</v>
      </c>
      <c r="F161" s="144">
        <f t="shared" si="3"/>
        <v>42776.290000000008</v>
      </c>
      <c r="G161" s="146" t="s">
        <v>282</v>
      </c>
    </row>
    <row r="162" spans="1:13" ht="15.75">
      <c r="A162" s="1873"/>
      <c r="B162" s="107" t="s">
        <v>283</v>
      </c>
      <c r="C162" s="144" t="s">
        <v>284</v>
      </c>
      <c r="D162" s="144">
        <v>4393</v>
      </c>
      <c r="E162" s="144"/>
      <c r="F162" s="144">
        <f t="shared" si="3"/>
        <v>47169.290000000008</v>
      </c>
      <c r="G162" s="107" t="s">
        <v>285</v>
      </c>
    </row>
    <row r="163" spans="1:13" ht="15.75">
      <c r="A163" s="1873"/>
      <c r="B163" s="159" t="s">
        <v>286</v>
      </c>
      <c r="C163" s="144" t="s">
        <v>287</v>
      </c>
      <c r="D163" s="144">
        <v>1357.84</v>
      </c>
      <c r="E163" s="144"/>
      <c r="F163" s="144">
        <f t="shared" si="3"/>
        <v>48527.130000000005</v>
      </c>
      <c r="G163" s="155" t="s">
        <v>288</v>
      </c>
      <c r="I163" s="129"/>
      <c r="J163" s="129"/>
      <c r="K163" s="129"/>
      <c r="L163" s="129"/>
      <c r="M163" s="129"/>
    </row>
    <row r="164" spans="1:13" ht="15.75">
      <c r="A164" s="1873"/>
      <c r="B164" s="159" t="s">
        <v>255</v>
      </c>
      <c r="C164" s="144" t="s">
        <v>289</v>
      </c>
      <c r="D164" s="144">
        <v>2778.88</v>
      </c>
      <c r="E164" s="144"/>
      <c r="F164" s="144">
        <f t="shared" si="3"/>
        <v>51306.01</v>
      </c>
      <c r="G164" s="155" t="s">
        <v>288</v>
      </c>
      <c r="I164" s="129"/>
      <c r="J164" s="129"/>
      <c r="K164" s="129"/>
      <c r="L164" s="129"/>
      <c r="M164" s="129"/>
    </row>
    <row r="165" spans="1:13" ht="15.75">
      <c r="A165" s="1873"/>
      <c r="B165" s="144" t="s">
        <v>290</v>
      </c>
      <c r="C165" s="144" t="s">
        <v>171</v>
      </c>
      <c r="D165" s="144"/>
      <c r="E165" s="144">
        <v>5000</v>
      </c>
      <c r="F165" s="144">
        <f t="shared" si="3"/>
        <v>46306.01</v>
      </c>
      <c r="G165" s="155" t="s">
        <v>291</v>
      </c>
      <c r="I165" s="129"/>
      <c r="J165" s="129"/>
      <c r="K165" s="129"/>
      <c r="L165" s="129"/>
      <c r="M165" s="129"/>
    </row>
    <row r="166" spans="1:13" ht="15.75">
      <c r="A166" s="1873" t="s">
        <v>292</v>
      </c>
      <c r="B166" s="154">
        <v>43508</v>
      </c>
      <c r="C166" s="144" t="s">
        <v>293</v>
      </c>
      <c r="D166" s="144">
        <v>5610.33</v>
      </c>
      <c r="E166" s="144"/>
      <c r="F166" s="144">
        <f t="shared" si="3"/>
        <v>51916.340000000004</v>
      </c>
      <c r="G166" s="144"/>
      <c r="I166" s="160"/>
      <c r="J166" s="160"/>
      <c r="K166" s="161"/>
      <c r="L166" s="129"/>
      <c r="M166" s="129"/>
    </row>
    <row r="167" spans="1:13" ht="15.75">
      <c r="A167" s="1873"/>
      <c r="B167" s="154">
        <v>43508</v>
      </c>
      <c r="C167" s="144" t="s">
        <v>294</v>
      </c>
      <c r="D167" s="144">
        <v>5610.33</v>
      </c>
      <c r="E167" s="144"/>
      <c r="F167" s="144">
        <f t="shared" si="3"/>
        <v>57526.670000000006</v>
      </c>
      <c r="G167" s="144"/>
      <c r="I167" s="160"/>
      <c r="J167" s="160"/>
      <c r="K167" s="160"/>
      <c r="L167" s="129"/>
      <c r="M167" s="129"/>
    </row>
    <row r="168" spans="1:13" ht="15.75">
      <c r="A168" s="1873"/>
      <c r="B168" s="154">
        <v>43524</v>
      </c>
      <c r="C168" s="144" t="s">
        <v>295</v>
      </c>
      <c r="D168" s="144">
        <v>3294.55</v>
      </c>
      <c r="E168" s="144"/>
      <c r="F168" s="144">
        <f t="shared" si="3"/>
        <v>60821.220000000008</v>
      </c>
      <c r="G168" s="144"/>
      <c r="I168" s="160"/>
      <c r="J168" s="160"/>
      <c r="K168" s="160"/>
      <c r="L168" s="129"/>
      <c r="M168" s="129"/>
    </row>
    <row r="169" spans="1:13" ht="15.75">
      <c r="A169" s="1873"/>
      <c r="B169" s="154">
        <v>43524</v>
      </c>
      <c r="C169" s="144" t="s">
        <v>296</v>
      </c>
      <c r="D169" s="144">
        <v>3294.55</v>
      </c>
      <c r="E169" s="144"/>
      <c r="F169" s="144">
        <f t="shared" si="3"/>
        <v>64115.770000000011</v>
      </c>
      <c r="G169" s="144"/>
      <c r="I169" s="162"/>
      <c r="J169" s="160"/>
      <c r="K169" s="160"/>
      <c r="L169" s="129"/>
      <c r="M169" s="129"/>
    </row>
    <row r="170" spans="1:13" ht="15.75">
      <c r="A170" s="1873"/>
      <c r="B170" s="107" t="s">
        <v>297</v>
      </c>
      <c r="C170" s="144" t="s">
        <v>298</v>
      </c>
      <c r="D170" s="144"/>
      <c r="E170" s="144"/>
      <c r="F170" s="144">
        <f t="shared" si="3"/>
        <v>64115.770000000011</v>
      </c>
      <c r="G170" s="144"/>
      <c r="I170" s="162"/>
      <c r="J170" s="162"/>
      <c r="K170" s="160"/>
      <c r="L170" s="129"/>
      <c r="M170" s="129"/>
    </row>
    <row r="171" spans="1:13" ht="15.75">
      <c r="A171" s="1873"/>
      <c r="B171" s="154">
        <v>43539</v>
      </c>
      <c r="C171" s="144" t="s">
        <v>299</v>
      </c>
      <c r="D171" s="144">
        <v>2426.87</v>
      </c>
      <c r="E171" s="144"/>
      <c r="F171" s="144">
        <f t="shared" si="3"/>
        <v>66542.640000000014</v>
      </c>
      <c r="G171" s="144"/>
      <c r="I171" s="162"/>
      <c r="J171" s="162"/>
      <c r="K171" s="160"/>
      <c r="L171" s="129"/>
      <c r="M171" s="129"/>
    </row>
    <row r="172" spans="1:13" ht="15.75">
      <c r="A172" s="1873"/>
      <c r="B172" s="154">
        <v>43539</v>
      </c>
      <c r="C172" s="144" t="s">
        <v>300</v>
      </c>
      <c r="D172" s="144">
        <v>2427.71</v>
      </c>
      <c r="E172" s="144"/>
      <c r="F172" s="144">
        <f t="shared" si="3"/>
        <v>68970.35000000002</v>
      </c>
      <c r="G172" s="144"/>
      <c r="I172" s="160"/>
      <c r="J172" s="160"/>
      <c r="K172" s="160"/>
      <c r="L172" s="129"/>
      <c r="M172" s="129"/>
    </row>
    <row r="173" spans="1:13" ht="15.75">
      <c r="A173" s="1873"/>
      <c r="B173" s="154">
        <v>43567</v>
      </c>
      <c r="C173" s="144" t="s">
        <v>301</v>
      </c>
      <c r="D173" s="144">
        <v>490.6</v>
      </c>
      <c r="E173" s="144"/>
      <c r="F173" s="144">
        <f t="shared" si="3"/>
        <v>69460.950000000026</v>
      </c>
      <c r="G173" s="144"/>
      <c r="I173" s="160"/>
      <c r="J173" s="160"/>
      <c r="K173" s="160"/>
      <c r="L173" s="129"/>
      <c r="M173" s="129"/>
    </row>
    <row r="174" spans="1:13" ht="15.75">
      <c r="A174" s="1873"/>
      <c r="B174" s="154">
        <v>43570</v>
      </c>
      <c r="C174" s="144" t="s">
        <v>302</v>
      </c>
      <c r="D174" s="144">
        <v>2061.33</v>
      </c>
      <c r="E174" s="144"/>
      <c r="F174" s="144">
        <f t="shared" si="3"/>
        <v>71522.280000000028</v>
      </c>
      <c r="G174" s="144"/>
      <c r="I174" s="160"/>
      <c r="J174" s="160"/>
      <c r="K174" s="160"/>
      <c r="L174" s="129"/>
      <c r="M174" s="129"/>
    </row>
    <row r="175" spans="1:13" ht="15.75">
      <c r="A175" s="1873"/>
      <c r="B175" s="149">
        <v>43581</v>
      </c>
      <c r="C175" s="144" t="s">
        <v>303</v>
      </c>
      <c r="D175" s="144">
        <v>946.7</v>
      </c>
      <c r="E175" s="144"/>
      <c r="F175" s="144">
        <f t="shared" si="3"/>
        <v>72468.980000000025</v>
      </c>
      <c r="G175" s="144"/>
      <c r="I175" s="119"/>
      <c r="J175" s="119"/>
      <c r="K175" s="119"/>
      <c r="L175" s="129"/>
      <c r="M175" s="129"/>
    </row>
    <row r="176" spans="1:13" ht="15.75">
      <c r="A176" s="1873"/>
      <c r="B176" s="149" t="s">
        <v>170</v>
      </c>
      <c r="C176" s="144" t="s">
        <v>171</v>
      </c>
      <c r="D176" s="144"/>
      <c r="E176" s="144">
        <v>4000</v>
      </c>
      <c r="F176" s="144">
        <f t="shared" si="3"/>
        <v>68468.980000000025</v>
      </c>
      <c r="G176" s="107" t="s">
        <v>304</v>
      </c>
      <c r="I176" s="119"/>
      <c r="J176" s="119"/>
      <c r="K176" s="119"/>
      <c r="L176" s="129"/>
      <c r="M176" s="129"/>
    </row>
    <row r="177" spans="1:13" ht="15.75">
      <c r="A177" s="1873"/>
      <c r="B177" s="149">
        <v>43605</v>
      </c>
      <c r="C177" s="144" t="s">
        <v>305</v>
      </c>
      <c r="D177" s="144">
        <v>1893.19</v>
      </c>
      <c r="E177" s="144"/>
      <c r="F177" s="144">
        <f t="shared" si="3"/>
        <v>70362.170000000027</v>
      </c>
      <c r="G177" s="144"/>
      <c r="I177" s="119"/>
      <c r="J177" s="119"/>
      <c r="K177" s="119"/>
      <c r="L177" s="129"/>
      <c r="M177" s="129"/>
    </row>
    <row r="178" spans="1:13" ht="15.75">
      <c r="A178" s="1873"/>
      <c r="B178" s="149">
        <v>43615</v>
      </c>
      <c r="C178" s="144" t="s">
        <v>306</v>
      </c>
      <c r="D178" s="144">
        <v>1119.7</v>
      </c>
      <c r="E178" s="144"/>
      <c r="F178" s="144">
        <f t="shared" si="3"/>
        <v>71481.870000000024</v>
      </c>
      <c r="G178" s="144"/>
      <c r="I178" s="119"/>
      <c r="J178" s="119"/>
      <c r="K178" s="129"/>
      <c r="L178" s="129"/>
      <c r="M178" s="129"/>
    </row>
    <row r="179" spans="1:13" ht="15.75">
      <c r="A179" s="1873"/>
      <c r="B179" s="149" t="s">
        <v>307</v>
      </c>
      <c r="C179" s="144" t="s">
        <v>171</v>
      </c>
      <c r="D179" s="144"/>
      <c r="E179" s="144">
        <v>2800</v>
      </c>
      <c r="F179" s="144">
        <f t="shared" si="3"/>
        <v>68681.870000000024</v>
      </c>
      <c r="G179" s="107" t="s">
        <v>308</v>
      </c>
      <c r="I179" s="119"/>
      <c r="J179" s="119"/>
      <c r="K179" s="129"/>
      <c r="L179" s="129"/>
      <c r="M179" s="129"/>
    </row>
    <row r="180" spans="1:13" ht="15.75">
      <c r="A180" s="1873"/>
      <c r="B180" s="144" t="s">
        <v>246</v>
      </c>
      <c r="C180" s="144" t="s">
        <v>309</v>
      </c>
      <c r="D180" s="144">
        <v>1482.06</v>
      </c>
      <c r="E180" s="144"/>
      <c r="F180" s="144">
        <f t="shared" si="3"/>
        <v>70163.930000000022</v>
      </c>
      <c r="G180" s="144"/>
      <c r="I180" s="129"/>
      <c r="J180" s="129"/>
      <c r="K180" s="129"/>
      <c r="L180" s="129"/>
      <c r="M180" s="129"/>
    </row>
    <row r="181" spans="1:13" ht="15.75">
      <c r="A181" s="1873"/>
      <c r="B181" s="144" t="s">
        <v>41</v>
      </c>
      <c r="C181" s="144" t="s">
        <v>310</v>
      </c>
      <c r="D181" s="144">
        <v>1926.51</v>
      </c>
      <c r="E181" s="144"/>
      <c r="F181" s="144">
        <f t="shared" si="3"/>
        <v>72090.440000000017</v>
      </c>
      <c r="G181" s="144"/>
    </row>
    <row r="182" spans="1:13" ht="15.75">
      <c r="A182" s="1873"/>
      <c r="B182" s="144" t="s">
        <v>132</v>
      </c>
      <c r="C182" s="144" t="s">
        <v>171</v>
      </c>
      <c r="D182" s="144"/>
      <c r="E182" s="144">
        <v>2810.33</v>
      </c>
      <c r="F182" s="144">
        <f t="shared" si="3"/>
        <v>69280.110000000015</v>
      </c>
      <c r="G182" s="107" t="s">
        <v>308</v>
      </c>
    </row>
    <row r="183" spans="1:13" ht="15.75">
      <c r="A183" s="1873"/>
      <c r="B183" s="144" t="s">
        <v>311</v>
      </c>
      <c r="C183" s="144" t="s">
        <v>171</v>
      </c>
      <c r="D183" s="144"/>
      <c r="E183" s="144">
        <v>3766</v>
      </c>
      <c r="F183" s="144">
        <f t="shared" si="3"/>
        <v>65514.110000000015</v>
      </c>
      <c r="G183" s="107" t="s">
        <v>304</v>
      </c>
    </row>
    <row r="184" spans="1:13" ht="15.75">
      <c r="A184" s="1873"/>
      <c r="B184" s="144" t="s">
        <v>312</v>
      </c>
      <c r="C184" s="144" t="s">
        <v>313</v>
      </c>
      <c r="D184" s="144"/>
      <c r="E184" s="144">
        <v>824.67</v>
      </c>
      <c r="F184" s="144">
        <f t="shared" si="3"/>
        <v>64689.440000000017</v>
      </c>
      <c r="G184" s="144"/>
    </row>
    <row r="185" spans="1:13" ht="15.75">
      <c r="A185" s="1873"/>
      <c r="B185" s="144" t="s">
        <v>312</v>
      </c>
      <c r="C185" s="144" t="s">
        <v>314</v>
      </c>
      <c r="D185" s="144"/>
      <c r="E185" s="144">
        <v>1289.3699999999999</v>
      </c>
      <c r="F185" s="144">
        <f t="shared" si="3"/>
        <v>63400.070000000014</v>
      </c>
      <c r="G185" s="144"/>
    </row>
    <row r="186" spans="1:13" ht="15.75">
      <c r="A186" s="1873"/>
      <c r="B186" s="144" t="s">
        <v>312</v>
      </c>
      <c r="C186" s="144" t="s">
        <v>315</v>
      </c>
      <c r="D186" s="144"/>
      <c r="E186" s="144">
        <v>751.94</v>
      </c>
      <c r="F186" s="144">
        <f t="shared" si="3"/>
        <v>62648.130000000012</v>
      </c>
      <c r="G186" s="144"/>
    </row>
    <row r="187" spans="1:13" ht="15.75">
      <c r="A187" s="1873"/>
      <c r="B187" s="144" t="s">
        <v>312</v>
      </c>
      <c r="C187" s="144" t="s">
        <v>316</v>
      </c>
      <c r="D187" s="144"/>
      <c r="E187" s="144">
        <v>1499.58</v>
      </c>
      <c r="F187" s="144">
        <f t="shared" si="3"/>
        <v>61148.55000000001</v>
      </c>
      <c r="G187" s="144"/>
    </row>
    <row r="188" spans="1:13" ht="15.75">
      <c r="A188" s="1873"/>
      <c r="B188" s="144" t="s">
        <v>312</v>
      </c>
      <c r="C188" s="144" t="s">
        <v>317</v>
      </c>
      <c r="D188" s="144"/>
      <c r="E188" s="144">
        <v>1493.94</v>
      </c>
      <c r="F188" s="144">
        <f t="shared" si="3"/>
        <v>59654.610000000008</v>
      </c>
      <c r="G188" s="144"/>
    </row>
    <row r="189" spans="1:13" ht="15.75">
      <c r="A189" s="1873"/>
      <c r="B189" s="144" t="s">
        <v>312</v>
      </c>
      <c r="C189" s="144" t="s">
        <v>318</v>
      </c>
      <c r="D189" s="144"/>
      <c r="E189" s="144">
        <v>1204.53</v>
      </c>
      <c r="F189" s="144">
        <f t="shared" si="3"/>
        <v>58450.080000000009</v>
      </c>
      <c r="G189" s="144"/>
    </row>
    <row r="190" spans="1:13" ht="15.75">
      <c r="A190" s="1873"/>
      <c r="B190" s="144" t="s">
        <v>319</v>
      </c>
      <c r="C190" s="144" t="s">
        <v>320</v>
      </c>
      <c r="D190" s="144">
        <v>3212.15</v>
      </c>
      <c r="E190" s="144"/>
      <c r="F190" s="144">
        <f t="shared" si="3"/>
        <v>61662.23000000001</v>
      </c>
      <c r="G190" s="144"/>
    </row>
    <row r="191" spans="1:13" ht="15.75">
      <c r="A191" s="1873"/>
      <c r="B191" s="144" t="s">
        <v>321</v>
      </c>
      <c r="C191" s="144" t="s">
        <v>322</v>
      </c>
      <c r="D191" s="144">
        <v>1475.55</v>
      </c>
      <c r="E191" s="144"/>
      <c r="F191" s="144">
        <f t="shared" si="3"/>
        <v>63137.780000000013</v>
      </c>
      <c r="G191" s="144"/>
    </row>
    <row r="192" spans="1:13" ht="15.75">
      <c r="A192" s="1873"/>
      <c r="B192" s="144" t="s">
        <v>323</v>
      </c>
      <c r="C192" s="144" t="s">
        <v>324</v>
      </c>
      <c r="D192" s="144">
        <v>1253.03</v>
      </c>
      <c r="E192" s="144"/>
      <c r="F192" s="144">
        <f t="shared" si="3"/>
        <v>64390.810000000012</v>
      </c>
      <c r="G192" s="144"/>
    </row>
    <row r="193" spans="1:7" ht="15.75">
      <c r="A193" s="1873"/>
      <c r="B193" s="144" t="s">
        <v>191</v>
      </c>
      <c r="C193" s="144" t="s">
        <v>325</v>
      </c>
      <c r="D193" s="144">
        <v>269.39999999999998</v>
      </c>
      <c r="E193" s="144"/>
      <c r="F193" s="144">
        <f t="shared" si="3"/>
        <v>64660.210000000014</v>
      </c>
      <c r="G193" s="144"/>
    </row>
    <row r="194" spans="1:7" ht="15.75">
      <c r="A194" s="1873"/>
      <c r="B194" s="144" t="s">
        <v>326</v>
      </c>
      <c r="C194" s="144" t="s">
        <v>327</v>
      </c>
      <c r="D194" s="144">
        <v>1536.3</v>
      </c>
      <c r="E194" s="144"/>
      <c r="F194" s="144">
        <f t="shared" si="3"/>
        <v>66196.510000000009</v>
      </c>
      <c r="G194" s="144"/>
    </row>
    <row r="195" spans="1:7" ht="15.75">
      <c r="A195" s="1873"/>
      <c r="B195" s="144" t="s">
        <v>44</v>
      </c>
      <c r="C195" s="144" t="s">
        <v>328</v>
      </c>
      <c r="D195" s="144">
        <v>2512.8000000000002</v>
      </c>
      <c r="E195" s="144"/>
      <c r="F195" s="144">
        <f t="shared" si="3"/>
        <v>68709.310000000012</v>
      </c>
      <c r="G195" s="144"/>
    </row>
    <row r="196" spans="1:7" ht="15.75">
      <c r="A196" s="1873"/>
      <c r="B196" s="144" t="s">
        <v>329</v>
      </c>
      <c r="C196" s="144" t="s">
        <v>171</v>
      </c>
      <c r="D196" s="144"/>
      <c r="E196" s="144">
        <v>4000</v>
      </c>
      <c r="F196" s="144">
        <f t="shared" si="3"/>
        <v>64709.310000000012</v>
      </c>
      <c r="G196" s="107" t="s">
        <v>304</v>
      </c>
    </row>
    <row r="197" spans="1:7" ht="15.75">
      <c r="A197" s="1873"/>
      <c r="B197" s="144" t="s">
        <v>330</v>
      </c>
      <c r="C197" s="144" t="s">
        <v>171</v>
      </c>
      <c r="D197" s="144"/>
      <c r="E197" s="144">
        <v>2681.45</v>
      </c>
      <c r="F197" s="144">
        <f t="shared" si="3"/>
        <v>62027.860000000015</v>
      </c>
      <c r="G197" s="107" t="s">
        <v>331</v>
      </c>
    </row>
    <row r="198" spans="1:7" ht="15.75">
      <c r="A198" s="1873"/>
      <c r="B198" s="144" t="s">
        <v>332</v>
      </c>
      <c r="C198" s="144" t="s">
        <v>333</v>
      </c>
      <c r="D198" s="144">
        <v>2947.43</v>
      </c>
      <c r="E198" s="144"/>
      <c r="F198" s="144">
        <f t="shared" si="3"/>
        <v>64975.290000000015</v>
      </c>
      <c r="G198" s="144"/>
    </row>
    <row r="199" spans="1:7" ht="15.75">
      <c r="A199" s="1873"/>
      <c r="B199" s="144" t="s">
        <v>334</v>
      </c>
      <c r="C199" s="144" t="s">
        <v>171</v>
      </c>
      <c r="D199" s="144"/>
      <c r="E199" s="144">
        <v>3294.55</v>
      </c>
      <c r="F199" s="144">
        <f t="shared" si="3"/>
        <v>61680.740000000013</v>
      </c>
      <c r="G199" s="107" t="s">
        <v>308</v>
      </c>
    </row>
    <row r="200" spans="1:7" ht="15.75">
      <c r="A200" s="1873"/>
      <c r="B200" s="144" t="s">
        <v>335</v>
      </c>
      <c r="C200" s="144" t="s">
        <v>336</v>
      </c>
      <c r="D200" s="144">
        <v>2205.98</v>
      </c>
      <c r="E200" s="144"/>
      <c r="F200" s="144">
        <f t="shared" si="3"/>
        <v>63886.720000000016</v>
      </c>
      <c r="G200" s="144"/>
    </row>
    <row r="201" spans="1:7" ht="15.75">
      <c r="A201" s="1873"/>
      <c r="B201" s="144" t="s">
        <v>335</v>
      </c>
      <c r="C201" s="144" t="s">
        <v>337</v>
      </c>
      <c r="D201" s="144">
        <v>250.13</v>
      </c>
      <c r="E201" s="144"/>
      <c r="F201" s="144">
        <f t="shared" si="3"/>
        <v>64136.850000000013</v>
      </c>
      <c r="G201" s="144"/>
    </row>
    <row r="202" spans="1:7" ht="15.75">
      <c r="A202" s="1873"/>
      <c r="B202" s="144" t="s">
        <v>338</v>
      </c>
      <c r="C202" s="144" t="s">
        <v>339</v>
      </c>
      <c r="D202" s="144">
        <v>3572.03</v>
      </c>
      <c r="E202" s="144"/>
      <c r="F202" s="144">
        <f t="shared" si="3"/>
        <v>67708.880000000019</v>
      </c>
      <c r="G202" s="144"/>
    </row>
    <row r="203" spans="1:7" ht="15.75">
      <c r="A203" s="1873"/>
      <c r="B203" s="144" t="s">
        <v>340</v>
      </c>
      <c r="C203" s="144" t="s">
        <v>341</v>
      </c>
      <c r="D203" s="144">
        <v>3094.35</v>
      </c>
      <c r="E203" s="144"/>
      <c r="F203" s="144">
        <f t="shared" si="3"/>
        <v>70803.230000000025</v>
      </c>
      <c r="G203" s="144"/>
    </row>
    <row r="204" spans="1:7" ht="15.75">
      <c r="A204" s="1873"/>
      <c r="B204" s="144" t="s">
        <v>342</v>
      </c>
      <c r="C204" s="144" t="s">
        <v>171</v>
      </c>
      <c r="D204" s="144"/>
      <c r="E204" s="144">
        <v>5000</v>
      </c>
      <c r="F204" s="144">
        <f t="shared" si="3"/>
        <v>65803.230000000025</v>
      </c>
      <c r="G204" s="146" t="s">
        <v>343</v>
      </c>
    </row>
    <row r="205" spans="1:7" ht="15.75">
      <c r="A205" s="1873" t="s">
        <v>344</v>
      </c>
      <c r="B205" s="144" t="s">
        <v>175</v>
      </c>
      <c r="C205" s="144" t="s">
        <v>345</v>
      </c>
      <c r="D205" s="144">
        <v>898.72</v>
      </c>
      <c r="E205" s="144"/>
      <c r="F205" s="144">
        <f t="shared" si="3"/>
        <v>66701.950000000026</v>
      </c>
      <c r="G205" s="144" t="s">
        <v>85</v>
      </c>
    </row>
    <row r="206" spans="1:7" ht="15.75">
      <c r="A206" s="1873"/>
      <c r="B206" s="144" t="s">
        <v>346</v>
      </c>
      <c r="C206" s="144" t="s">
        <v>171</v>
      </c>
      <c r="D206" s="144"/>
      <c r="E206" s="144">
        <v>898.72</v>
      </c>
      <c r="F206" s="144">
        <f t="shared" si="3"/>
        <v>65803.230000000025</v>
      </c>
      <c r="G206" s="107" t="s">
        <v>347</v>
      </c>
    </row>
    <row r="207" spans="1:7" ht="15.75">
      <c r="A207" s="1873" t="s">
        <v>348</v>
      </c>
      <c r="B207" s="144" t="s">
        <v>185</v>
      </c>
      <c r="C207" s="144" t="s">
        <v>349</v>
      </c>
      <c r="D207" s="144">
        <v>5319.91</v>
      </c>
      <c r="E207" s="144"/>
      <c r="F207" s="144">
        <f t="shared" si="3"/>
        <v>71123.140000000029</v>
      </c>
      <c r="G207" s="107" t="s">
        <v>85</v>
      </c>
    </row>
    <row r="208" spans="1:7" ht="15.75">
      <c r="A208" s="1873"/>
      <c r="B208" s="144" t="s">
        <v>350</v>
      </c>
      <c r="C208" s="144" t="s">
        <v>351</v>
      </c>
      <c r="D208" s="144">
        <v>795.75</v>
      </c>
      <c r="E208" s="144"/>
      <c r="F208" s="144">
        <f t="shared" si="3"/>
        <v>71918.890000000029</v>
      </c>
      <c r="G208" s="144" t="s">
        <v>85</v>
      </c>
    </row>
    <row r="209" spans="1:7" ht="15.75">
      <c r="A209" s="1873"/>
      <c r="B209" s="144" t="s">
        <v>352</v>
      </c>
      <c r="C209" s="144" t="s">
        <v>353</v>
      </c>
      <c r="D209" s="144">
        <v>318.70999999999998</v>
      </c>
      <c r="E209" s="144"/>
      <c r="F209" s="144">
        <f t="shared" si="3"/>
        <v>72237.600000000035</v>
      </c>
      <c r="G209" s="144" t="s">
        <v>85</v>
      </c>
    </row>
    <row r="210" spans="1:7" ht="15.75">
      <c r="A210" s="1873"/>
      <c r="B210" s="144" t="s">
        <v>354</v>
      </c>
      <c r="C210" s="144" t="s">
        <v>355</v>
      </c>
      <c r="D210" s="144">
        <v>1316.25</v>
      </c>
      <c r="E210" s="144"/>
      <c r="F210" s="144">
        <f t="shared" si="3"/>
        <v>73553.850000000035</v>
      </c>
      <c r="G210" s="144" t="s">
        <v>85</v>
      </c>
    </row>
    <row r="211" spans="1:7" ht="15.75">
      <c r="A211" s="1873"/>
      <c r="B211" s="107" t="s">
        <v>356</v>
      </c>
      <c r="C211" s="144" t="s">
        <v>171</v>
      </c>
      <c r="D211" s="144"/>
      <c r="E211" s="144">
        <v>1435.23</v>
      </c>
      <c r="F211" s="144">
        <f t="shared" si="3"/>
        <v>72118.620000000039</v>
      </c>
      <c r="G211" s="107" t="s">
        <v>357</v>
      </c>
    </row>
    <row r="212" spans="1:7" ht="15.75">
      <c r="A212" s="1873"/>
      <c r="B212" s="144" t="s">
        <v>358</v>
      </c>
      <c r="C212" s="144" t="s">
        <v>359</v>
      </c>
      <c r="D212" s="144">
        <v>449.25</v>
      </c>
      <c r="E212" s="144"/>
      <c r="F212" s="144">
        <f t="shared" si="3"/>
        <v>72567.870000000039</v>
      </c>
      <c r="G212" s="144" t="s">
        <v>360</v>
      </c>
    </row>
    <row r="213" spans="1:7" ht="15.75">
      <c r="A213" s="1873"/>
      <c r="B213" s="144" t="s">
        <v>286</v>
      </c>
      <c r="C213" s="144" t="s">
        <v>361</v>
      </c>
      <c r="D213" s="144">
        <v>373.12</v>
      </c>
      <c r="E213" s="144"/>
      <c r="F213" s="144">
        <f t="shared" si="3"/>
        <v>72940.990000000034</v>
      </c>
      <c r="G213" s="144" t="s">
        <v>360</v>
      </c>
    </row>
    <row r="214" spans="1:7" ht="15.75">
      <c r="A214" s="1873"/>
      <c r="B214" s="107" t="s">
        <v>286</v>
      </c>
      <c r="C214" s="144" t="s">
        <v>171</v>
      </c>
      <c r="D214" s="144"/>
      <c r="E214" s="144">
        <v>449.25</v>
      </c>
      <c r="F214" s="144">
        <f t="shared" si="3"/>
        <v>72491.740000000034</v>
      </c>
      <c r="G214" s="107" t="s">
        <v>362</v>
      </c>
    </row>
    <row r="215" spans="1:7" ht="15.75">
      <c r="A215" s="1873"/>
      <c r="B215" s="107" t="s">
        <v>198</v>
      </c>
      <c r="C215" s="144" t="s">
        <v>171</v>
      </c>
      <c r="D215" s="144"/>
      <c r="E215" s="144">
        <v>1316.25</v>
      </c>
      <c r="F215" s="144">
        <f t="shared" si="3"/>
        <v>71175.490000000034</v>
      </c>
      <c r="G215" s="107" t="s">
        <v>363</v>
      </c>
    </row>
    <row r="216" spans="1:7" ht="15.75">
      <c r="A216" s="1873"/>
      <c r="B216" s="152">
        <v>43747</v>
      </c>
      <c r="C216" s="144" t="s">
        <v>171</v>
      </c>
      <c r="D216" s="144"/>
      <c r="E216" s="144">
        <v>373.12</v>
      </c>
      <c r="F216" s="144">
        <f t="shared" si="3"/>
        <v>70802.370000000039</v>
      </c>
      <c r="G216" s="163" t="s">
        <v>364</v>
      </c>
    </row>
    <row r="217" spans="1:7" ht="15.75">
      <c r="A217" s="1873"/>
      <c r="B217" s="144" t="s">
        <v>152</v>
      </c>
      <c r="C217" s="144" t="s">
        <v>365</v>
      </c>
      <c r="D217" s="144"/>
      <c r="E217" s="144">
        <v>2691.01</v>
      </c>
      <c r="F217" s="144">
        <f t="shared" si="3"/>
        <v>68111.360000000044</v>
      </c>
      <c r="G217" s="144" t="s">
        <v>92</v>
      </c>
    </row>
    <row r="218" spans="1:7" ht="15.75">
      <c r="A218" s="1870"/>
      <c r="B218" s="151" t="s">
        <v>152</v>
      </c>
      <c r="C218" s="151" t="s">
        <v>366</v>
      </c>
      <c r="D218" s="151"/>
      <c r="E218" s="151">
        <v>606.27</v>
      </c>
      <c r="F218" s="144">
        <f t="shared" ref="F218:F281" si="4">F217+D218-E218</f>
        <v>67505.09000000004</v>
      </c>
      <c r="G218" s="151" t="s">
        <v>92</v>
      </c>
    </row>
    <row r="219" spans="1:7" ht="15.75">
      <c r="A219" s="1875" t="s">
        <v>367</v>
      </c>
      <c r="B219" s="149">
        <v>43524</v>
      </c>
      <c r="C219" s="157" t="s">
        <v>368</v>
      </c>
      <c r="D219" s="157">
        <v>1653.09</v>
      </c>
      <c r="E219" s="157"/>
      <c r="F219" s="144">
        <f t="shared" si="4"/>
        <v>69158.180000000037</v>
      </c>
      <c r="G219" s="157"/>
    </row>
    <row r="220" spans="1:7" ht="15.75">
      <c r="A220" s="1876"/>
      <c r="B220" s="149">
        <v>43524</v>
      </c>
      <c r="C220" s="157" t="s">
        <v>369</v>
      </c>
      <c r="D220" s="157">
        <v>714.46</v>
      </c>
      <c r="E220" s="157"/>
      <c r="F220" s="144">
        <f t="shared" si="4"/>
        <v>69872.640000000043</v>
      </c>
      <c r="G220" s="89" t="s">
        <v>370</v>
      </c>
    </row>
    <row r="221" spans="1:7" ht="15.75">
      <c r="A221" s="1876"/>
      <c r="B221" s="149">
        <v>43515</v>
      </c>
      <c r="C221" s="157" t="s">
        <v>371</v>
      </c>
      <c r="D221" s="157">
        <v>2220.59</v>
      </c>
      <c r="E221" s="157"/>
      <c r="F221" s="144">
        <f t="shared" si="4"/>
        <v>72093.23000000004</v>
      </c>
      <c r="G221" s="157"/>
    </row>
    <row r="222" spans="1:7" ht="15.75">
      <c r="A222" s="1876"/>
      <c r="B222" s="157" t="s">
        <v>372</v>
      </c>
      <c r="C222" s="157" t="s">
        <v>373</v>
      </c>
      <c r="D222" s="157">
        <v>5520.15</v>
      </c>
      <c r="E222" s="157"/>
      <c r="F222" s="144">
        <f t="shared" si="4"/>
        <v>77613.380000000034</v>
      </c>
      <c r="G222" s="157"/>
    </row>
    <row r="223" spans="1:7" ht="15.75">
      <c r="A223" s="1876"/>
      <c r="B223" s="157" t="s">
        <v>374</v>
      </c>
      <c r="C223" s="157" t="s">
        <v>375</v>
      </c>
      <c r="D223" s="157">
        <v>7885.93</v>
      </c>
      <c r="E223" s="157"/>
      <c r="F223" s="144">
        <f t="shared" si="4"/>
        <v>85499.310000000027</v>
      </c>
      <c r="G223" s="89" t="s">
        <v>376</v>
      </c>
    </row>
    <row r="224" spans="1:7" ht="15.75">
      <c r="A224" s="1876"/>
      <c r="B224" s="157" t="s">
        <v>374</v>
      </c>
      <c r="C224" s="157" t="s">
        <v>377</v>
      </c>
      <c r="D224" s="157"/>
      <c r="E224" s="157">
        <v>7885.93</v>
      </c>
      <c r="F224" s="144">
        <f t="shared" si="4"/>
        <v>77613.380000000034</v>
      </c>
      <c r="G224" s="157"/>
    </row>
    <row r="225" spans="1:7" ht="15.75">
      <c r="A225" s="1876"/>
      <c r="B225" s="157" t="s">
        <v>378</v>
      </c>
      <c r="C225" s="157" t="s">
        <v>379</v>
      </c>
      <c r="D225" s="157">
        <v>1116.92</v>
      </c>
      <c r="E225" s="157"/>
      <c r="F225" s="144">
        <f t="shared" si="4"/>
        <v>78730.300000000032</v>
      </c>
      <c r="G225" s="157"/>
    </row>
    <row r="226" spans="1:7" ht="15.75">
      <c r="A226" s="1876"/>
      <c r="B226" s="157" t="s">
        <v>378</v>
      </c>
      <c r="C226" s="157" t="s">
        <v>380</v>
      </c>
      <c r="D226" s="157">
        <v>2718.52</v>
      </c>
      <c r="E226" s="157"/>
      <c r="F226" s="144">
        <f t="shared" si="4"/>
        <v>81448.820000000036</v>
      </c>
      <c r="G226" s="157"/>
    </row>
    <row r="227" spans="1:7" ht="15.75">
      <c r="A227" s="1876"/>
      <c r="B227" s="157" t="s">
        <v>381</v>
      </c>
      <c r="C227" s="157" t="s">
        <v>382</v>
      </c>
      <c r="D227" s="157">
        <v>0.02</v>
      </c>
      <c r="E227" s="157"/>
      <c r="F227" s="144">
        <f t="shared" si="4"/>
        <v>81448.84000000004</v>
      </c>
      <c r="G227" s="157" t="s">
        <v>383</v>
      </c>
    </row>
    <row r="228" spans="1:7" ht="15.75">
      <c r="A228" s="1876"/>
      <c r="B228" s="157" t="s">
        <v>260</v>
      </c>
      <c r="C228" s="89" t="s">
        <v>53</v>
      </c>
      <c r="D228" s="157"/>
      <c r="E228" s="157">
        <v>3000</v>
      </c>
      <c r="F228" s="144">
        <f t="shared" si="4"/>
        <v>78448.84000000004</v>
      </c>
      <c r="G228" s="89" t="s">
        <v>384</v>
      </c>
    </row>
    <row r="229" spans="1:7" ht="15.75">
      <c r="A229" s="1876"/>
      <c r="B229" s="157" t="s">
        <v>175</v>
      </c>
      <c r="C229" s="157" t="s">
        <v>385</v>
      </c>
      <c r="D229" s="157">
        <v>346.5</v>
      </c>
      <c r="E229" s="157"/>
      <c r="F229" s="144">
        <f t="shared" si="4"/>
        <v>78795.34000000004</v>
      </c>
      <c r="G229" s="89" t="s">
        <v>386</v>
      </c>
    </row>
    <row r="230" spans="1:7" ht="15.75">
      <c r="A230" s="1876"/>
      <c r="B230" s="157" t="s">
        <v>387</v>
      </c>
      <c r="C230" s="157" t="s">
        <v>388</v>
      </c>
      <c r="D230" s="157"/>
      <c r="E230" s="157">
        <v>4379.9799999999996</v>
      </c>
      <c r="F230" s="144">
        <f t="shared" si="4"/>
        <v>74415.360000000044</v>
      </c>
      <c r="G230" s="89" t="s">
        <v>389</v>
      </c>
    </row>
    <row r="231" spans="1:7" ht="15.75">
      <c r="A231" s="1876"/>
      <c r="B231" s="157" t="s">
        <v>387</v>
      </c>
      <c r="C231" s="157" t="s">
        <v>390</v>
      </c>
      <c r="D231" s="157"/>
      <c r="E231" s="157">
        <v>96.39</v>
      </c>
      <c r="F231" s="144">
        <f t="shared" si="4"/>
        <v>74318.970000000045</v>
      </c>
      <c r="G231" s="157"/>
    </row>
    <row r="232" spans="1:7" ht="15.75">
      <c r="A232" s="1876"/>
      <c r="B232" s="157" t="s">
        <v>387</v>
      </c>
      <c r="C232" s="157" t="s">
        <v>391</v>
      </c>
      <c r="D232" s="157"/>
      <c r="E232" s="157">
        <v>45.54</v>
      </c>
      <c r="F232" s="144">
        <f t="shared" si="4"/>
        <v>74273.430000000051</v>
      </c>
      <c r="G232" s="157"/>
    </row>
    <row r="233" spans="1:7" ht="15.75">
      <c r="A233" s="1876"/>
      <c r="B233" s="157" t="s">
        <v>387</v>
      </c>
      <c r="C233" s="157" t="s">
        <v>392</v>
      </c>
      <c r="D233" s="157"/>
      <c r="E233" s="157">
        <v>86.45</v>
      </c>
      <c r="F233" s="144">
        <f t="shared" si="4"/>
        <v>74186.980000000054</v>
      </c>
      <c r="G233" s="157"/>
    </row>
    <row r="234" spans="1:7" ht="15.75">
      <c r="A234" s="1876"/>
      <c r="B234" s="157" t="s">
        <v>228</v>
      </c>
      <c r="C234" s="157" t="s">
        <v>393</v>
      </c>
      <c r="D234" s="157">
        <v>1024.5</v>
      </c>
      <c r="E234" s="157"/>
      <c r="F234" s="144">
        <f t="shared" si="4"/>
        <v>75211.480000000054</v>
      </c>
      <c r="G234" s="89" t="s">
        <v>394</v>
      </c>
    </row>
    <row r="235" spans="1:7" ht="15.75">
      <c r="A235" s="1876"/>
      <c r="B235" s="157" t="s">
        <v>395</v>
      </c>
      <c r="C235" s="157" t="s">
        <v>396</v>
      </c>
      <c r="D235" s="157">
        <v>353.6</v>
      </c>
      <c r="E235" s="157"/>
      <c r="F235" s="144">
        <f t="shared" si="4"/>
        <v>75565.08000000006</v>
      </c>
      <c r="G235" s="89" t="s">
        <v>394</v>
      </c>
    </row>
    <row r="236" spans="1:7" ht="15.75">
      <c r="A236" s="1876"/>
      <c r="B236" s="157" t="s">
        <v>397</v>
      </c>
      <c r="C236" s="89" t="s">
        <v>53</v>
      </c>
      <c r="D236" s="157"/>
      <c r="E236" s="157">
        <v>4000</v>
      </c>
      <c r="F236" s="144">
        <f t="shared" si="4"/>
        <v>71565.08000000006</v>
      </c>
      <c r="G236" s="89" t="s">
        <v>398</v>
      </c>
    </row>
    <row r="237" spans="1:7" ht="15.75">
      <c r="A237" s="1876"/>
      <c r="B237" s="157" t="s">
        <v>205</v>
      </c>
      <c r="C237" s="157" t="s">
        <v>399</v>
      </c>
      <c r="D237" s="157">
        <v>971.94</v>
      </c>
      <c r="E237" s="157"/>
      <c r="F237" s="144">
        <f t="shared" si="4"/>
        <v>72537.020000000062</v>
      </c>
      <c r="G237" s="89" t="s">
        <v>400</v>
      </c>
    </row>
    <row r="238" spans="1:7" ht="15.75">
      <c r="A238" s="1876"/>
      <c r="B238" s="157" t="s">
        <v>205</v>
      </c>
      <c r="C238" s="157" t="s">
        <v>401</v>
      </c>
      <c r="D238" s="157">
        <v>74.25</v>
      </c>
      <c r="E238" s="157"/>
      <c r="F238" s="144">
        <f t="shared" si="4"/>
        <v>72611.270000000062</v>
      </c>
      <c r="G238" s="89" t="s">
        <v>400</v>
      </c>
    </row>
    <row r="239" spans="1:7" ht="15.75">
      <c r="A239" s="1877"/>
      <c r="B239" s="157" t="s">
        <v>52</v>
      </c>
      <c r="C239" s="89" t="s">
        <v>53</v>
      </c>
      <c r="D239" s="157"/>
      <c r="E239" s="157">
        <v>2000</v>
      </c>
      <c r="F239" s="144">
        <f t="shared" si="4"/>
        <v>70611.270000000062</v>
      </c>
      <c r="G239" s="89"/>
    </row>
    <row r="240" spans="1:7" ht="15.75">
      <c r="A240" s="1874" t="s">
        <v>402</v>
      </c>
      <c r="B240" s="145">
        <v>43570</v>
      </c>
      <c r="C240" s="146" t="s">
        <v>403</v>
      </c>
      <c r="D240" s="157">
        <v>3538.6</v>
      </c>
      <c r="E240" s="157"/>
      <c r="F240" s="144">
        <f t="shared" si="4"/>
        <v>74149.870000000068</v>
      </c>
      <c r="G240" s="146"/>
    </row>
    <row r="241" spans="1:7" ht="15.75">
      <c r="A241" s="1874"/>
      <c r="B241" s="145">
        <v>43591</v>
      </c>
      <c r="C241" s="146" t="s">
        <v>404</v>
      </c>
      <c r="D241" s="157">
        <v>761.78</v>
      </c>
      <c r="E241" s="157"/>
      <c r="F241" s="144">
        <f t="shared" si="4"/>
        <v>74911.650000000067</v>
      </c>
      <c r="G241" s="146"/>
    </row>
    <row r="242" spans="1:7" ht="15.75">
      <c r="A242" s="1874"/>
      <c r="B242" s="146" t="s">
        <v>405</v>
      </c>
      <c r="C242" s="89" t="s">
        <v>53</v>
      </c>
      <c r="D242" s="157"/>
      <c r="E242" s="146">
        <v>3538.6</v>
      </c>
      <c r="F242" s="144">
        <f t="shared" si="4"/>
        <v>71373.050000000061</v>
      </c>
      <c r="G242" s="120" t="s">
        <v>406</v>
      </c>
    </row>
    <row r="243" spans="1:7" ht="15.75">
      <c r="A243" s="1874"/>
      <c r="B243" s="146" t="s">
        <v>193</v>
      </c>
      <c r="C243" s="146" t="s">
        <v>407</v>
      </c>
      <c r="D243" s="157"/>
      <c r="E243" s="157">
        <v>386.23</v>
      </c>
      <c r="F243" s="144">
        <f t="shared" si="4"/>
        <v>70986.820000000065</v>
      </c>
      <c r="G243" s="120" t="s">
        <v>408</v>
      </c>
    </row>
    <row r="244" spans="1:7" ht="15.75">
      <c r="A244" s="1874"/>
      <c r="B244" s="146" t="s">
        <v>193</v>
      </c>
      <c r="C244" s="146" t="s">
        <v>409</v>
      </c>
      <c r="D244" s="157"/>
      <c r="E244" s="157">
        <v>1448.22</v>
      </c>
      <c r="F244" s="144">
        <f t="shared" si="4"/>
        <v>69538.600000000064</v>
      </c>
      <c r="G244" s="120" t="s">
        <v>408</v>
      </c>
    </row>
    <row r="245" spans="1:7" ht="15.75">
      <c r="A245" s="1874"/>
      <c r="B245" s="146" t="s">
        <v>410</v>
      </c>
      <c r="C245" s="146" t="s">
        <v>411</v>
      </c>
      <c r="D245" s="157">
        <v>2674.58</v>
      </c>
      <c r="E245" s="157"/>
      <c r="F245" s="144">
        <f t="shared" si="4"/>
        <v>72213.180000000066</v>
      </c>
      <c r="G245" s="146" t="s">
        <v>412</v>
      </c>
    </row>
    <row r="246" spans="1:7" ht="15.75">
      <c r="A246" s="1874"/>
      <c r="B246" s="146" t="s">
        <v>413</v>
      </c>
      <c r="C246" s="89" t="s">
        <v>53</v>
      </c>
      <c r="D246" s="157"/>
      <c r="E246" s="146">
        <v>1601.91</v>
      </c>
      <c r="F246" s="144">
        <f t="shared" si="4"/>
        <v>70611.270000000062</v>
      </c>
      <c r="G246" s="120" t="s">
        <v>414</v>
      </c>
    </row>
    <row r="247" spans="1:7" ht="15.75">
      <c r="A247" s="1874" t="s">
        <v>415</v>
      </c>
      <c r="B247" s="145">
        <v>43545</v>
      </c>
      <c r="C247" s="146" t="s">
        <v>416</v>
      </c>
      <c r="D247" s="146">
        <v>4672.18</v>
      </c>
      <c r="E247" s="157"/>
      <c r="F247" s="144">
        <f t="shared" si="4"/>
        <v>75283.45000000007</v>
      </c>
      <c r="G247" s="157"/>
    </row>
    <row r="248" spans="1:7" ht="15.75">
      <c r="A248" s="1874"/>
      <c r="B248" s="157" t="s">
        <v>417</v>
      </c>
      <c r="C248" s="89" t="s">
        <v>53</v>
      </c>
      <c r="D248" s="157"/>
      <c r="E248" s="157">
        <v>2000</v>
      </c>
      <c r="F248" s="144">
        <f t="shared" si="4"/>
        <v>73283.45000000007</v>
      </c>
      <c r="G248" s="117" t="s">
        <v>384</v>
      </c>
    </row>
    <row r="249" spans="1:7" ht="15.75">
      <c r="A249" s="1874"/>
      <c r="B249" s="157" t="s">
        <v>418</v>
      </c>
      <c r="C249" s="89" t="s">
        <v>53</v>
      </c>
      <c r="D249" s="157"/>
      <c r="E249" s="157">
        <v>2548.2800000000002</v>
      </c>
      <c r="F249" s="144">
        <f t="shared" si="4"/>
        <v>70735.170000000071</v>
      </c>
      <c r="G249" s="117" t="s">
        <v>384</v>
      </c>
    </row>
    <row r="250" spans="1:7" ht="15.75">
      <c r="A250" s="1874"/>
      <c r="B250" s="146" t="s">
        <v>419</v>
      </c>
      <c r="C250" s="120" t="s">
        <v>420</v>
      </c>
      <c r="D250" s="146">
        <v>-123.9</v>
      </c>
      <c r="E250" s="157"/>
      <c r="F250" s="144">
        <f t="shared" si="4"/>
        <v>70611.270000000077</v>
      </c>
      <c r="G250" s="157" t="s">
        <v>421</v>
      </c>
    </row>
    <row r="251" spans="1:7" ht="15.75">
      <c r="A251" s="1874"/>
      <c r="B251" s="146" t="s">
        <v>350</v>
      </c>
      <c r="C251" s="146" t="s">
        <v>422</v>
      </c>
      <c r="D251" s="146">
        <v>1004.16</v>
      </c>
      <c r="E251" s="157"/>
      <c r="F251" s="144">
        <f t="shared" si="4"/>
        <v>71615.43000000008</v>
      </c>
      <c r="G251" s="89" t="s">
        <v>394</v>
      </c>
    </row>
    <row r="252" spans="1:7" ht="15.75">
      <c r="A252" s="1874"/>
      <c r="B252" s="157" t="s">
        <v>423</v>
      </c>
      <c r="C252" s="89" t="s">
        <v>53</v>
      </c>
      <c r="D252" s="157"/>
      <c r="E252" s="157">
        <v>1004.16</v>
      </c>
      <c r="F252" s="144">
        <f t="shared" si="4"/>
        <v>70611.270000000077</v>
      </c>
      <c r="G252" s="117" t="s">
        <v>384</v>
      </c>
    </row>
    <row r="253" spans="1:7" ht="15.75">
      <c r="A253" s="1875" t="s">
        <v>424</v>
      </c>
      <c r="B253" s="157" t="s">
        <v>425</v>
      </c>
      <c r="C253" s="157" t="s">
        <v>426</v>
      </c>
      <c r="D253" s="157">
        <v>6358.03</v>
      </c>
      <c r="E253" s="157"/>
      <c r="F253" s="144">
        <f t="shared" si="4"/>
        <v>76969.300000000076</v>
      </c>
      <c r="G253" s="89" t="s">
        <v>427</v>
      </c>
    </row>
    <row r="254" spans="1:7" ht="15.75">
      <c r="A254" s="1876"/>
      <c r="B254" s="157" t="s">
        <v>425</v>
      </c>
      <c r="C254" s="157" t="s">
        <v>428</v>
      </c>
      <c r="D254" s="157">
        <v>25.96</v>
      </c>
      <c r="E254" s="157"/>
      <c r="F254" s="144">
        <f t="shared" si="4"/>
        <v>76995.260000000082</v>
      </c>
      <c r="G254" s="89" t="s">
        <v>429</v>
      </c>
    </row>
    <row r="255" spans="1:7" ht="12.95" customHeight="1">
      <c r="A255" s="1876"/>
      <c r="B255" s="157" t="s">
        <v>430</v>
      </c>
      <c r="C255" s="89" t="s">
        <v>53</v>
      </c>
      <c r="D255" s="157"/>
      <c r="E255" s="157">
        <v>6358.03</v>
      </c>
      <c r="F255" s="144">
        <f t="shared" si="4"/>
        <v>70637.230000000083</v>
      </c>
      <c r="G255" s="89" t="s">
        <v>429</v>
      </c>
    </row>
    <row r="256" spans="1:7" ht="15.75">
      <c r="A256" s="1876"/>
      <c r="B256" s="157" t="s">
        <v>430</v>
      </c>
      <c r="C256" s="89" t="s">
        <v>53</v>
      </c>
      <c r="D256" s="157"/>
      <c r="E256" s="157">
        <v>25.96</v>
      </c>
      <c r="F256" s="144">
        <f t="shared" si="4"/>
        <v>70611.270000000077</v>
      </c>
      <c r="G256" s="89" t="s">
        <v>429</v>
      </c>
    </row>
    <row r="257" spans="1:7" ht="15.75">
      <c r="A257" s="1876"/>
      <c r="B257" s="157" t="s">
        <v>431</v>
      </c>
      <c r="C257" s="157" t="s">
        <v>432</v>
      </c>
      <c r="D257" s="157">
        <v>118.56</v>
      </c>
      <c r="E257" s="157"/>
      <c r="F257" s="144">
        <f t="shared" si="4"/>
        <v>70729.830000000075</v>
      </c>
      <c r="G257" s="89" t="s">
        <v>433</v>
      </c>
    </row>
    <row r="258" spans="1:7" ht="15.75">
      <c r="A258" s="1876"/>
      <c r="B258" s="157" t="s">
        <v>434</v>
      </c>
      <c r="C258" s="89" t="s">
        <v>53</v>
      </c>
      <c r="D258" s="157"/>
      <c r="E258" s="157">
        <v>118.56</v>
      </c>
      <c r="F258" s="144">
        <f t="shared" si="4"/>
        <v>70611.270000000077</v>
      </c>
      <c r="G258" s="89" t="s">
        <v>429</v>
      </c>
    </row>
    <row r="259" spans="1:7" ht="15.75">
      <c r="A259" s="1876"/>
      <c r="B259" s="157" t="s">
        <v>326</v>
      </c>
      <c r="C259" s="157" t="s">
        <v>435</v>
      </c>
      <c r="D259" s="157">
        <v>99.84</v>
      </c>
      <c r="E259" s="157"/>
      <c r="F259" s="144">
        <f t="shared" si="4"/>
        <v>70711.110000000073</v>
      </c>
      <c r="G259" s="89" t="s">
        <v>433</v>
      </c>
    </row>
    <row r="260" spans="1:7" ht="15.75">
      <c r="A260" s="1876"/>
      <c r="B260" s="157" t="s">
        <v>326</v>
      </c>
      <c r="C260" s="157" t="s">
        <v>436</v>
      </c>
      <c r="D260" s="157">
        <v>297.60000000000002</v>
      </c>
      <c r="E260" s="157"/>
      <c r="F260" s="144">
        <f t="shared" si="4"/>
        <v>71008.710000000079</v>
      </c>
      <c r="G260" s="89" t="s">
        <v>433</v>
      </c>
    </row>
    <row r="261" spans="1:7" ht="15.75">
      <c r="A261" s="1876"/>
      <c r="B261" s="157" t="s">
        <v>437</v>
      </c>
      <c r="C261" s="89" t="s">
        <v>53</v>
      </c>
      <c r="D261" s="157"/>
      <c r="E261" s="157">
        <v>99.84</v>
      </c>
      <c r="F261" s="144">
        <f t="shared" si="4"/>
        <v>70908.870000000083</v>
      </c>
      <c r="G261" s="89" t="s">
        <v>429</v>
      </c>
    </row>
    <row r="262" spans="1:7" ht="15.75">
      <c r="A262" s="1876"/>
      <c r="B262" s="157" t="s">
        <v>437</v>
      </c>
      <c r="C262" s="89" t="s">
        <v>53</v>
      </c>
      <c r="D262" s="157"/>
      <c r="E262" s="157">
        <v>297.60000000000002</v>
      </c>
      <c r="F262" s="144">
        <f t="shared" si="4"/>
        <v>70611.270000000077</v>
      </c>
      <c r="G262" s="89" t="s">
        <v>429</v>
      </c>
    </row>
    <row r="263" spans="1:7" ht="15.75">
      <c r="A263" s="1876"/>
      <c r="B263" s="157" t="s">
        <v>438</v>
      </c>
      <c r="C263" s="157" t="s">
        <v>439</v>
      </c>
      <c r="D263" s="157">
        <v>495.04</v>
      </c>
      <c r="E263" s="157"/>
      <c r="F263" s="144">
        <f t="shared" si="4"/>
        <v>71106.31000000007</v>
      </c>
      <c r="G263" s="89" t="s">
        <v>433</v>
      </c>
    </row>
    <row r="264" spans="1:7" ht="15.75">
      <c r="A264" s="1876"/>
      <c r="B264" s="157" t="s">
        <v>440</v>
      </c>
      <c r="C264" s="89" t="s">
        <v>53</v>
      </c>
      <c r="D264" s="157"/>
      <c r="E264" s="157">
        <v>495.04</v>
      </c>
      <c r="F264" s="144">
        <f t="shared" si="4"/>
        <v>70611.270000000077</v>
      </c>
      <c r="G264" s="89" t="s">
        <v>429</v>
      </c>
    </row>
    <row r="265" spans="1:7" ht="15.75">
      <c r="A265" s="1876"/>
      <c r="B265" s="157" t="s">
        <v>227</v>
      </c>
      <c r="C265" s="157" t="s">
        <v>441</v>
      </c>
      <c r="D265" s="157">
        <v>958.32</v>
      </c>
      <c r="E265" s="157"/>
      <c r="F265" s="144">
        <f t="shared" si="4"/>
        <v>71569.590000000084</v>
      </c>
      <c r="G265" s="89" t="s">
        <v>433</v>
      </c>
    </row>
    <row r="266" spans="1:7" ht="15" customHeight="1">
      <c r="A266" s="1876"/>
      <c r="B266" s="157" t="s">
        <v>442</v>
      </c>
      <c r="C266" s="89" t="s">
        <v>53</v>
      </c>
      <c r="D266" s="157"/>
      <c r="E266" s="157">
        <v>958.32</v>
      </c>
      <c r="F266" s="144">
        <f t="shared" si="4"/>
        <v>70611.270000000077</v>
      </c>
      <c r="G266" s="89" t="s">
        <v>429</v>
      </c>
    </row>
    <row r="267" spans="1:7" ht="15.75">
      <c r="A267" s="1876"/>
      <c r="B267" s="157" t="s">
        <v>329</v>
      </c>
      <c r="C267" s="157" t="s">
        <v>443</v>
      </c>
      <c r="D267" s="157">
        <v>397.28</v>
      </c>
      <c r="E267" s="157"/>
      <c r="F267" s="144">
        <f t="shared" si="4"/>
        <v>71008.550000000076</v>
      </c>
      <c r="G267" s="89" t="s">
        <v>433</v>
      </c>
    </row>
    <row r="268" spans="1:7" ht="15.75">
      <c r="A268" s="1876"/>
      <c r="B268" s="157" t="s">
        <v>444</v>
      </c>
      <c r="C268" s="157" t="s">
        <v>445</v>
      </c>
      <c r="D268" s="157">
        <v>1104.96</v>
      </c>
      <c r="E268" s="157"/>
      <c r="F268" s="144">
        <f t="shared" si="4"/>
        <v>72113.510000000082</v>
      </c>
      <c r="G268" s="89" t="s">
        <v>433</v>
      </c>
    </row>
    <row r="269" spans="1:7" ht="15.75">
      <c r="A269" s="1876"/>
      <c r="B269" s="157" t="s">
        <v>255</v>
      </c>
      <c r="C269" s="157" t="s">
        <v>446</v>
      </c>
      <c r="D269" s="157">
        <v>372.67</v>
      </c>
      <c r="E269" s="157"/>
      <c r="F269" s="144">
        <f t="shared" si="4"/>
        <v>72486.18000000008</v>
      </c>
      <c r="G269" s="89" t="s">
        <v>433</v>
      </c>
    </row>
    <row r="270" spans="1:7" ht="15.75">
      <c r="A270" s="1876"/>
      <c r="B270" s="157" t="s">
        <v>447</v>
      </c>
      <c r="C270" s="157" t="s">
        <v>448</v>
      </c>
      <c r="D270" s="157"/>
      <c r="E270" s="157">
        <v>4283.0200000000004</v>
      </c>
      <c r="F270" s="144">
        <f t="shared" si="4"/>
        <v>68203.160000000076</v>
      </c>
      <c r="G270" s="89" t="s">
        <v>389</v>
      </c>
    </row>
    <row r="271" spans="1:7" ht="15.75">
      <c r="A271" s="1876"/>
      <c r="B271" s="157" t="s">
        <v>449</v>
      </c>
      <c r="C271" s="157" t="s">
        <v>450</v>
      </c>
      <c r="D271" s="157"/>
      <c r="E271" s="157">
        <v>450.92</v>
      </c>
      <c r="F271" s="144">
        <f t="shared" si="4"/>
        <v>67752.240000000078</v>
      </c>
      <c r="G271" s="89" t="s">
        <v>389</v>
      </c>
    </row>
    <row r="272" spans="1:7" ht="15.75">
      <c r="A272" s="1877"/>
      <c r="B272" s="157" t="s">
        <v>451</v>
      </c>
      <c r="C272" s="89" t="s">
        <v>452</v>
      </c>
      <c r="D272" s="157"/>
      <c r="E272" s="157">
        <v>2859.03</v>
      </c>
      <c r="F272" s="144">
        <f t="shared" si="4"/>
        <v>64893.210000000079</v>
      </c>
      <c r="G272" s="89" t="s">
        <v>452</v>
      </c>
    </row>
    <row r="273" spans="1:7" ht="15.75">
      <c r="A273" s="1879" t="s">
        <v>453</v>
      </c>
      <c r="B273" s="157" t="s">
        <v>81</v>
      </c>
      <c r="C273" s="157" t="s">
        <v>454</v>
      </c>
      <c r="D273" s="157">
        <v>788.63</v>
      </c>
      <c r="E273" s="157"/>
      <c r="F273" s="144">
        <f t="shared" si="4"/>
        <v>65681.840000000084</v>
      </c>
      <c r="G273" s="89" t="s">
        <v>394</v>
      </c>
    </row>
    <row r="274" spans="1:7" ht="15.75">
      <c r="A274" s="1874"/>
      <c r="B274" s="157" t="s">
        <v>455</v>
      </c>
      <c r="C274" s="157" t="s">
        <v>456</v>
      </c>
      <c r="D274" s="157">
        <v>313.13</v>
      </c>
      <c r="E274" s="157"/>
      <c r="F274" s="144">
        <f t="shared" si="4"/>
        <v>65994.970000000088</v>
      </c>
      <c r="G274" s="89" t="s">
        <v>394</v>
      </c>
    </row>
    <row r="275" spans="1:7" ht="15.75">
      <c r="A275" s="1874"/>
      <c r="B275" s="157" t="s">
        <v>457</v>
      </c>
      <c r="C275" s="89" t="s">
        <v>53</v>
      </c>
      <c r="D275" s="157"/>
      <c r="E275" s="157">
        <v>1101.76</v>
      </c>
      <c r="F275" s="144">
        <f t="shared" si="4"/>
        <v>64893.210000000086</v>
      </c>
      <c r="G275" s="89" t="s">
        <v>458</v>
      </c>
    </row>
    <row r="276" spans="1:7" ht="15.75">
      <c r="A276" s="1879" t="s">
        <v>459</v>
      </c>
      <c r="B276" s="157" t="s">
        <v>311</v>
      </c>
      <c r="C276" s="157" t="s">
        <v>460</v>
      </c>
      <c r="D276" s="157">
        <v>5483.85</v>
      </c>
      <c r="E276" s="157"/>
      <c r="F276" s="144">
        <f t="shared" si="4"/>
        <v>70377.060000000085</v>
      </c>
      <c r="G276" s="157" t="s">
        <v>461</v>
      </c>
    </row>
    <row r="277" spans="1:7" ht="15.75">
      <c r="A277" s="1874"/>
      <c r="B277" s="157" t="s">
        <v>225</v>
      </c>
      <c r="C277" s="157" t="s">
        <v>462</v>
      </c>
      <c r="D277" s="157">
        <v>10026.530000000001</v>
      </c>
      <c r="E277" s="157"/>
      <c r="F277" s="144">
        <f t="shared" si="4"/>
        <v>80403.590000000084</v>
      </c>
      <c r="G277" s="157" t="s">
        <v>463</v>
      </c>
    </row>
    <row r="278" spans="1:7" ht="15.75">
      <c r="A278" s="1874"/>
      <c r="B278" s="157" t="s">
        <v>332</v>
      </c>
      <c r="C278" s="157" t="s">
        <v>464</v>
      </c>
      <c r="D278" s="157">
        <v>4110.5</v>
      </c>
      <c r="E278" s="157"/>
      <c r="F278" s="144">
        <f t="shared" si="4"/>
        <v>84514.090000000084</v>
      </c>
      <c r="G278" s="157" t="s">
        <v>465</v>
      </c>
    </row>
    <row r="279" spans="1:7" ht="15.75">
      <c r="A279" s="1874"/>
      <c r="B279" s="157" t="s">
        <v>150</v>
      </c>
      <c r="C279" s="89" t="s">
        <v>466</v>
      </c>
      <c r="D279" s="157">
        <v>1064.25</v>
      </c>
      <c r="E279" s="157"/>
      <c r="F279" s="144">
        <f t="shared" si="4"/>
        <v>85578.340000000084</v>
      </c>
      <c r="G279" s="157" t="s">
        <v>467</v>
      </c>
    </row>
    <row r="280" spans="1:7" ht="15.75">
      <c r="A280" s="1874"/>
      <c r="B280" s="157" t="s">
        <v>150</v>
      </c>
      <c r="C280" s="157" t="s">
        <v>468</v>
      </c>
      <c r="D280" s="157">
        <v>960</v>
      </c>
      <c r="E280" s="157"/>
      <c r="F280" s="144">
        <f t="shared" si="4"/>
        <v>86538.340000000084</v>
      </c>
      <c r="G280" s="89" t="s">
        <v>469</v>
      </c>
    </row>
    <row r="281" spans="1:7" ht="15.75">
      <c r="A281" s="1874"/>
      <c r="B281" s="157" t="s">
        <v>150</v>
      </c>
      <c r="C281" s="157" t="s">
        <v>470</v>
      </c>
      <c r="D281" s="157">
        <v>825.48</v>
      </c>
      <c r="E281" s="157"/>
      <c r="F281" s="144">
        <f t="shared" si="4"/>
        <v>87363.82000000008</v>
      </c>
      <c r="G281" s="89" t="s">
        <v>469</v>
      </c>
    </row>
    <row r="282" spans="1:7" ht="15.75">
      <c r="A282" s="1874"/>
      <c r="B282" s="157" t="s">
        <v>231</v>
      </c>
      <c r="C282" s="89" t="s">
        <v>53</v>
      </c>
      <c r="D282" s="157"/>
      <c r="E282" s="157">
        <v>5000</v>
      </c>
      <c r="F282" s="144">
        <f t="shared" ref="F282:F311" si="5">F281+D282-E282</f>
        <v>82363.82000000008</v>
      </c>
      <c r="G282" s="89" t="s">
        <v>458</v>
      </c>
    </row>
    <row r="283" spans="1:7" ht="15.75">
      <c r="A283" s="1879" t="s">
        <v>471</v>
      </c>
      <c r="B283" s="157" t="s">
        <v>307</v>
      </c>
      <c r="C283" s="157" t="s">
        <v>472</v>
      </c>
      <c r="D283" s="157">
        <v>17949.91</v>
      </c>
      <c r="E283" s="157"/>
      <c r="F283" s="144">
        <f t="shared" si="5"/>
        <v>100313.73000000008</v>
      </c>
      <c r="G283" s="89" t="s">
        <v>386</v>
      </c>
    </row>
    <row r="284" spans="1:7" ht="15.75">
      <c r="A284" s="1874"/>
      <c r="B284" s="157" t="s">
        <v>132</v>
      </c>
      <c r="C284" s="157" t="s">
        <v>473</v>
      </c>
      <c r="D284" s="157"/>
      <c r="E284" s="157">
        <v>13.5</v>
      </c>
      <c r="F284" s="144">
        <f t="shared" si="5"/>
        <v>100300.23000000008</v>
      </c>
      <c r="G284" s="89" t="s">
        <v>474</v>
      </c>
    </row>
    <row r="285" spans="1:7" ht="15.75">
      <c r="A285" s="1874"/>
      <c r="B285" s="157" t="s">
        <v>475</v>
      </c>
      <c r="C285" s="157" t="s">
        <v>476</v>
      </c>
      <c r="D285" s="157">
        <v>2745.92</v>
      </c>
      <c r="E285" s="157"/>
      <c r="F285" s="144">
        <f t="shared" si="5"/>
        <v>103046.15000000008</v>
      </c>
      <c r="G285" s="89" t="s">
        <v>477</v>
      </c>
    </row>
    <row r="286" spans="1:7" ht="15.75">
      <c r="A286" s="1874"/>
      <c r="B286" s="157" t="s">
        <v>478</v>
      </c>
      <c r="C286" s="157" t="s">
        <v>479</v>
      </c>
      <c r="D286" s="157">
        <v>1288.33</v>
      </c>
      <c r="E286" s="157"/>
      <c r="F286" s="144">
        <f t="shared" si="5"/>
        <v>104334.48000000008</v>
      </c>
      <c r="G286" s="157" t="s">
        <v>480</v>
      </c>
    </row>
    <row r="287" spans="1:7" ht="15.75">
      <c r="A287" s="1874"/>
      <c r="B287" s="157" t="s">
        <v>191</v>
      </c>
      <c r="C287" s="157" t="s">
        <v>481</v>
      </c>
      <c r="D287" s="157">
        <v>2.69</v>
      </c>
      <c r="E287" s="157"/>
      <c r="F287" s="144">
        <f t="shared" si="5"/>
        <v>104337.17000000009</v>
      </c>
      <c r="G287" s="157" t="s">
        <v>482</v>
      </c>
    </row>
    <row r="288" spans="1:7" ht="15.75">
      <c r="A288" s="1874"/>
      <c r="B288" s="157" t="s">
        <v>350</v>
      </c>
      <c r="C288" s="157" t="s">
        <v>483</v>
      </c>
      <c r="D288" s="157">
        <v>723.24</v>
      </c>
      <c r="E288" s="157"/>
      <c r="F288" s="144">
        <f t="shared" si="5"/>
        <v>105060.41000000009</v>
      </c>
      <c r="G288" s="89" t="s">
        <v>477</v>
      </c>
    </row>
    <row r="289" spans="1:7" ht="15.75">
      <c r="A289" s="1874"/>
      <c r="B289" s="146" t="s">
        <v>484</v>
      </c>
      <c r="C289" s="89" t="s">
        <v>53</v>
      </c>
      <c r="D289" s="157"/>
      <c r="E289" s="157">
        <v>4000</v>
      </c>
      <c r="F289" s="144">
        <f t="shared" si="5"/>
        <v>101060.41000000009</v>
      </c>
      <c r="G289" s="117" t="s">
        <v>485</v>
      </c>
    </row>
    <row r="290" spans="1:7" ht="15.75">
      <c r="A290" s="1874"/>
      <c r="B290" s="157" t="s">
        <v>137</v>
      </c>
      <c r="C290" s="157" t="s">
        <v>486</v>
      </c>
      <c r="D290" s="157">
        <v>1956.9</v>
      </c>
      <c r="E290" s="157"/>
      <c r="F290" s="144">
        <f t="shared" si="5"/>
        <v>103017.31000000008</v>
      </c>
      <c r="G290" s="89" t="s">
        <v>477</v>
      </c>
    </row>
    <row r="291" spans="1:7" ht="15.75">
      <c r="A291" s="1874"/>
      <c r="B291" s="157" t="s">
        <v>358</v>
      </c>
      <c r="C291" s="157" t="s">
        <v>487</v>
      </c>
      <c r="D291" s="157">
        <v>1792.45</v>
      </c>
      <c r="E291" s="157"/>
      <c r="F291" s="144">
        <f t="shared" si="5"/>
        <v>104809.76000000008</v>
      </c>
      <c r="G291" s="89" t="s">
        <v>477</v>
      </c>
    </row>
    <row r="292" spans="1:7" ht="15.75">
      <c r="A292" s="1874"/>
      <c r="B292" s="157" t="s">
        <v>488</v>
      </c>
      <c r="C292" s="157" t="s">
        <v>489</v>
      </c>
      <c r="D292" s="157">
        <v>3038.25</v>
      </c>
      <c r="E292" s="157"/>
      <c r="F292" s="144">
        <f t="shared" si="5"/>
        <v>107848.01000000008</v>
      </c>
      <c r="G292" s="89" t="s">
        <v>477</v>
      </c>
    </row>
    <row r="293" spans="1:7" ht="15.75">
      <c r="A293" s="1874"/>
      <c r="B293" s="157" t="s">
        <v>490</v>
      </c>
      <c r="C293" s="157" t="s">
        <v>491</v>
      </c>
      <c r="D293" s="157"/>
      <c r="E293" s="157">
        <v>5.67</v>
      </c>
      <c r="F293" s="144">
        <f t="shared" si="5"/>
        <v>107842.34000000008</v>
      </c>
      <c r="G293" s="89" t="s">
        <v>389</v>
      </c>
    </row>
    <row r="294" spans="1:7" ht="15.75">
      <c r="A294" s="1874"/>
      <c r="B294" s="157" t="s">
        <v>490</v>
      </c>
      <c r="C294" s="157" t="s">
        <v>492</v>
      </c>
      <c r="D294" s="157"/>
      <c r="E294" s="157">
        <v>500.4</v>
      </c>
      <c r="F294" s="144">
        <f t="shared" si="5"/>
        <v>107341.94000000009</v>
      </c>
      <c r="G294" s="89" t="s">
        <v>389</v>
      </c>
    </row>
    <row r="295" spans="1:7" ht="15.75">
      <c r="A295" s="1874"/>
      <c r="B295" s="157" t="s">
        <v>493</v>
      </c>
      <c r="C295" s="157" t="s">
        <v>494</v>
      </c>
      <c r="D295" s="157"/>
      <c r="E295" s="157">
        <v>4008.82</v>
      </c>
      <c r="F295" s="144">
        <f t="shared" si="5"/>
        <v>103333.12000000008</v>
      </c>
      <c r="G295" s="89" t="s">
        <v>389</v>
      </c>
    </row>
    <row r="296" spans="1:7" ht="15.75">
      <c r="A296" s="1879" t="s">
        <v>495</v>
      </c>
      <c r="B296" s="145">
        <v>43565</v>
      </c>
      <c r="C296" s="157" t="s">
        <v>496</v>
      </c>
      <c r="D296" s="157">
        <v>8312.4</v>
      </c>
      <c r="E296" s="157"/>
      <c r="F296" s="144">
        <f t="shared" si="5"/>
        <v>111645.52000000008</v>
      </c>
      <c r="G296" s="157"/>
    </row>
    <row r="297" spans="1:7" ht="15.75">
      <c r="A297" s="1874"/>
      <c r="B297" s="145">
        <v>43565</v>
      </c>
      <c r="C297" s="157" t="s">
        <v>497</v>
      </c>
      <c r="D297" s="157">
        <v>8059.24</v>
      </c>
      <c r="E297" s="157"/>
      <c r="F297" s="144">
        <f t="shared" si="5"/>
        <v>119704.76000000008</v>
      </c>
      <c r="G297" s="157"/>
    </row>
    <row r="298" spans="1:7" ht="15.75">
      <c r="A298" s="1874"/>
      <c r="B298" s="145" t="s">
        <v>498</v>
      </c>
      <c r="C298" s="89" t="s">
        <v>53</v>
      </c>
      <c r="D298" s="157"/>
      <c r="E298" s="157">
        <v>8000</v>
      </c>
      <c r="F298" s="144">
        <f t="shared" si="5"/>
        <v>111704.76000000008</v>
      </c>
      <c r="G298" s="89" t="s">
        <v>384</v>
      </c>
    </row>
    <row r="299" spans="1:7" ht="15.75">
      <c r="A299" s="1874"/>
      <c r="B299" s="145">
        <v>43591</v>
      </c>
      <c r="C299" s="157" t="s">
        <v>499</v>
      </c>
      <c r="D299" s="157">
        <v>2161.4</v>
      </c>
      <c r="E299" s="157"/>
      <c r="F299" s="144">
        <f t="shared" si="5"/>
        <v>113866.16000000008</v>
      </c>
      <c r="G299" s="157"/>
    </row>
    <row r="300" spans="1:7" ht="15.75">
      <c r="A300" s="1874"/>
      <c r="B300" s="1878">
        <v>43598</v>
      </c>
      <c r="C300" s="157" t="s">
        <v>500</v>
      </c>
      <c r="D300" s="157">
        <v>272.25</v>
      </c>
      <c r="E300" s="157"/>
      <c r="F300" s="144">
        <f t="shared" si="5"/>
        <v>114138.41000000008</v>
      </c>
      <c r="G300" s="157"/>
    </row>
    <row r="301" spans="1:7" ht="15.75">
      <c r="A301" s="1874"/>
      <c r="B301" s="1878"/>
      <c r="C301" s="157" t="s">
        <v>501</v>
      </c>
      <c r="D301" s="157">
        <v>242.55</v>
      </c>
      <c r="E301" s="157"/>
      <c r="F301" s="144">
        <f t="shared" si="5"/>
        <v>114380.96000000008</v>
      </c>
      <c r="G301" s="157"/>
    </row>
    <row r="302" spans="1:7" ht="15.75">
      <c r="A302" s="1874"/>
      <c r="B302" s="1878">
        <v>43612</v>
      </c>
      <c r="C302" s="157" t="s">
        <v>502</v>
      </c>
      <c r="D302" s="157">
        <v>483</v>
      </c>
      <c r="E302" s="157"/>
      <c r="F302" s="144">
        <f t="shared" si="5"/>
        <v>114863.96000000008</v>
      </c>
      <c r="G302" s="157"/>
    </row>
    <row r="303" spans="1:7" ht="15.75">
      <c r="A303" s="1874"/>
      <c r="B303" s="1878"/>
      <c r="C303" s="157" t="s">
        <v>503</v>
      </c>
      <c r="D303" s="157">
        <v>438</v>
      </c>
      <c r="E303" s="157"/>
      <c r="F303" s="144">
        <f t="shared" si="5"/>
        <v>115301.96000000008</v>
      </c>
      <c r="G303" s="157"/>
    </row>
    <row r="304" spans="1:7" ht="15.75">
      <c r="A304" s="1874"/>
      <c r="B304" s="145" t="s">
        <v>504</v>
      </c>
      <c r="C304" s="89" t="s">
        <v>53</v>
      </c>
      <c r="D304" s="157"/>
      <c r="E304" s="157">
        <v>2161</v>
      </c>
      <c r="F304" s="144">
        <f t="shared" si="5"/>
        <v>113140.96000000008</v>
      </c>
      <c r="G304" s="89" t="s">
        <v>384</v>
      </c>
    </row>
    <row r="305" spans="1:8" ht="15.75">
      <c r="A305" s="1874"/>
      <c r="B305" s="146" t="s">
        <v>505</v>
      </c>
      <c r="C305" s="157" t="s">
        <v>506</v>
      </c>
      <c r="D305" s="157"/>
      <c r="E305" s="157">
        <v>2508.9699999999998</v>
      </c>
      <c r="F305" s="144">
        <f t="shared" si="5"/>
        <v>110631.99000000008</v>
      </c>
      <c r="G305" s="89" t="s">
        <v>389</v>
      </c>
    </row>
    <row r="306" spans="1:8" ht="15.75">
      <c r="A306" s="1874"/>
      <c r="B306" s="146" t="s">
        <v>505</v>
      </c>
      <c r="C306" s="157" t="s">
        <v>507</v>
      </c>
      <c r="D306" s="157"/>
      <c r="E306" s="157">
        <v>2745.99</v>
      </c>
      <c r="F306" s="144">
        <f t="shared" si="5"/>
        <v>107886.00000000007</v>
      </c>
      <c r="G306" s="89" t="s">
        <v>389</v>
      </c>
    </row>
    <row r="307" spans="1:8" ht="15.75">
      <c r="A307" s="1874"/>
      <c r="B307" s="146" t="s">
        <v>505</v>
      </c>
      <c r="C307" s="157" t="s">
        <v>508</v>
      </c>
      <c r="D307" s="157"/>
      <c r="E307" s="157">
        <v>98.44</v>
      </c>
      <c r="F307" s="144">
        <f t="shared" si="5"/>
        <v>107787.56000000007</v>
      </c>
      <c r="G307" s="89" t="s">
        <v>389</v>
      </c>
    </row>
    <row r="308" spans="1:8" ht="15.75">
      <c r="A308" s="1874"/>
      <c r="B308" s="146" t="s">
        <v>505</v>
      </c>
      <c r="C308" s="157" t="s">
        <v>509</v>
      </c>
      <c r="D308" s="157"/>
      <c r="E308" s="157">
        <v>168.88</v>
      </c>
      <c r="F308" s="144">
        <f t="shared" si="5"/>
        <v>107618.68000000007</v>
      </c>
      <c r="G308" s="89" t="s">
        <v>389</v>
      </c>
    </row>
    <row r="309" spans="1:8" ht="15.75">
      <c r="A309" s="1874"/>
      <c r="B309" s="146" t="s">
        <v>505</v>
      </c>
      <c r="C309" s="157" t="s">
        <v>510</v>
      </c>
      <c r="D309" s="157"/>
      <c r="E309" s="157">
        <v>2953.27</v>
      </c>
      <c r="F309" s="144">
        <f t="shared" si="5"/>
        <v>104665.41000000006</v>
      </c>
      <c r="G309" s="89" t="s">
        <v>389</v>
      </c>
    </row>
    <row r="310" spans="1:8" ht="15.75">
      <c r="A310" s="1874"/>
      <c r="B310" s="146" t="s">
        <v>505</v>
      </c>
      <c r="C310" s="157" t="s">
        <v>511</v>
      </c>
      <c r="D310" s="157"/>
      <c r="E310" s="157">
        <v>1353.45</v>
      </c>
      <c r="F310" s="144">
        <f t="shared" si="5"/>
        <v>103311.96000000006</v>
      </c>
      <c r="G310" s="89" t="s">
        <v>389</v>
      </c>
      <c r="H310" t="s">
        <v>512</v>
      </c>
    </row>
    <row r="311" spans="1:8" ht="15.75">
      <c r="A311" s="89" t="s">
        <v>513</v>
      </c>
      <c r="B311" s="157" t="s">
        <v>127</v>
      </c>
      <c r="C311" s="157" t="s">
        <v>514</v>
      </c>
      <c r="D311" s="157"/>
      <c r="E311" s="157"/>
      <c r="F311" s="157">
        <f t="shared" si="5"/>
        <v>103311.96000000006</v>
      </c>
      <c r="G311" s="157"/>
    </row>
    <row r="312" spans="1:8" ht="15.75">
      <c r="A312" s="164"/>
      <c r="E312" s="129"/>
      <c r="F312" s="165"/>
      <c r="G312" s="129"/>
    </row>
    <row r="313" spans="1:8" ht="15.75">
      <c r="E313" s="129"/>
      <c r="F313" s="165"/>
      <c r="G313" s="129"/>
    </row>
    <row r="314" spans="1:8" ht="15.75">
      <c r="E314" s="129"/>
      <c r="F314" s="165"/>
      <c r="G314" s="129"/>
    </row>
    <row r="315" spans="1:8">
      <c r="E315" s="129"/>
      <c r="F315" s="129"/>
      <c r="G315" s="129"/>
    </row>
  </sheetData>
  <mergeCells count="26">
    <mergeCell ref="B300:B301"/>
    <mergeCell ref="B302:B303"/>
    <mergeCell ref="A247:A252"/>
    <mergeCell ref="A253:A272"/>
    <mergeCell ref="A273:A275"/>
    <mergeCell ref="A276:A282"/>
    <mergeCell ref="A283:A295"/>
    <mergeCell ref="A296:A310"/>
    <mergeCell ref="A240:A246"/>
    <mergeCell ref="A56:A73"/>
    <mergeCell ref="A74:A89"/>
    <mergeCell ref="A90:A117"/>
    <mergeCell ref="A118:A133"/>
    <mergeCell ref="A134:A150"/>
    <mergeCell ref="A151:A155"/>
    <mergeCell ref="A156:A165"/>
    <mergeCell ref="A166:A204"/>
    <mergeCell ref="A205:A206"/>
    <mergeCell ref="A207:A218"/>
    <mergeCell ref="A219:A239"/>
    <mergeCell ref="A31:A55"/>
    <mergeCell ref="A4:A7"/>
    <mergeCell ref="A8:A12"/>
    <mergeCell ref="A13:A20"/>
    <mergeCell ref="A21:A26"/>
    <mergeCell ref="A27:A30"/>
  </mergeCells>
  <phoneticPr fontId="15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L32"/>
  <sheetViews>
    <sheetView workbookViewId="0">
      <pane ySplit="1" topLeftCell="A2" activePane="bottomLeft" state="frozen"/>
      <selection activeCell="C33" sqref="C33"/>
      <selection pane="bottomLeft" activeCell="C1" sqref="C1"/>
    </sheetView>
  </sheetViews>
  <sheetFormatPr defaultRowHeight="14.25"/>
  <cols>
    <col min="1" max="1" width="12" style="102" bestFit="1" customWidth="1"/>
    <col min="2" max="2" width="8.875" style="168" bestFit="1" customWidth="1"/>
    <col min="3" max="3" width="16.125" style="168" bestFit="1" customWidth="1"/>
    <col min="4" max="4" width="15" style="102" bestFit="1" customWidth="1"/>
    <col min="5" max="5" width="11.5" style="168" bestFit="1" customWidth="1"/>
    <col min="6" max="6" width="11.75" style="168" customWidth="1"/>
    <col min="7" max="7" width="11.5" style="102" bestFit="1" customWidth="1"/>
    <col min="8" max="8" width="16.75" style="168" bestFit="1" customWidth="1"/>
    <col min="9" max="9" width="14.125" style="102" bestFit="1" customWidth="1"/>
    <col min="10" max="10" width="12" style="102" bestFit="1" customWidth="1"/>
    <col min="11" max="11" width="11.375" style="102" bestFit="1" customWidth="1"/>
    <col min="12" max="12" width="6.5" style="102" bestFit="1" customWidth="1"/>
    <col min="13" max="16384" width="9" style="102"/>
  </cols>
  <sheetData>
    <row r="1" spans="1:12" customFormat="1" ht="18.75">
      <c r="A1" s="255" t="s">
        <v>536</v>
      </c>
      <c r="B1" s="255" t="s">
        <v>516</v>
      </c>
      <c r="C1" s="255" t="s">
        <v>515</v>
      </c>
      <c r="D1" s="256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6" t="s">
        <v>4100</v>
      </c>
      <c r="K1" s="257" t="s">
        <v>541</v>
      </c>
      <c r="L1" s="256" t="s">
        <v>542</v>
      </c>
    </row>
    <row r="2" spans="1:12" ht="15">
      <c r="A2" s="620">
        <v>44354</v>
      </c>
      <c r="B2" s="1124" t="s">
        <v>522</v>
      </c>
      <c r="C2" s="1124" t="s">
        <v>4143</v>
      </c>
      <c r="D2" s="621" t="s">
        <v>603</v>
      </c>
      <c r="E2" s="613">
        <v>4069.05</v>
      </c>
      <c r="F2" s="614">
        <v>0</v>
      </c>
      <c r="G2" s="656">
        <v>4069.05</v>
      </c>
      <c r="H2" s="620">
        <v>44354</v>
      </c>
      <c r="I2" s="1931">
        <v>4713</v>
      </c>
      <c r="J2" s="1918">
        <v>44364</v>
      </c>
      <c r="K2" s="1879" t="s">
        <v>550</v>
      </c>
      <c r="L2" s="1968"/>
    </row>
    <row r="3" spans="1:12" ht="15">
      <c r="A3" s="620">
        <v>44364</v>
      </c>
      <c r="B3" s="1124" t="s">
        <v>522</v>
      </c>
      <c r="C3" s="1124" t="s">
        <v>4143</v>
      </c>
      <c r="D3" s="621" t="s">
        <v>604</v>
      </c>
      <c r="E3" s="613">
        <v>643.95000000000005</v>
      </c>
      <c r="F3" s="614">
        <v>0</v>
      </c>
      <c r="G3" s="656">
        <v>643.95000000000005</v>
      </c>
      <c r="H3" s="620">
        <v>44364</v>
      </c>
      <c r="I3" s="1932"/>
      <c r="J3" s="1920"/>
      <c r="K3" s="1879"/>
      <c r="L3" s="1957"/>
    </row>
    <row r="4" spans="1:12" s="168" customFormat="1" ht="15">
      <c r="A4" s="620"/>
      <c r="B4" s="1124"/>
      <c r="C4" s="1124"/>
      <c r="D4" s="621"/>
      <c r="E4" s="640"/>
      <c r="F4" s="614"/>
      <c r="G4" s="656"/>
      <c r="H4" s="620"/>
      <c r="I4" s="661"/>
      <c r="J4" s="653"/>
      <c r="K4" s="431"/>
      <c r="L4" s="226"/>
    </row>
    <row r="5" spans="1:12" s="168" customFormat="1" ht="15">
      <c r="A5" s="620"/>
      <c r="B5" s="1124"/>
      <c r="C5" s="1124"/>
      <c r="D5" s="621"/>
      <c r="E5" s="640"/>
      <c r="F5" s="614"/>
      <c r="G5" s="656"/>
      <c r="H5" s="620"/>
      <c r="I5" s="661"/>
      <c r="J5" s="653"/>
      <c r="K5" s="431"/>
      <c r="L5" s="226"/>
    </row>
    <row r="6" spans="1:12" s="168" customFormat="1" ht="15">
      <c r="A6" s="620"/>
      <c r="B6" s="1124"/>
      <c r="C6" s="1124"/>
      <c r="D6" s="621"/>
      <c r="E6" s="640"/>
      <c r="F6" s="614"/>
      <c r="G6" s="656"/>
      <c r="H6" s="620"/>
      <c r="I6" s="661"/>
      <c r="J6" s="653"/>
      <c r="K6" s="431"/>
      <c r="L6" s="226"/>
    </row>
    <row r="7" spans="1:12" s="168" customFormat="1" ht="15">
      <c r="A7" s="620"/>
      <c r="B7" s="1124"/>
      <c r="C7" s="1124"/>
      <c r="D7" s="621"/>
      <c r="E7" s="640"/>
      <c r="F7" s="614"/>
      <c r="G7" s="656"/>
      <c r="H7" s="620"/>
      <c r="I7" s="661"/>
      <c r="J7" s="653"/>
      <c r="K7" s="431"/>
      <c r="L7" s="226"/>
    </row>
    <row r="8" spans="1:12" s="168" customFormat="1" ht="15">
      <c r="A8" s="620"/>
      <c r="B8" s="1124"/>
      <c r="C8" s="1124"/>
      <c r="D8" s="621"/>
      <c r="E8" s="640"/>
      <c r="F8" s="614"/>
      <c r="G8" s="656"/>
      <c r="H8" s="620"/>
      <c r="I8" s="661"/>
      <c r="J8" s="653"/>
      <c r="K8" s="431"/>
      <c r="L8" s="226"/>
    </row>
    <row r="9" spans="1:12" ht="15">
      <c r="A9" s="641"/>
      <c r="B9" s="1124"/>
      <c r="C9" s="1124"/>
      <c r="D9" s="621"/>
      <c r="E9" s="640"/>
      <c r="F9" s="614"/>
      <c r="G9" s="656"/>
      <c r="H9" s="634"/>
      <c r="I9" s="621"/>
      <c r="J9" s="634"/>
      <c r="K9" s="228"/>
      <c r="L9" s="226"/>
    </row>
    <row r="10" spans="1:12" ht="15">
      <c r="A10" s="634"/>
      <c r="B10" s="1124"/>
      <c r="C10" s="1124"/>
      <c r="D10" s="621"/>
      <c r="E10" s="640"/>
      <c r="F10" s="614"/>
      <c r="G10" s="656"/>
      <c r="H10" s="634"/>
      <c r="I10" s="634"/>
      <c r="J10" s="634"/>
      <c r="K10" s="226"/>
      <c r="L10" s="226"/>
    </row>
    <row r="11" spans="1:12" ht="15">
      <c r="A11" s="634"/>
      <c r="B11" s="1124"/>
      <c r="C11" s="1124"/>
      <c r="D11" s="619"/>
      <c r="E11" s="619"/>
      <c r="F11" s="1144" t="s">
        <v>545</v>
      </c>
      <c r="G11" s="657">
        <f>SUM(G2:G10)-SUM(I2:I10)</f>
        <v>0</v>
      </c>
      <c r="H11" s="634"/>
      <c r="I11" s="634"/>
      <c r="J11" s="634"/>
      <c r="K11" s="226"/>
      <c r="L11" s="226"/>
    </row>
    <row r="12" spans="1:12">
      <c r="A12" s="168"/>
      <c r="D12" s="168"/>
    </row>
    <row r="13" spans="1:12">
      <c r="A13" s="168"/>
      <c r="D13" s="168"/>
    </row>
    <row r="14" spans="1:12">
      <c r="A14" s="168"/>
      <c r="D14" s="168"/>
    </row>
    <row r="15" spans="1:12">
      <c r="A15" s="168"/>
      <c r="D15" s="168"/>
    </row>
    <row r="16" spans="1:12">
      <c r="A16" s="168"/>
      <c r="D16" s="168"/>
    </row>
    <row r="17" spans="1:4">
      <c r="A17" s="168"/>
      <c r="D17" s="168"/>
    </row>
    <row r="18" spans="1:4">
      <c r="A18" s="168"/>
      <c r="D18" s="168"/>
    </row>
    <row r="19" spans="1:4">
      <c r="A19" s="168"/>
      <c r="D19" s="168"/>
    </row>
    <row r="20" spans="1:4">
      <c r="A20" s="168"/>
    </row>
    <row r="21" spans="1:4">
      <c r="A21" s="168"/>
      <c r="D21" s="168"/>
    </row>
    <row r="22" spans="1:4">
      <c r="A22" s="168"/>
      <c r="D22" s="168"/>
    </row>
    <row r="23" spans="1:4">
      <c r="A23" s="168"/>
      <c r="D23" s="168"/>
    </row>
    <row r="24" spans="1:4">
      <c r="A24" s="168"/>
      <c r="D24" s="168"/>
    </row>
    <row r="25" spans="1:4">
      <c r="A25" s="168"/>
      <c r="D25" s="168"/>
    </row>
    <row r="26" spans="1:4">
      <c r="A26" s="168"/>
      <c r="D26" s="168"/>
    </row>
    <row r="27" spans="1:4">
      <c r="A27" s="168"/>
      <c r="D27" s="168"/>
    </row>
    <row r="28" spans="1:4">
      <c r="A28" s="168"/>
      <c r="D28" s="168"/>
    </row>
    <row r="29" spans="1:4">
      <c r="A29" s="168"/>
      <c r="D29" s="168"/>
    </row>
    <row r="30" spans="1:4">
      <c r="A30" s="168"/>
      <c r="D30" s="168"/>
    </row>
    <row r="31" spans="1:4">
      <c r="A31" s="168"/>
      <c r="D31" s="168"/>
    </row>
    <row r="32" spans="1:4">
      <c r="A32" s="168"/>
      <c r="D32" s="168"/>
    </row>
  </sheetData>
  <mergeCells count="4">
    <mergeCell ref="I2:I3"/>
    <mergeCell ref="K2:K3"/>
    <mergeCell ref="J2:J3"/>
    <mergeCell ref="L2:L3"/>
  </mergeCells>
  <phoneticPr fontId="15" type="noConversion"/>
  <hyperlinks>
    <hyperlink ref="F11" location="汇总!A1" display="剩余欠款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pane ySplit="1" topLeftCell="A2" activePane="bottomLeft" state="frozen"/>
      <selection pane="bottomLeft" activeCell="G17" sqref="G17"/>
    </sheetView>
  </sheetViews>
  <sheetFormatPr defaultColWidth="8.75" defaultRowHeight="14.25"/>
  <cols>
    <col min="1" max="1" width="13" style="168" customWidth="1"/>
    <col min="2" max="2" width="8.875" style="168" bestFit="1" customWidth="1"/>
    <col min="3" max="3" width="29.375" style="168" bestFit="1" customWidth="1"/>
    <col min="4" max="5" width="15" style="168" customWidth="1"/>
    <col min="6" max="6" width="13.375" style="527" customWidth="1"/>
    <col min="7" max="7" width="11.375" style="168" bestFit="1" customWidth="1"/>
    <col min="8" max="8" width="16.625" style="168" bestFit="1" customWidth="1"/>
    <col min="9" max="9" width="12.875" style="168" customWidth="1"/>
    <col min="10" max="10" width="11.625" style="168" bestFit="1" customWidth="1"/>
    <col min="11" max="11" width="11.375" style="168" bestFit="1" customWidth="1"/>
    <col min="12" max="12" width="37.875" style="168" customWidth="1"/>
    <col min="13" max="13" width="13.875" style="168" bestFit="1" customWidth="1"/>
    <col min="14" max="16384" width="8.75" style="168"/>
  </cols>
  <sheetData>
    <row r="1" spans="1:14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7" t="s">
        <v>542</v>
      </c>
    </row>
    <row r="2" spans="1:14" ht="15">
      <c r="A2" s="1903">
        <v>44446</v>
      </c>
      <c r="B2" s="1903" t="s">
        <v>5018</v>
      </c>
      <c r="C2" s="1903" t="s">
        <v>5007</v>
      </c>
      <c r="D2" s="1909" t="s">
        <v>5053</v>
      </c>
      <c r="E2" s="1951">
        <v>858.96</v>
      </c>
      <c r="F2" s="1933">
        <v>0</v>
      </c>
      <c r="G2" s="611">
        <v>429.48</v>
      </c>
      <c r="H2" s="1315">
        <v>44447</v>
      </c>
      <c r="I2" s="611">
        <v>429.48</v>
      </c>
      <c r="J2" s="1403">
        <v>44691</v>
      </c>
      <c r="K2" s="1401" t="s">
        <v>550</v>
      </c>
      <c r="L2" s="166"/>
      <c r="M2"/>
      <c r="N2"/>
    </row>
    <row r="3" spans="1:14" ht="15">
      <c r="A3" s="1905"/>
      <c r="B3" s="1905"/>
      <c r="C3" s="1905"/>
      <c r="D3" s="1911"/>
      <c r="E3" s="1953"/>
      <c r="F3" s="1934"/>
      <c r="G3" s="611">
        <f>858.96-429.48</f>
        <v>429.48</v>
      </c>
      <c r="H3" s="1315">
        <v>44447</v>
      </c>
      <c r="I3" s="611">
        <v>429.48</v>
      </c>
      <c r="J3" s="1403">
        <v>44692</v>
      </c>
      <c r="K3" s="1401" t="s">
        <v>809</v>
      </c>
      <c r="L3" s="166" t="s">
        <v>5064</v>
      </c>
      <c r="M3"/>
      <c r="N3"/>
    </row>
    <row r="4" spans="1:14" ht="15">
      <c r="A4" s="1403">
        <v>44749</v>
      </c>
      <c r="B4" s="1403" t="s">
        <v>5018</v>
      </c>
      <c r="C4" s="1403" t="s">
        <v>5007</v>
      </c>
      <c r="D4" s="1405" t="s">
        <v>5054</v>
      </c>
      <c r="E4" s="611">
        <v>1356.8</v>
      </c>
      <c r="F4" s="731">
        <v>0</v>
      </c>
      <c r="G4" s="611">
        <v>1356.8</v>
      </c>
      <c r="H4" s="1403">
        <v>44779</v>
      </c>
      <c r="I4" s="611">
        <v>1356.8</v>
      </c>
      <c r="J4" s="1403">
        <v>44810</v>
      </c>
      <c r="K4" s="1401" t="s">
        <v>550</v>
      </c>
      <c r="L4" s="226"/>
      <c r="M4"/>
      <c r="N4"/>
    </row>
    <row r="5" spans="1:14" ht="15">
      <c r="A5" s="1903">
        <v>44770</v>
      </c>
      <c r="B5" s="1903" t="s">
        <v>5018</v>
      </c>
      <c r="C5" s="1903" t="s">
        <v>5007</v>
      </c>
      <c r="D5" s="1909" t="s">
        <v>5055</v>
      </c>
      <c r="E5" s="1951">
        <v>819.63</v>
      </c>
      <c r="F5" s="1933">
        <v>0</v>
      </c>
      <c r="G5" s="611">
        <v>384.05</v>
      </c>
      <c r="H5" s="1403">
        <v>44800</v>
      </c>
      <c r="I5" s="611">
        <v>384.05</v>
      </c>
      <c r="J5" s="1403">
        <v>44810</v>
      </c>
      <c r="K5" s="1401" t="s">
        <v>550</v>
      </c>
      <c r="L5" s="226"/>
      <c r="M5"/>
      <c r="N5"/>
    </row>
    <row r="6" spans="1:14" ht="15">
      <c r="A6" s="1905"/>
      <c r="B6" s="1905"/>
      <c r="C6" s="1905"/>
      <c r="D6" s="1911"/>
      <c r="E6" s="1953"/>
      <c r="F6" s="1934"/>
      <c r="G6" s="611">
        <v>435.58</v>
      </c>
      <c r="H6" s="1403">
        <v>44800</v>
      </c>
      <c r="I6" s="611">
        <v>435.58</v>
      </c>
      <c r="J6" s="1403">
        <v>44830</v>
      </c>
      <c r="K6" s="1401" t="s">
        <v>550</v>
      </c>
      <c r="L6" s="226"/>
      <c r="M6"/>
      <c r="N6"/>
    </row>
    <row r="7" spans="1:14" ht="15">
      <c r="A7" s="623">
        <v>45054</v>
      </c>
      <c r="B7" s="623" t="s">
        <v>2644</v>
      </c>
      <c r="C7" s="623" t="s">
        <v>5007</v>
      </c>
      <c r="D7" s="624" t="s">
        <v>5056</v>
      </c>
      <c r="E7" s="605">
        <v>765.54</v>
      </c>
      <c r="F7" s="732">
        <v>160.76</v>
      </c>
      <c r="G7" s="605">
        <v>926.31</v>
      </c>
      <c r="H7" s="623">
        <v>45055</v>
      </c>
      <c r="I7" s="639"/>
      <c r="J7" s="1394"/>
      <c r="K7" s="1389"/>
      <c r="L7" s="226"/>
    </row>
    <row r="8" spans="1:14" ht="15">
      <c r="A8" s="623"/>
      <c r="B8" s="623"/>
      <c r="C8" s="623"/>
      <c r="D8" s="624"/>
      <c r="E8" s="605"/>
      <c r="F8" s="732"/>
      <c r="G8" s="605"/>
      <c r="H8" s="623"/>
      <c r="I8" s="639"/>
      <c r="J8" s="1394"/>
      <c r="K8" s="1389"/>
      <c r="L8" s="226"/>
    </row>
    <row r="9" spans="1:14" ht="15">
      <c r="A9" s="623"/>
      <c r="B9" s="623"/>
      <c r="C9" s="623"/>
      <c r="D9" s="624"/>
      <c r="E9" s="605"/>
      <c r="F9" s="732"/>
      <c r="G9" s="605"/>
      <c r="H9" s="623"/>
      <c r="I9" s="639"/>
      <c r="J9" s="1394"/>
      <c r="K9" s="1389"/>
      <c r="L9" s="226"/>
    </row>
    <row r="10" spans="1:14" ht="15">
      <c r="A10" s="623"/>
      <c r="B10" s="623"/>
      <c r="C10" s="623"/>
      <c r="D10" s="624"/>
      <c r="E10" s="605"/>
      <c r="F10" s="732"/>
      <c r="G10" s="605"/>
      <c r="H10" s="623"/>
      <c r="I10" s="639"/>
      <c r="J10" s="1394"/>
      <c r="K10" s="1389"/>
      <c r="L10" s="226"/>
    </row>
    <row r="11" spans="1:14" ht="15">
      <c r="A11" s="623"/>
      <c r="B11" s="623"/>
      <c r="C11" s="623"/>
      <c r="D11" s="624"/>
      <c r="E11" s="605"/>
      <c r="F11" s="732"/>
      <c r="G11" s="605"/>
      <c r="H11" s="623"/>
      <c r="I11" s="639"/>
      <c r="J11" s="1394"/>
      <c r="K11" s="1389"/>
      <c r="L11" s="226"/>
    </row>
    <row r="12" spans="1:14" ht="15">
      <c r="A12" s="623"/>
      <c r="B12" s="623"/>
      <c r="C12" s="623"/>
      <c r="D12" s="624"/>
      <c r="E12" s="605"/>
      <c r="F12" s="732"/>
      <c r="G12" s="605"/>
      <c r="H12" s="623"/>
      <c r="I12" s="639"/>
      <c r="J12" s="1394"/>
      <c r="K12" s="1389"/>
      <c r="L12" s="226"/>
    </row>
    <row r="13" spans="1:14" ht="15">
      <c r="A13" s="623"/>
      <c r="B13" s="623"/>
      <c r="C13" s="623"/>
      <c r="D13" s="624"/>
      <c r="E13" s="605"/>
      <c r="F13" s="732"/>
      <c r="G13" s="605"/>
      <c r="H13" s="623"/>
      <c r="I13" s="639"/>
      <c r="J13" s="1394"/>
      <c r="K13" s="1389"/>
      <c r="L13" s="226"/>
    </row>
    <row r="14" spans="1:14" ht="15">
      <c r="A14" s="623"/>
      <c r="B14" s="623"/>
      <c r="C14" s="623"/>
      <c r="D14" s="624"/>
      <c r="E14" s="605"/>
      <c r="F14" s="732"/>
      <c r="G14" s="605"/>
      <c r="H14" s="623"/>
      <c r="I14" s="639"/>
      <c r="J14" s="1394"/>
      <c r="K14" s="1389"/>
      <c r="L14" s="226"/>
    </row>
    <row r="15" spans="1:14" ht="15">
      <c r="A15" s="1394"/>
      <c r="B15" s="1394"/>
      <c r="C15" s="1394"/>
      <c r="D15" s="1395"/>
      <c r="E15" s="605"/>
      <c r="F15" s="732"/>
      <c r="G15" s="639"/>
      <c r="H15" s="1394"/>
      <c r="I15" s="639"/>
      <c r="J15" s="1394"/>
      <c r="K15" s="1389"/>
      <c r="L15" s="226"/>
    </row>
    <row r="16" spans="1:14" ht="15">
      <c r="A16" s="1394"/>
      <c r="B16" s="1394"/>
      <c r="C16" s="1394"/>
      <c r="D16" s="1395"/>
      <c r="E16" s="605"/>
      <c r="F16" s="732"/>
      <c r="G16" s="639"/>
      <c r="H16" s="1394"/>
      <c r="I16" s="639"/>
      <c r="J16" s="1394"/>
      <c r="K16" s="1389"/>
      <c r="L16" s="226"/>
    </row>
    <row r="17" spans="1:12" ht="15">
      <c r="A17" s="1395"/>
      <c r="B17" s="1395"/>
      <c r="C17" s="1395"/>
      <c r="D17" s="619"/>
      <c r="E17" s="619"/>
      <c r="F17" s="1144" t="s">
        <v>545</v>
      </c>
      <c r="G17" s="651">
        <f>SUM(G2:G16)-SUM(I2:I16)</f>
        <v>926.31</v>
      </c>
      <c r="H17" s="634"/>
      <c r="I17" s="639"/>
      <c r="J17" s="1394"/>
      <c r="K17" s="1389"/>
      <c r="L17" s="226"/>
    </row>
    <row r="18" spans="1:12">
      <c r="K18" s="237"/>
    </row>
    <row r="19" spans="1:12">
      <c r="K19" s="237"/>
    </row>
    <row r="20" spans="1:12">
      <c r="K20" s="237"/>
    </row>
    <row r="21" spans="1:12">
      <c r="K21" s="237"/>
    </row>
  </sheetData>
  <mergeCells count="12">
    <mergeCell ref="A5:A6"/>
    <mergeCell ref="F2:F3"/>
    <mergeCell ref="E2:E3"/>
    <mergeCell ref="D2:D3"/>
    <mergeCell ref="A2:A3"/>
    <mergeCell ref="C2:C3"/>
    <mergeCell ref="B2:B3"/>
    <mergeCell ref="F5:F6"/>
    <mergeCell ref="E5:E6"/>
    <mergeCell ref="D5:D6"/>
    <mergeCell ref="C5:C6"/>
    <mergeCell ref="B5:B6"/>
  </mergeCells>
  <phoneticPr fontId="15" type="noConversion"/>
  <hyperlinks>
    <hyperlink ref="F17" location="汇总!A1" display="剩余欠款"/>
  </hyperlinks>
  <pageMargins left="0.7" right="0.7" top="0.75" bottom="0.75" header="0.3" footer="0.3"/>
  <pageSetup paperSize="9"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pane ySplit="1" topLeftCell="A2" activePane="bottomLeft" state="frozen"/>
      <selection pane="bottomLeft" activeCell="F15" sqref="F15"/>
    </sheetView>
  </sheetViews>
  <sheetFormatPr defaultColWidth="8.75" defaultRowHeight="14.25"/>
  <cols>
    <col min="1" max="1" width="13" style="168" customWidth="1"/>
    <col min="2" max="2" width="13.875" style="168" bestFit="1" customWidth="1"/>
    <col min="3" max="3" width="29.375" style="168" bestFit="1" customWidth="1"/>
    <col min="4" max="5" width="15" style="168" customWidth="1"/>
    <col min="6" max="6" width="13.375" style="527" customWidth="1"/>
    <col min="7" max="7" width="11.375" style="168" bestFit="1" customWidth="1"/>
    <col min="8" max="8" width="16.625" style="168" bestFit="1" customWidth="1"/>
    <col min="9" max="9" width="12.875" style="168" customWidth="1"/>
    <col min="10" max="10" width="11.625" style="168" bestFit="1" customWidth="1"/>
    <col min="11" max="11" width="11.375" style="168" bestFit="1" customWidth="1"/>
    <col min="12" max="12" width="25" style="168" bestFit="1" customWidth="1"/>
    <col min="13" max="13" width="13.875" style="168" bestFit="1" customWidth="1"/>
    <col min="14" max="16384" width="8.75" style="168"/>
  </cols>
  <sheetData>
    <row r="1" spans="1:14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7" t="s">
        <v>542</v>
      </c>
    </row>
    <row r="2" spans="1:14" ht="15">
      <c r="A2" s="623">
        <v>45064</v>
      </c>
      <c r="B2" s="623" t="s">
        <v>5012</v>
      </c>
      <c r="C2" s="623" t="s">
        <v>5008</v>
      </c>
      <c r="D2" s="624" t="s">
        <v>5057</v>
      </c>
      <c r="E2" s="605">
        <v>1721.54</v>
      </c>
      <c r="F2" s="732">
        <v>0</v>
      </c>
      <c r="G2" s="605">
        <v>1721.54</v>
      </c>
      <c r="H2" s="1358">
        <v>45124</v>
      </c>
      <c r="I2" s="639"/>
      <c r="J2" s="1394"/>
      <c r="K2" s="226"/>
      <c r="L2" s="166"/>
      <c r="M2"/>
      <c r="N2"/>
    </row>
    <row r="3" spans="1:14" ht="15">
      <c r="A3" s="623"/>
      <c r="B3" s="623"/>
      <c r="C3" s="623"/>
      <c r="D3" s="624"/>
      <c r="E3" s="605"/>
      <c r="F3" s="732"/>
      <c r="G3" s="605"/>
      <c r="H3" s="623"/>
      <c r="I3" s="639"/>
      <c r="J3" s="1394"/>
      <c r="K3" s="226"/>
      <c r="L3" s="226"/>
      <c r="M3"/>
      <c r="N3"/>
    </row>
    <row r="4" spans="1:14" ht="15">
      <c r="A4" s="623"/>
      <c r="B4" s="623"/>
      <c r="C4" s="623"/>
      <c r="D4" s="624"/>
      <c r="E4" s="605"/>
      <c r="F4" s="732"/>
      <c r="G4" s="605"/>
      <c r="H4" s="623"/>
      <c r="I4" s="639"/>
      <c r="J4" s="1394"/>
      <c r="K4" s="226"/>
      <c r="L4" s="226"/>
      <c r="M4"/>
      <c r="N4"/>
    </row>
    <row r="5" spans="1:14" ht="15">
      <c r="A5" s="623"/>
      <c r="B5" s="623"/>
      <c r="C5" s="623"/>
      <c r="D5" s="624"/>
      <c r="E5" s="605"/>
      <c r="F5" s="732"/>
      <c r="G5" s="605"/>
      <c r="H5" s="623"/>
      <c r="I5" s="639"/>
      <c r="J5" s="1394"/>
      <c r="K5" s="226"/>
      <c r="L5" s="226"/>
    </row>
    <row r="6" spans="1:14" ht="15">
      <c r="A6" s="623"/>
      <c r="B6" s="623"/>
      <c r="C6" s="623"/>
      <c r="D6" s="624"/>
      <c r="E6" s="605"/>
      <c r="F6" s="732"/>
      <c r="G6" s="605"/>
      <c r="H6" s="623"/>
      <c r="I6" s="639"/>
      <c r="J6" s="1394"/>
      <c r="K6" s="226"/>
      <c r="L6" s="226"/>
    </row>
    <row r="7" spans="1:14" ht="15">
      <c r="A7" s="623"/>
      <c r="B7" s="623"/>
      <c r="C7" s="623"/>
      <c r="D7" s="624"/>
      <c r="E7" s="605"/>
      <c r="F7" s="732"/>
      <c r="G7" s="605"/>
      <c r="H7" s="623"/>
      <c r="I7" s="639"/>
      <c r="J7" s="1394"/>
      <c r="K7" s="226"/>
      <c r="L7" s="226"/>
    </row>
    <row r="8" spans="1:14" ht="15">
      <c r="A8" s="623"/>
      <c r="B8" s="623"/>
      <c r="C8" s="623"/>
      <c r="D8" s="624"/>
      <c r="E8" s="605"/>
      <c r="F8" s="732"/>
      <c r="G8" s="605"/>
      <c r="H8" s="623"/>
      <c r="I8" s="639"/>
      <c r="J8" s="1394"/>
      <c r="K8" s="226"/>
      <c r="L8" s="226"/>
    </row>
    <row r="9" spans="1:14" ht="15">
      <c r="A9" s="623"/>
      <c r="B9" s="623"/>
      <c r="C9" s="623"/>
      <c r="D9" s="624"/>
      <c r="E9" s="605"/>
      <c r="F9" s="732"/>
      <c r="G9" s="605"/>
      <c r="H9" s="623"/>
      <c r="I9" s="639"/>
      <c r="J9" s="1394"/>
      <c r="K9" s="226"/>
      <c r="L9" s="226"/>
    </row>
    <row r="10" spans="1:14" ht="15">
      <c r="A10" s="623"/>
      <c r="B10" s="623"/>
      <c r="C10" s="623"/>
      <c r="D10" s="624"/>
      <c r="E10" s="605"/>
      <c r="F10" s="732"/>
      <c r="G10" s="605"/>
      <c r="H10" s="623"/>
      <c r="I10" s="639"/>
      <c r="J10" s="1394"/>
      <c r="K10" s="226"/>
      <c r="L10" s="226"/>
    </row>
    <row r="11" spans="1:14" ht="15">
      <c r="A11" s="623"/>
      <c r="B11" s="623"/>
      <c r="C11" s="623"/>
      <c r="D11" s="624"/>
      <c r="E11" s="605"/>
      <c r="F11" s="732"/>
      <c r="G11" s="605"/>
      <c r="H11" s="623"/>
      <c r="I11" s="639"/>
      <c r="J11" s="1394"/>
      <c r="K11" s="226"/>
      <c r="L11" s="226"/>
    </row>
    <row r="12" spans="1:14" ht="15">
      <c r="A12" s="623"/>
      <c r="B12" s="623"/>
      <c r="C12" s="623"/>
      <c r="D12" s="624"/>
      <c r="E12" s="605"/>
      <c r="F12" s="732"/>
      <c r="G12" s="605"/>
      <c r="H12" s="623"/>
      <c r="I12" s="639"/>
      <c r="J12" s="1394"/>
      <c r="K12" s="226"/>
      <c r="L12" s="226"/>
    </row>
    <row r="13" spans="1:14" ht="15">
      <c r="A13" s="1394"/>
      <c r="B13" s="1394"/>
      <c r="C13" s="1394"/>
      <c r="D13" s="1395"/>
      <c r="E13" s="605"/>
      <c r="F13" s="732"/>
      <c r="G13" s="639"/>
      <c r="H13" s="1394"/>
      <c r="I13" s="639"/>
      <c r="J13" s="1394"/>
      <c r="K13" s="226"/>
      <c r="L13" s="226"/>
    </row>
    <row r="14" spans="1:14" ht="15">
      <c r="A14" s="1394"/>
      <c r="B14" s="1394"/>
      <c r="C14" s="1394"/>
      <c r="D14" s="1395"/>
      <c r="E14" s="605"/>
      <c r="F14" s="732"/>
      <c r="G14" s="639"/>
      <c r="H14" s="1394"/>
      <c r="I14" s="639"/>
      <c r="J14" s="1394"/>
      <c r="K14" s="226"/>
      <c r="L14" s="226"/>
    </row>
    <row r="15" spans="1:14" ht="15">
      <c r="A15" s="1395"/>
      <c r="B15" s="1395"/>
      <c r="C15" s="1395"/>
      <c r="D15" s="619"/>
      <c r="E15" s="619"/>
      <c r="F15" s="1144" t="s">
        <v>545</v>
      </c>
      <c r="G15" s="651">
        <f>SUM(G2:G14)-SUM(I2:I14)</f>
        <v>1721.54</v>
      </c>
      <c r="H15" s="634"/>
      <c r="I15" s="639"/>
      <c r="J15" s="1394"/>
      <c r="K15" s="226"/>
      <c r="L15" s="226"/>
    </row>
  </sheetData>
  <phoneticPr fontId="15" type="noConversion"/>
  <hyperlinks>
    <hyperlink ref="F15" location="汇总!A1" display="剩余欠款"/>
  </hyperlinks>
  <pageMargins left="0.7" right="0.7" top="0.75" bottom="0.75" header="0.3" footer="0.3"/>
  <pageSetup paperSize="9"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pane ySplit="1" topLeftCell="A2" activePane="bottomLeft" state="frozen"/>
      <selection pane="bottomLeft"/>
    </sheetView>
  </sheetViews>
  <sheetFormatPr defaultColWidth="8.75" defaultRowHeight="14.25"/>
  <cols>
    <col min="1" max="1" width="13" style="168" customWidth="1"/>
    <col min="2" max="2" width="13.875" style="168" bestFit="1" customWidth="1"/>
    <col min="3" max="3" width="29.375" style="168" bestFit="1" customWidth="1"/>
    <col min="4" max="5" width="15" style="168" customWidth="1"/>
    <col min="6" max="6" width="13.375" style="527" customWidth="1"/>
    <col min="7" max="7" width="11.375" style="168" bestFit="1" customWidth="1"/>
    <col min="8" max="8" width="16.625" style="168" bestFit="1" customWidth="1"/>
    <col min="9" max="9" width="12.875" style="168" customWidth="1"/>
    <col min="10" max="10" width="11.625" style="168" bestFit="1" customWidth="1"/>
    <col min="11" max="11" width="11.375" style="168" bestFit="1" customWidth="1"/>
    <col min="12" max="12" width="25" style="168" bestFit="1" customWidth="1"/>
    <col min="13" max="13" width="13.875" style="168" bestFit="1" customWidth="1"/>
    <col min="14" max="16384" width="8.75" style="168"/>
  </cols>
  <sheetData>
    <row r="1" spans="1:14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7" t="s">
        <v>542</v>
      </c>
    </row>
    <row r="2" spans="1:14" ht="15">
      <c r="A2" s="623">
        <v>45061</v>
      </c>
      <c r="B2" s="623" t="s">
        <v>5012</v>
      </c>
      <c r="C2" s="623" t="s">
        <v>5009</v>
      </c>
      <c r="D2" s="624" t="s">
        <v>5058</v>
      </c>
      <c r="E2" s="605">
        <v>697.78</v>
      </c>
      <c r="F2" s="732">
        <v>146.53</v>
      </c>
      <c r="G2" s="605">
        <v>844.31</v>
      </c>
      <c r="H2" s="1358">
        <v>45121</v>
      </c>
      <c r="I2" s="639"/>
      <c r="J2" s="1394"/>
      <c r="K2" s="226"/>
      <c r="L2" s="166"/>
      <c r="M2"/>
      <c r="N2"/>
    </row>
    <row r="3" spans="1:14" ht="15">
      <c r="A3" s="623"/>
      <c r="B3" s="623"/>
      <c r="C3" s="623"/>
      <c r="D3" s="624"/>
      <c r="E3" s="605"/>
      <c r="F3" s="732"/>
      <c r="G3" s="605"/>
      <c r="H3" s="623"/>
      <c r="I3" s="639"/>
      <c r="J3" s="1394"/>
      <c r="K3" s="226"/>
      <c r="L3" s="226"/>
      <c r="M3"/>
      <c r="N3"/>
    </row>
    <row r="4" spans="1:14" ht="15">
      <c r="A4" s="623"/>
      <c r="B4" s="623"/>
      <c r="C4" s="623"/>
      <c r="D4" s="624"/>
      <c r="E4" s="605"/>
      <c r="F4" s="732"/>
      <c r="G4" s="605"/>
      <c r="H4" s="623"/>
      <c r="I4" s="639"/>
      <c r="J4" s="1394"/>
      <c r="K4" s="226"/>
      <c r="L4" s="226"/>
      <c r="M4"/>
      <c r="N4"/>
    </row>
    <row r="5" spans="1:14" ht="15">
      <c r="A5" s="623"/>
      <c r="B5" s="623"/>
      <c r="C5" s="623"/>
      <c r="D5" s="624"/>
      <c r="E5" s="605"/>
      <c r="F5" s="732"/>
      <c r="G5" s="605"/>
      <c r="H5" s="623"/>
      <c r="I5" s="639"/>
      <c r="J5" s="1394"/>
      <c r="K5" s="226"/>
      <c r="L5" s="226"/>
    </row>
    <row r="6" spans="1:14" ht="15">
      <c r="A6" s="623"/>
      <c r="B6" s="623"/>
      <c r="C6" s="623"/>
      <c r="D6" s="624"/>
      <c r="E6" s="605"/>
      <c r="F6" s="732"/>
      <c r="G6" s="605"/>
      <c r="H6" s="623"/>
      <c r="I6" s="639"/>
      <c r="J6" s="1394"/>
      <c r="K6" s="226"/>
      <c r="L6" s="226"/>
    </row>
    <row r="7" spans="1:14" ht="15">
      <c r="A7" s="623"/>
      <c r="B7" s="623"/>
      <c r="C7" s="623"/>
      <c r="D7" s="624"/>
      <c r="E7" s="605"/>
      <c r="F7" s="732"/>
      <c r="G7" s="605"/>
      <c r="H7" s="623"/>
      <c r="I7" s="639"/>
      <c r="J7" s="1394"/>
      <c r="K7" s="226"/>
      <c r="L7" s="226"/>
    </row>
    <row r="8" spans="1:14" ht="15">
      <c r="A8" s="623"/>
      <c r="B8" s="623"/>
      <c r="C8" s="623"/>
      <c r="D8" s="624"/>
      <c r="E8" s="605"/>
      <c r="F8" s="732"/>
      <c r="G8" s="605"/>
      <c r="H8" s="623"/>
      <c r="I8" s="639"/>
      <c r="J8" s="1394"/>
      <c r="K8" s="226"/>
      <c r="L8" s="226"/>
    </row>
    <row r="9" spans="1:14" ht="15">
      <c r="A9" s="623"/>
      <c r="B9" s="623"/>
      <c r="C9" s="623"/>
      <c r="D9" s="624"/>
      <c r="E9" s="605"/>
      <c r="F9" s="732"/>
      <c r="G9" s="605"/>
      <c r="H9" s="623"/>
      <c r="I9" s="639"/>
      <c r="J9" s="1394"/>
      <c r="K9" s="226"/>
      <c r="L9" s="226"/>
    </row>
    <row r="10" spans="1:14" ht="15">
      <c r="A10" s="623"/>
      <c r="B10" s="623"/>
      <c r="C10" s="623"/>
      <c r="D10" s="624"/>
      <c r="E10" s="605"/>
      <c r="F10" s="732"/>
      <c r="G10" s="605"/>
      <c r="H10" s="623"/>
      <c r="I10" s="639"/>
      <c r="J10" s="1394"/>
      <c r="K10" s="226"/>
      <c r="L10" s="226"/>
    </row>
    <row r="11" spans="1:14" ht="15">
      <c r="A11" s="623"/>
      <c r="B11" s="623"/>
      <c r="C11" s="623"/>
      <c r="D11" s="624"/>
      <c r="E11" s="605"/>
      <c r="F11" s="732"/>
      <c r="G11" s="605"/>
      <c r="H11" s="623"/>
      <c r="I11" s="639"/>
      <c r="J11" s="1394"/>
      <c r="K11" s="226"/>
      <c r="L11" s="226"/>
    </row>
    <row r="12" spans="1:14" ht="15">
      <c r="A12" s="623"/>
      <c r="B12" s="623"/>
      <c r="C12" s="623"/>
      <c r="D12" s="624"/>
      <c r="E12" s="605"/>
      <c r="F12" s="732"/>
      <c r="G12" s="605"/>
      <c r="H12" s="623"/>
      <c r="I12" s="639"/>
      <c r="J12" s="1394"/>
      <c r="K12" s="226"/>
      <c r="L12" s="226"/>
    </row>
    <row r="13" spans="1:14" ht="15">
      <c r="A13" s="1394"/>
      <c r="B13" s="1394"/>
      <c r="C13" s="1394"/>
      <c r="D13" s="1395"/>
      <c r="E13" s="605"/>
      <c r="F13" s="732"/>
      <c r="G13" s="639"/>
      <c r="H13" s="1394"/>
      <c r="I13" s="639"/>
      <c r="J13" s="1394"/>
      <c r="K13" s="226"/>
      <c r="L13" s="226"/>
    </row>
    <row r="14" spans="1:14" ht="15">
      <c r="A14" s="1394"/>
      <c r="B14" s="1394"/>
      <c r="C14" s="1394"/>
      <c r="D14" s="1395"/>
      <c r="E14" s="605"/>
      <c r="F14" s="732"/>
      <c r="G14" s="639"/>
      <c r="H14" s="1394"/>
      <c r="I14" s="639"/>
      <c r="J14" s="1394"/>
      <c r="K14" s="226"/>
      <c r="L14" s="226"/>
    </row>
    <row r="15" spans="1:14" ht="15">
      <c r="A15" s="1395"/>
      <c r="B15" s="1395"/>
      <c r="C15" s="1395"/>
      <c r="D15" s="619"/>
      <c r="E15" s="619"/>
      <c r="F15" s="1144" t="s">
        <v>545</v>
      </c>
      <c r="G15" s="651">
        <f>SUM(G2:G14)-SUM(I2:I14)</f>
        <v>844.31</v>
      </c>
      <c r="H15" s="634"/>
      <c r="I15" s="639"/>
      <c r="J15" s="1394"/>
      <c r="K15" s="226"/>
      <c r="L15" s="226"/>
    </row>
  </sheetData>
  <phoneticPr fontId="15" type="noConversion"/>
  <hyperlinks>
    <hyperlink ref="F15" location="汇总!A1" display="剩余欠款"/>
  </hyperlinks>
  <pageMargins left="0.7" right="0.7" top="0.75" bottom="0.75" header="0.3" footer="0.3"/>
  <pageSetup paperSize="9"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pane ySplit="1" topLeftCell="A2" activePane="bottomLeft" state="frozen"/>
      <selection pane="bottomLeft" activeCell="C2" sqref="C2"/>
    </sheetView>
  </sheetViews>
  <sheetFormatPr defaultColWidth="8.75" defaultRowHeight="14.25"/>
  <cols>
    <col min="1" max="1" width="13" style="168" customWidth="1"/>
    <col min="2" max="2" width="13.875" style="168" bestFit="1" customWidth="1"/>
    <col min="3" max="3" width="29.375" style="168" bestFit="1" customWidth="1"/>
    <col min="4" max="5" width="15" style="168" customWidth="1"/>
    <col min="6" max="6" width="13.375" style="527" customWidth="1"/>
    <col min="7" max="7" width="11.375" style="168" bestFit="1" customWidth="1"/>
    <col min="8" max="8" width="16.625" style="168" bestFit="1" customWidth="1"/>
    <col min="9" max="9" width="12.875" style="168" customWidth="1"/>
    <col min="10" max="10" width="11.625" style="168" bestFit="1" customWidth="1"/>
    <col min="11" max="11" width="11.375" style="168" bestFit="1" customWidth="1"/>
    <col min="12" max="12" width="25" style="168" bestFit="1" customWidth="1"/>
    <col min="13" max="13" width="13.875" style="168" bestFit="1" customWidth="1"/>
    <col min="14" max="16384" width="8.75" style="168"/>
  </cols>
  <sheetData>
    <row r="1" spans="1:14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7" t="s">
        <v>542</v>
      </c>
    </row>
    <row r="2" spans="1:14" ht="15">
      <c r="A2" s="623">
        <v>45057</v>
      </c>
      <c r="B2" s="623" t="s">
        <v>5012</v>
      </c>
      <c r="C2" s="623" t="s">
        <v>5010</v>
      </c>
      <c r="D2" s="624" t="s">
        <v>5059</v>
      </c>
      <c r="E2" s="605">
        <v>1137.93</v>
      </c>
      <c r="F2" s="732">
        <v>238.97</v>
      </c>
      <c r="G2" s="605">
        <v>1376.89</v>
      </c>
      <c r="H2" s="1358">
        <v>45117</v>
      </c>
      <c r="I2" s="639"/>
      <c r="J2" s="1394"/>
      <c r="K2" s="226"/>
      <c r="L2" s="166"/>
      <c r="M2"/>
      <c r="N2"/>
    </row>
    <row r="3" spans="1:14" ht="15">
      <c r="A3" s="623"/>
      <c r="B3" s="623"/>
      <c r="C3" s="623"/>
      <c r="D3" s="624"/>
      <c r="E3" s="605"/>
      <c r="F3" s="732"/>
      <c r="G3" s="605"/>
      <c r="H3" s="623"/>
      <c r="I3" s="639"/>
      <c r="J3" s="1394"/>
      <c r="K3" s="226"/>
      <c r="L3" s="226"/>
      <c r="M3"/>
      <c r="N3"/>
    </row>
    <row r="4" spans="1:14" ht="15">
      <c r="A4" s="623"/>
      <c r="B4" s="623"/>
      <c r="C4" s="623"/>
      <c r="D4" s="624"/>
      <c r="E4" s="605"/>
      <c r="F4" s="732"/>
      <c r="G4" s="605"/>
      <c r="H4" s="623"/>
      <c r="I4" s="639"/>
      <c r="J4" s="1394"/>
      <c r="K4" s="226"/>
      <c r="L4" s="226"/>
      <c r="M4"/>
      <c r="N4"/>
    </row>
    <row r="5" spans="1:14" ht="15">
      <c r="A5" s="623"/>
      <c r="B5" s="623"/>
      <c r="C5" s="623"/>
      <c r="D5" s="624"/>
      <c r="E5" s="605"/>
      <c r="F5" s="732"/>
      <c r="G5" s="605"/>
      <c r="H5" s="623"/>
      <c r="I5" s="639"/>
      <c r="J5" s="1394"/>
      <c r="K5" s="226"/>
      <c r="L5" s="226"/>
    </row>
    <row r="6" spans="1:14" ht="15">
      <c r="A6" s="623"/>
      <c r="B6" s="623"/>
      <c r="C6" s="623"/>
      <c r="D6" s="624"/>
      <c r="E6" s="605"/>
      <c r="F6" s="732"/>
      <c r="G6" s="605"/>
      <c r="H6" s="623"/>
      <c r="I6" s="639"/>
      <c r="J6" s="1394"/>
      <c r="K6" s="226"/>
      <c r="L6" s="226"/>
    </row>
    <row r="7" spans="1:14" ht="15">
      <c r="A7" s="623"/>
      <c r="B7" s="623"/>
      <c r="C7" s="623"/>
      <c r="D7" s="624"/>
      <c r="E7" s="605"/>
      <c r="F7" s="732"/>
      <c r="G7" s="605"/>
      <c r="H7" s="623"/>
      <c r="I7" s="639"/>
      <c r="J7" s="1394"/>
      <c r="K7" s="226"/>
      <c r="L7" s="226"/>
    </row>
    <row r="8" spans="1:14" ht="15">
      <c r="A8" s="623"/>
      <c r="B8" s="623"/>
      <c r="C8" s="623"/>
      <c r="D8" s="624"/>
      <c r="E8" s="605"/>
      <c r="F8" s="732"/>
      <c r="G8" s="605"/>
      <c r="H8" s="623"/>
      <c r="I8" s="639"/>
      <c r="J8" s="1394"/>
      <c r="K8" s="226"/>
      <c r="L8" s="226"/>
    </row>
    <row r="9" spans="1:14" ht="15">
      <c r="A9" s="623"/>
      <c r="B9" s="623"/>
      <c r="C9" s="623"/>
      <c r="D9" s="624"/>
      <c r="E9" s="605"/>
      <c r="F9" s="732"/>
      <c r="G9" s="605"/>
      <c r="H9" s="623"/>
      <c r="I9" s="639"/>
      <c r="J9" s="1394"/>
      <c r="K9" s="226"/>
      <c r="L9" s="226"/>
    </row>
    <row r="10" spans="1:14" ht="15">
      <c r="A10" s="623"/>
      <c r="B10" s="623"/>
      <c r="C10" s="623"/>
      <c r="D10" s="624"/>
      <c r="E10" s="605"/>
      <c r="F10" s="732"/>
      <c r="G10" s="605"/>
      <c r="H10" s="623"/>
      <c r="I10" s="639"/>
      <c r="J10" s="1394"/>
      <c r="K10" s="226"/>
      <c r="L10" s="226"/>
    </row>
    <row r="11" spans="1:14" ht="15">
      <c r="A11" s="623"/>
      <c r="B11" s="623"/>
      <c r="C11" s="623"/>
      <c r="D11" s="624"/>
      <c r="E11" s="605"/>
      <c r="F11" s="732"/>
      <c r="G11" s="605"/>
      <c r="H11" s="623"/>
      <c r="I11" s="639"/>
      <c r="J11" s="1394"/>
      <c r="K11" s="226"/>
      <c r="L11" s="226"/>
    </row>
    <row r="12" spans="1:14" ht="15">
      <c r="A12" s="623"/>
      <c r="B12" s="623"/>
      <c r="C12" s="623"/>
      <c r="D12" s="624"/>
      <c r="E12" s="605"/>
      <c r="F12" s="732"/>
      <c r="G12" s="605"/>
      <c r="H12" s="623"/>
      <c r="I12" s="639"/>
      <c r="J12" s="1394"/>
      <c r="K12" s="226"/>
      <c r="L12" s="226"/>
    </row>
    <row r="13" spans="1:14" ht="15">
      <c r="A13" s="1394"/>
      <c r="B13" s="1394"/>
      <c r="C13" s="1394"/>
      <c r="D13" s="1395"/>
      <c r="E13" s="605"/>
      <c r="F13" s="732"/>
      <c r="G13" s="639"/>
      <c r="H13" s="1394"/>
      <c r="I13" s="639"/>
      <c r="J13" s="1394"/>
      <c r="K13" s="226"/>
      <c r="L13" s="226"/>
    </row>
    <row r="14" spans="1:14" ht="15">
      <c r="A14" s="1394"/>
      <c r="B14" s="1394"/>
      <c r="C14" s="1394"/>
      <c r="D14" s="1395"/>
      <c r="E14" s="605"/>
      <c r="F14" s="732"/>
      <c r="G14" s="639"/>
      <c r="H14" s="1394"/>
      <c r="I14" s="639"/>
      <c r="J14" s="1394"/>
      <c r="K14" s="226"/>
      <c r="L14" s="226"/>
    </row>
    <row r="15" spans="1:14" ht="15">
      <c r="A15" s="1395"/>
      <c r="B15" s="1395"/>
      <c r="C15" s="1395"/>
      <c r="D15" s="619"/>
      <c r="E15" s="619"/>
      <c r="F15" s="1144" t="s">
        <v>545</v>
      </c>
      <c r="G15" s="651">
        <f>SUM(G2:G14)-SUM(I2:I14)</f>
        <v>1376.89</v>
      </c>
      <c r="H15" s="634"/>
      <c r="I15" s="639"/>
      <c r="J15" s="1394"/>
      <c r="K15" s="226"/>
      <c r="L15" s="226"/>
    </row>
  </sheetData>
  <phoneticPr fontId="15" type="noConversion"/>
  <hyperlinks>
    <hyperlink ref="F15" location="汇总!A1" display="剩余欠款"/>
  </hyperlinks>
  <pageMargins left="0.7" right="0.7" top="0.75" bottom="0.75" header="0.3" footer="0.3"/>
  <pageSetup paperSize="9"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pane ySplit="1" topLeftCell="A2" activePane="bottomLeft" state="frozen"/>
      <selection pane="bottomLeft" activeCell="F15" sqref="F15"/>
    </sheetView>
  </sheetViews>
  <sheetFormatPr defaultColWidth="8.75" defaultRowHeight="14.25"/>
  <cols>
    <col min="1" max="1" width="13" style="168" customWidth="1"/>
    <col min="2" max="2" width="13.875" style="168" bestFit="1" customWidth="1"/>
    <col min="3" max="3" width="29.375" style="168" bestFit="1" customWidth="1"/>
    <col min="4" max="5" width="15" style="168" customWidth="1"/>
    <col min="6" max="6" width="13.375" style="527" customWidth="1"/>
    <col min="7" max="7" width="11.375" style="168" bestFit="1" customWidth="1"/>
    <col min="8" max="8" width="16.625" style="168" bestFit="1" customWidth="1"/>
    <col min="9" max="9" width="12.875" style="168" customWidth="1"/>
    <col min="10" max="10" width="11.625" style="168" bestFit="1" customWidth="1"/>
    <col min="11" max="11" width="11.375" style="168" bestFit="1" customWidth="1"/>
    <col min="12" max="12" width="25" style="168" bestFit="1" customWidth="1"/>
    <col min="13" max="13" width="13.875" style="168" bestFit="1" customWidth="1"/>
    <col min="14" max="16384" width="8.75" style="168"/>
  </cols>
  <sheetData>
    <row r="1" spans="1:14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7" t="s">
        <v>542</v>
      </c>
    </row>
    <row r="2" spans="1:14" ht="15">
      <c r="A2" s="623">
        <v>45063</v>
      </c>
      <c r="B2" s="623" t="s">
        <v>5012</v>
      </c>
      <c r="C2" s="623" t="s">
        <v>5011</v>
      </c>
      <c r="D2" s="624" t="s">
        <v>5060</v>
      </c>
      <c r="E2" s="605">
        <v>565.42999999999995</v>
      </c>
      <c r="F2" s="732">
        <v>118.74</v>
      </c>
      <c r="G2" s="605">
        <v>684.17</v>
      </c>
      <c r="H2" s="1358">
        <v>45123</v>
      </c>
      <c r="I2" s="639"/>
      <c r="J2" s="1394"/>
      <c r="K2" s="226"/>
      <c r="L2" s="166"/>
      <c r="M2"/>
      <c r="N2"/>
    </row>
    <row r="3" spans="1:14" ht="15">
      <c r="A3" s="623"/>
      <c r="B3" s="623"/>
      <c r="C3" s="623"/>
      <c r="D3" s="624"/>
      <c r="E3" s="605"/>
      <c r="F3" s="732"/>
      <c r="G3" s="605"/>
      <c r="H3" s="623"/>
      <c r="I3" s="639"/>
      <c r="J3" s="1394"/>
      <c r="K3" s="226"/>
      <c r="L3" s="226"/>
      <c r="M3"/>
      <c r="N3"/>
    </row>
    <row r="4" spans="1:14" ht="15">
      <c r="A4" s="623"/>
      <c r="B4" s="623"/>
      <c r="C4" s="623"/>
      <c r="D4" s="624"/>
      <c r="E4" s="605"/>
      <c r="F4" s="732"/>
      <c r="G4" s="605"/>
      <c r="H4" s="623"/>
      <c r="I4" s="639"/>
      <c r="J4" s="1394"/>
      <c r="K4" s="226"/>
      <c r="L4" s="226"/>
      <c r="M4"/>
      <c r="N4"/>
    </row>
    <row r="5" spans="1:14" ht="15">
      <c r="A5" s="623"/>
      <c r="B5" s="623"/>
      <c r="C5" s="623"/>
      <c r="D5" s="624"/>
      <c r="E5" s="605"/>
      <c r="F5" s="732"/>
      <c r="G5" s="605"/>
      <c r="H5" s="623"/>
      <c r="I5" s="639"/>
      <c r="J5" s="1394"/>
      <c r="K5" s="226"/>
      <c r="L5" s="226"/>
    </row>
    <row r="6" spans="1:14" ht="15">
      <c r="A6" s="623"/>
      <c r="B6" s="623"/>
      <c r="C6" s="623"/>
      <c r="D6" s="624"/>
      <c r="E6" s="605"/>
      <c r="F6" s="732"/>
      <c r="G6" s="605"/>
      <c r="H6" s="623"/>
      <c r="I6" s="639"/>
      <c r="J6" s="1394"/>
      <c r="K6" s="226"/>
      <c r="L6" s="226"/>
    </row>
    <row r="7" spans="1:14" ht="15">
      <c r="A7" s="623"/>
      <c r="B7" s="623"/>
      <c r="C7" s="623"/>
      <c r="D7" s="624"/>
      <c r="E7" s="605"/>
      <c r="F7" s="732"/>
      <c r="G7" s="605"/>
      <c r="H7" s="623"/>
      <c r="I7" s="639"/>
      <c r="J7" s="1394"/>
      <c r="K7" s="226"/>
      <c r="L7" s="226"/>
    </row>
    <row r="8" spans="1:14" ht="15">
      <c r="A8" s="623"/>
      <c r="B8" s="623"/>
      <c r="C8" s="623"/>
      <c r="D8" s="624"/>
      <c r="E8" s="605"/>
      <c r="F8" s="732"/>
      <c r="G8" s="605"/>
      <c r="H8" s="623"/>
      <c r="I8" s="639"/>
      <c r="J8" s="1394"/>
      <c r="K8" s="226"/>
      <c r="L8" s="226"/>
    </row>
    <row r="9" spans="1:14" ht="15">
      <c r="A9" s="623"/>
      <c r="B9" s="623"/>
      <c r="C9" s="623"/>
      <c r="D9" s="624"/>
      <c r="E9" s="605"/>
      <c r="F9" s="732"/>
      <c r="G9" s="605"/>
      <c r="H9" s="623"/>
      <c r="I9" s="639"/>
      <c r="J9" s="1394"/>
      <c r="K9" s="226"/>
      <c r="L9" s="226"/>
    </row>
    <row r="10" spans="1:14" ht="15">
      <c r="A10" s="623"/>
      <c r="B10" s="623"/>
      <c r="C10" s="623"/>
      <c r="D10" s="624"/>
      <c r="E10" s="605"/>
      <c r="F10" s="732"/>
      <c r="G10" s="605"/>
      <c r="H10" s="623"/>
      <c r="I10" s="639"/>
      <c r="J10" s="1394"/>
      <c r="K10" s="226"/>
      <c r="L10" s="226"/>
    </row>
    <row r="11" spans="1:14" ht="15">
      <c r="A11" s="623"/>
      <c r="B11" s="623"/>
      <c r="C11" s="623"/>
      <c r="D11" s="624"/>
      <c r="E11" s="605"/>
      <c r="F11" s="732"/>
      <c r="G11" s="605"/>
      <c r="H11" s="623"/>
      <c r="I11" s="639"/>
      <c r="J11" s="1394"/>
      <c r="K11" s="226"/>
      <c r="L11" s="226"/>
    </row>
    <row r="12" spans="1:14" ht="15">
      <c r="A12" s="623"/>
      <c r="B12" s="623"/>
      <c r="C12" s="623"/>
      <c r="D12" s="624"/>
      <c r="E12" s="605"/>
      <c r="F12" s="732"/>
      <c r="G12" s="605"/>
      <c r="H12" s="623"/>
      <c r="I12" s="639"/>
      <c r="J12" s="1394"/>
      <c r="K12" s="226"/>
      <c r="L12" s="226"/>
    </row>
    <row r="13" spans="1:14" ht="15">
      <c r="A13" s="1394"/>
      <c r="B13" s="1394"/>
      <c r="C13" s="1394"/>
      <c r="D13" s="1395"/>
      <c r="E13" s="605"/>
      <c r="F13" s="732"/>
      <c r="G13" s="639"/>
      <c r="H13" s="1394"/>
      <c r="I13" s="639"/>
      <c r="J13" s="1394"/>
      <c r="K13" s="226"/>
      <c r="L13" s="226"/>
    </row>
    <row r="14" spans="1:14" ht="15">
      <c r="A14" s="1394"/>
      <c r="B14" s="1394"/>
      <c r="C14" s="1394"/>
      <c r="D14" s="1395"/>
      <c r="E14" s="605"/>
      <c r="F14" s="732"/>
      <c r="G14" s="639"/>
      <c r="H14" s="1394"/>
      <c r="I14" s="639"/>
      <c r="J14" s="1394"/>
      <c r="K14" s="226"/>
      <c r="L14" s="226"/>
    </row>
    <row r="15" spans="1:14" ht="15">
      <c r="A15" s="1395"/>
      <c r="B15" s="1395"/>
      <c r="C15" s="1395"/>
      <c r="D15" s="619"/>
      <c r="E15" s="619"/>
      <c r="F15" s="1144" t="s">
        <v>545</v>
      </c>
      <c r="G15" s="651">
        <f>SUM(G2:G14)-SUM(I2:I14)</f>
        <v>684.17</v>
      </c>
      <c r="H15" s="634"/>
      <c r="I15" s="639"/>
      <c r="J15" s="1394"/>
      <c r="K15" s="226"/>
      <c r="L15" s="226"/>
    </row>
  </sheetData>
  <phoneticPr fontId="15" type="noConversion"/>
  <hyperlinks>
    <hyperlink ref="F15" location="汇总!A1" display="剩余欠款"/>
  </hyperlinks>
  <pageMargins left="0.7" right="0.7" top="0.75" bottom="0.75" header="0.3" footer="0.3"/>
  <pageSetup paperSize="9"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pane ySplit="1" topLeftCell="A2" activePane="bottomLeft" state="frozen"/>
      <selection pane="bottomLeft" activeCell="F15" sqref="F15"/>
    </sheetView>
  </sheetViews>
  <sheetFormatPr defaultColWidth="8.75" defaultRowHeight="14.25"/>
  <cols>
    <col min="1" max="1" width="13" style="168" customWidth="1"/>
    <col min="2" max="2" width="13.875" style="168" bestFit="1" customWidth="1"/>
    <col min="3" max="3" width="29.375" style="168" bestFit="1" customWidth="1"/>
    <col min="4" max="5" width="15" style="168" customWidth="1"/>
    <col min="6" max="6" width="13.375" style="527" customWidth="1"/>
    <col min="7" max="7" width="11.375" style="168" bestFit="1" customWidth="1"/>
    <col min="8" max="8" width="16.625" style="168" bestFit="1" customWidth="1"/>
    <col min="9" max="9" width="12.875" style="168" customWidth="1"/>
    <col min="10" max="10" width="11.625" style="168" bestFit="1" customWidth="1"/>
    <col min="11" max="11" width="11.375" style="168" bestFit="1" customWidth="1"/>
    <col min="12" max="12" width="25" style="168" bestFit="1" customWidth="1"/>
    <col min="13" max="13" width="13.875" style="168" bestFit="1" customWidth="1"/>
    <col min="14" max="16384" width="8.75" style="168"/>
  </cols>
  <sheetData>
    <row r="1" spans="1:14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7" t="s">
        <v>542</v>
      </c>
    </row>
    <row r="2" spans="1:14" ht="15">
      <c r="A2" s="623"/>
      <c r="B2" s="623"/>
      <c r="C2" s="623"/>
      <c r="D2" s="624"/>
      <c r="E2" s="605"/>
      <c r="F2" s="732"/>
      <c r="G2" s="605"/>
      <c r="H2" s="1358"/>
      <c r="I2" s="639"/>
      <c r="J2" s="1394"/>
      <c r="K2" s="226"/>
      <c r="L2" s="166"/>
      <c r="M2"/>
      <c r="N2"/>
    </row>
    <row r="3" spans="1:14" ht="15">
      <c r="A3" s="623"/>
      <c r="B3" s="623"/>
      <c r="C3" s="623"/>
      <c r="D3" s="624"/>
      <c r="E3" s="605"/>
      <c r="F3" s="732"/>
      <c r="G3" s="605"/>
      <c r="H3" s="623"/>
      <c r="I3" s="639"/>
      <c r="J3" s="1394"/>
      <c r="K3" s="226"/>
      <c r="L3" s="226"/>
      <c r="M3"/>
      <c r="N3"/>
    </row>
    <row r="4" spans="1:14" ht="15">
      <c r="A4" s="623"/>
      <c r="B4" s="623"/>
      <c r="C4" s="623"/>
      <c r="D4" s="624"/>
      <c r="E4" s="605"/>
      <c r="F4" s="732"/>
      <c r="G4" s="605"/>
      <c r="H4" s="623"/>
      <c r="I4" s="639"/>
      <c r="J4" s="1394"/>
      <c r="K4" s="226"/>
      <c r="L4" s="226"/>
      <c r="M4"/>
      <c r="N4"/>
    </row>
    <row r="5" spans="1:14" ht="15">
      <c r="A5" s="623"/>
      <c r="B5" s="623"/>
      <c r="C5" s="623"/>
      <c r="D5" s="624"/>
      <c r="E5" s="605"/>
      <c r="F5" s="732"/>
      <c r="G5" s="605"/>
      <c r="H5" s="623"/>
      <c r="I5" s="639"/>
      <c r="J5" s="1394"/>
      <c r="K5" s="226"/>
      <c r="L5" s="226"/>
    </row>
    <row r="6" spans="1:14" ht="15">
      <c r="A6" s="623"/>
      <c r="B6" s="623"/>
      <c r="C6" s="623"/>
      <c r="D6" s="624"/>
      <c r="E6" s="605"/>
      <c r="F6" s="732"/>
      <c r="G6" s="605"/>
      <c r="H6" s="623"/>
      <c r="I6" s="639"/>
      <c r="J6" s="1394"/>
      <c r="K6" s="226"/>
      <c r="L6" s="226"/>
    </row>
    <row r="7" spans="1:14" ht="15">
      <c r="A7" s="623"/>
      <c r="B7" s="623"/>
      <c r="C7" s="623"/>
      <c r="D7" s="624"/>
      <c r="E7" s="605"/>
      <c r="F7" s="732"/>
      <c r="G7" s="605"/>
      <c r="H7" s="623"/>
      <c r="I7" s="639"/>
      <c r="J7" s="1394"/>
      <c r="K7" s="226"/>
      <c r="L7" s="226"/>
    </row>
    <row r="8" spans="1:14" ht="15">
      <c r="A8" s="623"/>
      <c r="B8" s="623"/>
      <c r="C8" s="623"/>
      <c r="D8" s="624"/>
      <c r="E8" s="605"/>
      <c r="F8" s="732"/>
      <c r="G8" s="605"/>
      <c r="H8" s="623"/>
      <c r="I8" s="639"/>
      <c r="J8" s="1394"/>
      <c r="K8" s="226"/>
      <c r="L8" s="226"/>
    </row>
    <row r="9" spans="1:14" ht="15">
      <c r="A9" s="623"/>
      <c r="B9" s="623"/>
      <c r="C9" s="623"/>
      <c r="D9" s="624"/>
      <c r="E9" s="605"/>
      <c r="F9" s="732"/>
      <c r="G9" s="605"/>
      <c r="H9" s="623"/>
      <c r="I9" s="639"/>
      <c r="J9" s="1394"/>
      <c r="K9" s="226"/>
      <c r="L9" s="226"/>
    </row>
    <row r="10" spans="1:14" ht="15">
      <c r="A10" s="623"/>
      <c r="B10" s="623"/>
      <c r="C10" s="623"/>
      <c r="D10" s="624"/>
      <c r="E10" s="605"/>
      <c r="F10" s="732"/>
      <c r="G10" s="605"/>
      <c r="H10" s="623"/>
      <c r="I10" s="639"/>
      <c r="J10" s="1394"/>
      <c r="K10" s="226"/>
      <c r="L10" s="226"/>
    </row>
    <row r="11" spans="1:14" ht="15">
      <c r="A11" s="623"/>
      <c r="B11" s="623"/>
      <c r="C11" s="623"/>
      <c r="D11" s="624"/>
      <c r="E11" s="605"/>
      <c r="F11" s="732"/>
      <c r="G11" s="605"/>
      <c r="H11" s="623"/>
      <c r="I11" s="639"/>
      <c r="J11" s="1394"/>
      <c r="K11" s="226"/>
      <c r="L11" s="226"/>
    </row>
    <row r="12" spans="1:14" ht="15">
      <c r="A12" s="623"/>
      <c r="B12" s="623"/>
      <c r="C12" s="623"/>
      <c r="D12" s="624"/>
      <c r="E12" s="605"/>
      <c r="F12" s="732"/>
      <c r="G12" s="605"/>
      <c r="H12" s="623"/>
      <c r="I12" s="639"/>
      <c r="J12" s="1394"/>
      <c r="K12" s="226"/>
      <c r="L12" s="226"/>
    </row>
    <row r="13" spans="1:14" ht="15">
      <c r="A13" s="1394"/>
      <c r="B13" s="1394"/>
      <c r="C13" s="1394"/>
      <c r="D13" s="1395"/>
      <c r="E13" s="605"/>
      <c r="F13" s="732"/>
      <c r="G13" s="639"/>
      <c r="H13" s="1394"/>
      <c r="I13" s="639"/>
      <c r="J13" s="1394"/>
      <c r="K13" s="226"/>
      <c r="L13" s="226"/>
    </row>
    <row r="14" spans="1:14" ht="15">
      <c r="A14" s="1394"/>
      <c r="B14" s="1394"/>
      <c r="C14" s="1394"/>
      <c r="D14" s="1395"/>
      <c r="E14" s="605"/>
      <c r="F14" s="732"/>
      <c r="G14" s="639"/>
      <c r="H14" s="1394"/>
      <c r="I14" s="639"/>
      <c r="J14" s="1394"/>
      <c r="K14" s="226"/>
      <c r="L14" s="226"/>
    </row>
    <row r="15" spans="1:14" ht="15">
      <c r="A15" s="1395"/>
      <c r="B15" s="1395"/>
      <c r="C15" s="1395"/>
      <c r="D15" s="619"/>
      <c r="E15" s="619"/>
      <c r="F15" s="1144" t="s">
        <v>545</v>
      </c>
      <c r="G15" s="651">
        <f>SUM(G2:G14)-SUM(I2:I14)</f>
        <v>0</v>
      </c>
      <c r="H15" s="634"/>
      <c r="I15" s="639"/>
      <c r="J15" s="1394"/>
      <c r="K15" s="226"/>
      <c r="L15" s="226"/>
    </row>
  </sheetData>
  <phoneticPr fontId="15" type="noConversion"/>
  <hyperlinks>
    <hyperlink ref="F15" location="汇总!A1" display="剩余欠款"/>
  </hyperlinks>
  <pageMargins left="0.7" right="0.7" top="0.75" bottom="0.75" header="0.3" footer="0.3"/>
  <pageSetup paperSize="9"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pane ySplit="1" topLeftCell="A5" activePane="bottomLeft" state="frozen"/>
      <selection pane="bottomLeft" activeCell="F34" sqref="F34"/>
    </sheetView>
  </sheetViews>
  <sheetFormatPr defaultColWidth="8.75" defaultRowHeight="14.25"/>
  <cols>
    <col min="1" max="1" width="13" style="168" customWidth="1"/>
    <col min="2" max="2" width="13.875" style="168" bestFit="1" customWidth="1"/>
    <col min="3" max="3" width="29.375" style="168" bestFit="1" customWidth="1"/>
    <col min="4" max="5" width="15" style="168" customWidth="1"/>
    <col min="6" max="6" width="13.375" style="527" customWidth="1"/>
    <col min="7" max="7" width="11.375" style="168" bestFit="1" customWidth="1"/>
    <col min="8" max="8" width="16.625" style="168" bestFit="1" customWidth="1"/>
    <col min="9" max="9" width="12.875" style="168" customWidth="1"/>
    <col min="10" max="10" width="11.625" style="168" bestFit="1" customWidth="1"/>
    <col min="11" max="11" width="13.875" style="168" bestFit="1" customWidth="1"/>
    <col min="12" max="12" width="58.375" style="168" customWidth="1"/>
    <col min="13" max="13" width="13.875" style="168" bestFit="1" customWidth="1"/>
    <col min="14" max="16384" width="8.75" style="168"/>
  </cols>
  <sheetData>
    <row r="1" spans="1:14" customFormat="1" ht="18.75">
      <c r="A1" s="255" t="s">
        <v>5969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7" t="s">
        <v>542</v>
      </c>
    </row>
    <row r="2" spans="1:14" ht="15">
      <c r="A2" s="1903">
        <v>45061</v>
      </c>
      <c r="B2" s="2392" t="s">
        <v>2644</v>
      </c>
      <c r="C2" s="1903" t="s">
        <v>6393</v>
      </c>
      <c r="D2" s="1909" t="s">
        <v>5141</v>
      </c>
      <c r="E2" s="1951">
        <v>8589.0750000000007</v>
      </c>
      <c r="F2" s="1933">
        <v>0</v>
      </c>
      <c r="G2" s="611">
        <v>2369.7800000000002</v>
      </c>
      <c r="H2" s="1315">
        <v>45121</v>
      </c>
      <c r="I2" s="611">
        <v>2369.7800000000002</v>
      </c>
      <c r="J2" s="1785">
        <v>45105</v>
      </c>
      <c r="K2" s="1783" t="s">
        <v>544</v>
      </c>
      <c r="L2" s="166"/>
      <c r="M2"/>
      <c r="N2"/>
    </row>
    <row r="3" spans="1:14" ht="15">
      <c r="A3" s="1904"/>
      <c r="B3" s="2393"/>
      <c r="C3" s="1904"/>
      <c r="D3" s="1910"/>
      <c r="E3" s="1952"/>
      <c r="F3" s="2134"/>
      <c r="G3" s="611">
        <v>2359.96</v>
      </c>
      <c r="H3" s="1315">
        <v>45121</v>
      </c>
      <c r="I3" s="611">
        <v>2359.96</v>
      </c>
      <c r="J3" s="1785">
        <v>45127</v>
      </c>
      <c r="K3" s="1783" t="s">
        <v>544</v>
      </c>
      <c r="L3" s="166"/>
      <c r="M3"/>
      <c r="N3"/>
    </row>
    <row r="4" spans="1:14" ht="15">
      <c r="A4" s="1904"/>
      <c r="B4" s="2393"/>
      <c r="C4" s="1904"/>
      <c r="D4" s="1910"/>
      <c r="E4" s="1952"/>
      <c r="F4" s="2134"/>
      <c r="G4" s="611">
        <v>3500</v>
      </c>
      <c r="H4" s="1315">
        <v>45121</v>
      </c>
      <c r="I4" s="611">
        <v>3500</v>
      </c>
      <c r="J4" s="1785">
        <v>45128</v>
      </c>
      <c r="K4" s="1783" t="s">
        <v>5970</v>
      </c>
      <c r="L4" s="166"/>
      <c r="M4"/>
      <c r="N4"/>
    </row>
    <row r="5" spans="1:14" ht="15">
      <c r="A5" s="1905"/>
      <c r="B5" s="2394"/>
      <c r="C5" s="1905"/>
      <c r="D5" s="1911"/>
      <c r="E5" s="1953"/>
      <c r="F5" s="1934"/>
      <c r="G5" s="611">
        <f>8589.08-2369.78-2359.96-3500</f>
        <v>359.33999999999924</v>
      </c>
      <c r="H5" s="1315">
        <v>45121</v>
      </c>
      <c r="I5" s="1951">
        <v>4000</v>
      </c>
      <c r="J5" s="1903">
        <v>45166</v>
      </c>
      <c r="K5" s="1935" t="s">
        <v>5607</v>
      </c>
      <c r="L5" s="166"/>
      <c r="M5"/>
      <c r="N5"/>
    </row>
    <row r="6" spans="1:14" ht="15">
      <c r="A6" s="1785">
        <v>45077</v>
      </c>
      <c r="B6" s="1785" t="s">
        <v>2644</v>
      </c>
      <c r="C6" s="1785" t="s">
        <v>5279</v>
      </c>
      <c r="D6" s="1788" t="s">
        <v>5280</v>
      </c>
      <c r="E6" s="611">
        <v>1270.69</v>
      </c>
      <c r="F6" s="731">
        <v>0</v>
      </c>
      <c r="G6" s="611">
        <v>1270.69</v>
      </c>
      <c r="H6" s="1785">
        <v>45137</v>
      </c>
      <c r="I6" s="1952"/>
      <c r="J6" s="1904"/>
      <c r="K6" s="1950"/>
      <c r="L6" s="226"/>
      <c r="M6"/>
      <c r="N6"/>
    </row>
    <row r="7" spans="1:14" ht="28.5">
      <c r="A7" s="1785">
        <v>45093</v>
      </c>
      <c r="B7" s="1785" t="s">
        <v>2644</v>
      </c>
      <c r="C7" s="1785" t="s">
        <v>5279</v>
      </c>
      <c r="D7" s="1788" t="s">
        <v>5389</v>
      </c>
      <c r="E7" s="611">
        <v>-135.63</v>
      </c>
      <c r="F7" s="731">
        <v>0</v>
      </c>
      <c r="G7" s="611">
        <v>-135.63</v>
      </c>
      <c r="H7" s="1785">
        <v>45094</v>
      </c>
      <c r="I7" s="1952"/>
      <c r="J7" s="1904"/>
      <c r="K7" s="1950"/>
      <c r="L7" s="366" t="s">
        <v>5390</v>
      </c>
      <c r="M7"/>
      <c r="N7"/>
    </row>
    <row r="8" spans="1:14" ht="15">
      <c r="A8" s="1785">
        <v>45096</v>
      </c>
      <c r="B8" s="1785" t="s">
        <v>2644</v>
      </c>
      <c r="C8" s="1785" t="s">
        <v>5279</v>
      </c>
      <c r="D8" s="1788" t="s">
        <v>5430</v>
      </c>
      <c r="E8" s="611">
        <v>426.38</v>
      </c>
      <c r="F8" s="731">
        <v>0</v>
      </c>
      <c r="G8" s="611">
        <v>426.38</v>
      </c>
      <c r="H8" s="1785">
        <v>45156</v>
      </c>
      <c r="I8" s="1952"/>
      <c r="J8" s="1904"/>
      <c r="K8" s="1950"/>
      <c r="L8" s="226"/>
    </row>
    <row r="9" spans="1:14" ht="15">
      <c r="A9" s="1903">
        <v>45096</v>
      </c>
      <c r="B9" s="1903" t="s">
        <v>2644</v>
      </c>
      <c r="C9" s="1903" t="s">
        <v>5279</v>
      </c>
      <c r="D9" s="1909" t="s">
        <v>5431</v>
      </c>
      <c r="E9" s="1951">
        <v>2439.11</v>
      </c>
      <c r="F9" s="1933">
        <v>0</v>
      </c>
      <c r="G9" s="1779">
        <v>2079.2199999999998</v>
      </c>
      <c r="H9" s="1785">
        <v>45156</v>
      </c>
      <c r="I9" s="1953"/>
      <c r="J9" s="1905"/>
      <c r="K9" s="1947"/>
      <c r="L9" s="226"/>
    </row>
    <row r="10" spans="1:14" ht="15">
      <c r="A10" s="1905"/>
      <c r="B10" s="1905"/>
      <c r="C10" s="1905"/>
      <c r="D10" s="1911"/>
      <c r="E10" s="1953"/>
      <c r="F10" s="1934"/>
      <c r="G10" s="1779">
        <f>2439.11-2079.22</f>
        <v>359.89000000000033</v>
      </c>
      <c r="H10" s="1785">
        <v>45156</v>
      </c>
      <c r="I10" s="1951">
        <v>3000</v>
      </c>
      <c r="J10" s="1903">
        <v>45194</v>
      </c>
      <c r="K10" s="1935" t="s">
        <v>6394</v>
      </c>
      <c r="L10" s="226"/>
    </row>
    <row r="11" spans="1:14" ht="15">
      <c r="A11" s="1785">
        <v>45099</v>
      </c>
      <c r="B11" s="1785" t="s">
        <v>2644</v>
      </c>
      <c r="C11" s="1785" t="s">
        <v>5279</v>
      </c>
      <c r="D11" s="1788" t="s">
        <v>5432</v>
      </c>
      <c r="E11" s="611">
        <v>1279.1300000000001</v>
      </c>
      <c r="F11" s="731">
        <v>0</v>
      </c>
      <c r="G11" s="611">
        <v>1279.1300000000001</v>
      </c>
      <c r="H11" s="1785">
        <v>45159</v>
      </c>
      <c r="I11" s="1952"/>
      <c r="J11" s="1904"/>
      <c r="K11" s="1950"/>
      <c r="L11" s="226"/>
    </row>
    <row r="12" spans="1:14" ht="15">
      <c r="A12" s="1785">
        <v>45099</v>
      </c>
      <c r="B12" s="1785" t="s">
        <v>2644</v>
      </c>
      <c r="C12" s="1785" t="s">
        <v>5279</v>
      </c>
      <c r="D12" s="1788" t="s">
        <v>5433</v>
      </c>
      <c r="E12" s="611">
        <v>244.13</v>
      </c>
      <c r="F12" s="731">
        <v>0</v>
      </c>
      <c r="G12" s="611">
        <v>244.13</v>
      </c>
      <c r="H12" s="1785">
        <v>45159</v>
      </c>
      <c r="I12" s="1952"/>
      <c r="J12" s="1904"/>
      <c r="K12" s="1950"/>
      <c r="L12" s="226"/>
    </row>
    <row r="13" spans="1:14" ht="15">
      <c r="A13" s="1785">
        <v>45099</v>
      </c>
      <c r="B13" s="1785" t="s">
        <v>2644</v>
      </c>
      <c r="C13" s="1785" t="s">
        <v>5279</v>
      </c>
      <c r="D13" s="1788" t="s">
        <v>5434</v>
      </c>
      <c r="E13" s="611">
        <v>521.25</v>
      </c>
      <c r="F13" s="731">
        <v>0</v>
      </c>
      <c r="G13" s="611">
        <v>521.25</v>
      </c>
      <c r="H13" s="1785">
        <v>45159</v>
      </c>
      <c r="I13" s="1952"/>
      <c r="J13" s="1904"/>
      <c r="K13" s="1950"/>
      <c r="L13" s="226"/>
    </row>
    <row r="14" spans="1:14" ht="15">
      <c r="A14" s="1903">
        <v>45124</v>
      </c>
      <c r="B14" s="1903" t="s">
        <v>2644</v>
      </c>
      <c r="C14" s="1903" t="s">
        <v>5279</v>
      </c>
      <c r="D14" s="1909" t="s">
        <v>5649</v>
      </c>
      <c r="E14" s="1951">
        <v>1829.85</v>
      </c>
      <c r="F14" s="1933">
        <v>0</v>
      </c>
      <c r="G14" s="1779">
        <v>595.6</v>
      </c>
      <c r="H14" s="1785">
        <v>45184</v>
      </c>
      <c r="I14" s="1953"/>
      <c r="J14" s="1905"/>
      <c r="K14" s="1947"/>
      <c r="L14" s="226"/>
    </row>
    <row r="15" spans="1:14" ht="15">
      <c r="A15" s="1905"/>
      <c r="B15" s="1905"/>
      <c r="C15" s="1905"/>
      <c r="D15" s="1911"/>
      <c r="E15" s="1953"/>
      <c r="F15" s="1934"/>
      <c r="G15" s="1779">
        <f>1829.85-595.6</f>
        <v>1234.25</v>
      </c>
      <c r="H15" s="1785">
        <v>45184</v>
      </c>
      <c r="I15" s="2023">
        <v>3036.75</v>
      </c>
      <c r="J15" s="1903">
        <v>45217</v>
      </c>
      <c r="K15" s="1935" t="s">
        <v>6395</v>
      </c>
      <c r="L15" s="226"/>
    </row>
    <row r="16" spans="1:14" ht="15">
      <c r="A16" s="1785">
        <v>45128</v>
      </c>
      <c r="B16" s="1785" t="s">
        <v>2644</v>
      </c>
      <c r="C16" s="1785" t="s">
        <v>5279</v>
      </c>
      <c r="D16" s="1788" t="s">
        <v>5650</v>
      </c>
      <c r="E16" s="611">
        <v>1507.5</v>
      </c>
      <c r="F16" s="731">
        <v>0</v>
      </c>
      <c r="G16" s="611">
        <v>1507.5</v>
      </c>
      <c r="H16" s="1785">
        <v>45188</v>
      </c>
      <c r="I16" s="2024"/>
      <c r="J16" s="1904"/>
      <c r="K16" s="1950"/>
      <c r="L16" s="226"/>
    </row>
    <row r="17" spans="1:12" ht="15">
      <c r="A17" s="1941">
        <v>45145</v>
      </c>
      <c r="B17" s="1941" t="s">
        <v>2644</v>
      </c>
      <c r="C17" s="1941" t="s">
        <v>5279</v>
      </c>
      <c r="D17" s="1954" t="s">
        <v>5865</v>
      </c>
      <c r="E17" s="2186">
        <v>2627.25</v>
      </c>
      <c r="F17" s="2184">
        <v>0</v>
      </c>
      <c r="G17" s="1779">
        <v>295</v>
      </c>
      <c r="H17" s="1785">
        <v>45205</v>
      </c>
      <c r="I17" s="2025"/>
      <c r="J17" s="1905"/>
      <c r="K17" s="1947"/>
      <c r="L17" s="226"/>
    </row>
    <row r="18" spans="1:12" ht="15">
      <c r="A18" s="1967"/>
      <c r="B18" s="1967"/>
      <c r="C18" s="1967"/>
      <c r="D18" s="1973"/>
      <c r="E18" s="2391"/>
      <c r="F18" s="2390"/>
      <c r="G18" s="1860">
        <f>2627.25-295-1892</f>
        <v>440.25</v>
      </c>
      <c r="H18" s="623">
        <v>45205</v>
      </c>
      <c r="I18" s="1851"/>
      <c r="J18" s="1846"/>
      <c r="K18" s="1848"/>
      <c r="L18" s="226"/>
    </row>
    <row r="19" spans="1:12" ht="15">
      <c r="A19" s="1942"/>
      <c r="B19" s="1942"/>
      <c r="C19" s="1942"/>
      <c r="D19" s="1955"/>
      <c r="E19" s="2187"/>
      <c r="F19" s="2185"/>
      <c r="G19" s="1849">
        <v>1892</v>
      </c>
      <c r="H19" s="1856">
        <v>45205</v>
      </c>
      <c r="I19" s="1958">
        <v>2000</v>
      </c>
      <c r="J19" s="1918">
        <v>45245</v>
      </c>
      <c r="K19" s="1968" t="s">
        <v>6618</v>
      </c>
      <c r="L19" s="226"/>
    </row>
    <row r="20" spans="1:12" ht="15">
      <c r="A20" s="1856">
        <v>45145</v>
      </c>
      <c r="B20" s="1856" t="s">
        <v>2644</v>
      </c>
      <c r="C20" s="1856" t="s">
        <v>5279</v>
      </c>
      <c r="D20" s="1858" t="s">
        <v>5866</v>
      </c>
      <c r="E20" s="611">
        <v>108</v>
      </c>
      <c r="F20" s="731">
        <v>0</v>
      </c>
      <c r="G20" s="611">
        <v>108</v>
      </c>
      <c r="H20" s="1856">
        <v>45205</v>
      </c>
      <c r="I20" s="1959"/>
      <c r="J20" s="1920"/>
      <c r="K20" s="1957"/>
      <c r="L20" s="226"/>
    </row>
    <row r="21" spans="1:12" ht="15">
      <c r="A21" s="623">
        <v>45166</v>
      </c>
      <c r="B21" s="623" t="s">
        <v>2644</v>
      </c>
      <c r="C21" s="623" t="s">
        <v>5279</v>
      </c>
      <c r="D21" s="624" t="s">
        <v>5954</v>
      </c>
      <c r="E21" s="605">
        <v>3412.8</v>
      </c>
      <c r="F21" s="732">
        <v>0</v>
      </c>
      <c r="G21" s="605">
        <v>3412.8</v>
      </c>
      <c r="H21" s="623">
        <v>45226.000497685185</v>
      </c>
      <c r="I21" s="639"/>
      <c r="J21" s="1546"/>
      <c r="K21" s="1538"/>
      <c r="L21" s="226"/>
    </row>
    <row r="22" spans="1:12" ht="15">
      <c r="A22" s="623">
        <v>45176</v>
      </c>
      <c r="B22" s="623" t="s">
        <v>2644</v>
      </c>
      <c r="C22" s="623" t="s">
        <v>5279</v>
      </c>
      <c r="D22" s="624" t="s">
        <v>6004</v>
      </c>
      <c r="E22" s="605">
        <v>-321.95999999999998</v>
      </c>
      <c r="F22" s="732">
        <v>0</v>
      </c>
      <c r="G22" s="605">
        <v>-321.95999999999998</v>
      </c>
      <c r="H22" s="623">
        <v>45177</v>
      </c>
      <c r="I22" s="639"/>
      <c r="J22" s="1546"/>
      <c r="K22" s="1538"/>
      <c r="L22" s="226" t="s">
        <v>6001</v>
      </c>
    </row>
    <row r="23" spans="1:12" ht="15">
      <c r="A23" s="623">
        <v>45181</v>
      </c>
      <c r="B23" s="623" t="s">
        <v>2644</v>
      </c>
      <c r="C23" s="623" t="s">
        <v>5279</v>
      </c>
      <c r="D23" s="624" t="s">
        <v>6045</v>
      </c>
      <c r="E23" s="605">
        <v>596.25</v>
      </c>
      <c r="F23" s="732">
        <v>0</v>
      </c>
      <c r="G23" s="605">
        <v>596.25</v>
      </c>
      <c r="H23" s="623">
        <v>45240.000497685185</v>
      </c>
      <c r="I23" s="639"/>
      <c r="J23" s="1546"/>
      <c r="K23" s="1538"/>
      <c r="L23" s="226"/>
    </row>
    <row r="24" spans="1:12" ht="15">
      <c r="A24" s="623">
        <v>45183</v>
      </c>
      <c r="B24" s="623" t="s">
        <v>2644</v>
      </c>
      <c r="C24" s="623" t="s">
        <v>5279</v>
      </c>
      <c r="D24" s="624" t="s">
        <v>6046</v>
      </c>
      <c r="E24" s="605">
        <v>600</v>
      </c>
      <c r="F24" s="732">
        <v>0</v>
      </c>
      <c r="G24" s="605">
        <v>600</v>
      </c>
      <c r="H24" s="623">
        <v>45242.000497685185</v>
      </c>
      <c r="I24" s="639"/>
      <c r="J24" s="1546"/>
      <c r="K24" s="1538"/>
      <c r="L24" s="226"/>
    </row>
    <row r="25" spans="1:12" ht="15">
      <c r="A25" s="623">
        <v>45212</v>
      </c>
      <c r="B25" s="623" t="s">
        <v>2644</v>
      </c>
      <c r="C25" s="623" t="s">
        <v>5279</v>
      </c>
      <c r="D25" s="624" t="s">
        <v>6329</v>
      </c>
      <c r="E25" s="605">
        <v>541.5</v>
      </c>
      <c r="F25" s="732">
        <v>0</v>
      </c>
      <c r="G25" s="605">
        <v>541.5</v>
      </c>
      <c r="H25" s="623">
        <v>45271</v>
      </c>
      <c r="I25" s="639"/>
      <c r="J25" s="1546"/>
      <c r="K25" s="1538"/>
      <c r="L25" s="226"/>
    </row>
    <row r="26" spans="1:12" ht="15">
      <c r="A26" s="623">
        <v>45212</v>
      </c>
      <c r="B26" s="623" t="s">
        <v>2644</v>
      </c>
      <c r="C26" s="623" t="s">
        <v>5279</v>
      </c>
      <c r="D26" s="624" t="s">
        <v>6330</v>
      </c>
      <c r="E26" s="605">
        <v>-142.37</v>
      </c>
      <c r="F26" s="732">
        <v>0</v>
      </c>
      <c r="G26" s="605">
        <v>-142.38</v>
      </c>
      <c r="H26" s="623"/>
      <c r="I26" s="639"/>
      <c r="J26" s="1546"/>
      <c r="K26" s="1538"/>
      <c r="L26" s="226"/>
    </row>
    <row r="27" spans="1:12" ht="15">
      <c r="A27" s="623">
        <v>45215.333831018521</v>
      </c>
      <c r="B27" s="623" t="s">
        <v>2644</v>
      </c>
      <c r="C27" s="623" t="s">
        <v>5279</v>
      </c>
      <c r="D27" s="624" t="s">
        <v>6372</v>
      </c>
      <c r="E27" s="605">
        <v>-6.65</v>
      </c>
      <c r="F27" s="732">
        <v>0</v>
      </c>
      <c r="G27" s="605">
        <v>-6.65</v>
      </c>
      <c r="H27" s="623" t="s">
        <v>1529</v>
      </c>
      <c r="I27" s="639"/>
      <c r="J27" s="1546"/>
      <c r="K27" s="1538"/>
      <c r="L27" s="226"/>
    </row>
    <row r="28" spans="1:12" ht="15">
      <c r="A28" s="623">
        <v>45217.333831018521</v>
      </c>
      <c r="B28" s="623" t="s">
        <v>2644</v>
      </c>
      <c r="C28" s="623" t="s">
        <v>5279</v>
      </c>
      <c r="D28" s="624" t="s">
        <v>6373</v>
      </c>
      <c r="E28" s="605">
        <v>667.5</v>
      </c>
      <c r="F28" s="732">
        <v>0</v>
      </c>
      <c r="G28" s="605">
        <v>667.5</v>
      </c>
      <c r="H28" s="623">
        <v>45276.333831018521</v>
      </c>
      <c r="I28" s="639"/>
      <c r="J28" s="1546"/>
      <c r="K28" s="1538"/>
      <c r="L28" s="226"/>
    </row>
    <row r="29" spans="1:12" ht="15">
      <c r="A29" s="623"/>
      <c r="B29" s="623"/>
      <c r="C29" s="623"/>
      <c r="D29" s="624"/>
      <c r="E29" s="605"/>
      <c r="F29" s="732"/>
      <c r="G29" s="605"/>
      <c r="H29" s="623"/>
      <c r="I29" s="639"/>
      <c r="J29" s="1394"/>
      <c r="K29" s="1493"/>
      <c r="L29" s="226"/>
    </row>
    <row r="30" spans="1:12" ht="15">
      <c r="A30" s="623"/>
      <c r="B30" s="623"/>
      <c r="C30" s="623"/>
      <c r="D30" s="624"/>
      <c r="E30" s="605"/>
      <c r="F30" s="732"/>
      <c r="G30" s="605"/>
      <c r="H30" s="623"/>
      <c r="I30" s="639"/>
      <c r="J30" s="1394"/>
      <c r="K30" s="1493"/>
      <c r="L30" s="226"/>
    </row>
    <row r="31" spans="1:12" ht="15">
      <c r="A31" s="623"/>
      <c r="B31" s="623"/>
      <c r="C31" s="623"/>
      <c r="D31" s="624"/>
      <c r="E31" s="605"/>
      <c r="F31" s="732"/>
      <c r="G31" s="605"/>
      <c r="H31" s="623"/>
      <c r="I31" s="639"/>
      <c r="J31" s="1394"/>
      <c r="K31" s="1493"/>
      <c r="L31" s="226"/>
    </row>
    <row r="32" spans="1:12" ht="15">
      <c r="A32" s="1394"/>
      <c r="B32" s="1394"/>
      <c r="C32" s="1394"/>
      <c r="D32" s="1395"/>
      <c r="E32" s="605"/>
      <c r="F32" s="732"/>
      <c r="G32" s="639"/>
      <c r="H32" s="1394"/>
      <c r="I32" s="639"/>
      <c r="J32" s="1394"/>
      <c r="K32" s="1493"/>
      <c r="L32" s="226"/>
    </row>
    <row r="33" spans="1:12" ht="15">
      <c r="A33" s="1394"/>
      <c r="B33" s="1394"/>
      <c r="C33" s="1394"/>
      <c r="D33" s="1395"/>
      <c r="E33" s="605"/>
      <c r="F33" s="732"/>
      <c r="G33" s="639"/>
      <c r="H33" s="1394"/>
      <c r="I33" s="639"/>
      <c r="J33" s="1394"/>
      <c r="K33" s="1493"/>
      <c r="L33" s="226"/>
    </row>
    <row r="34" spans="1:12" ht="15">
      <c r="A34" s="1395"/>
      <c r="B34" s="1395"/>
      <c r="C34" s="1395"/>
      <c r="D34" s="619"/>
      <c r="E34" s="619"/>
      <c r="F34" s="1144" t="s">
        <v>545</v>
      </c>
      <c r="G34" s="651">
        <f>SUM(G2:G33)-SUM(I2:I33)</f>
        <v>5787.3099999999977</v>
      </c>
      <c r="H34" s="634"/>
      <c r="I34" s="639"/>
      <c r="J34" s="1394"/>
      <c r="K34" s="1493"/>
      <c r="L34" s="226"/>
    </row>
    <row r="35" spans="1:12">
      <c r="K35" s="237"/>
    </row>
    <row r="36" spans="1:12">
      <c r="K36" s="237"/>
    </row>
  </sheetData>
  <mergeCells count="36">
    <mergeCell ref="A17:A19"/>
    <mergeCell ref="B17:B19"/>
    <mergeCell ref="C17:C19"/>
    <mergeCell ref="D17:D19"/>
    <mergeCell ref="E17:E19"/>
    <mergeCell ref="F17:F19"/>
    <mergeCell ref="I15:I17"/>
    <mergeCell ref="K15:K17"/>
    <mergeCell ref="J15:J17"/>
    <mergeCell ref="F14:F15"/>
    <mergeCell ref="K10:K14"/>
    <mergeCell ref="J10:J14"/>
    <mergeCell ref="I10:I14"/>
    <mergeCell ref="K19:K20"/>
    <mergeCell ref="J19:J20"/>
    <mergeCell ref="I19:I20"/>
    <mergeCell ref="A14:A15"/>
    <mergeCell ref="B14:B15"/>
    <mergeCell ref="C14:C15"/>
    <mergeCell ref="D14:D15"/>
    <mergeCell ref="E14:E15"/>
    <mergeCell ref="B9:B10"/>
    <mergeCell ref="A9:A10"/>
    <mergeCell ref="K5:K9"/>
    <mergeCell ref="J5:J9"/>
    <mergeCell ref="I5:I9"/>
    <mergeCell ref="F9:F10"/>
    <mergeCell ref="E9:E10"/>
    <mergeCell ref="D9:D10"/>
    <mergeCell ref="C9:C10"/>
    <mergeCell ref="A2:A5"/>
    <mergeCell ref="F2:F5"/>
    <mergeCell ref="E2:E5"/>
    <mergeCell ref="D2:D5"/>
    <mergeCell ref="C2:C5"/>
    <mergeCell ref="B2:B5"/>
  </mergeCells>
  <phoneticPr fontId="15" type="noConversion"/>
  <hyperlinks>
    <hyperlink ref="F34" location="汇总!A1" display="剩余欠款"/>
  </hyperlinks>
  <pageMargins left="0.7" right="0.7" top="0.75" bottom="0.75" header="0.3" footer="0.3"/>
  <pageSetup paperSize="9"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pane ySplit="1" topLeftCell="A2" activePane="bottomLeft" state="frozen"/>
      <selection pane="bottomLeft" activeCell="F16" sqref="F16"/>
    </sheetView>
  </sheetViews>
  <sheetFormatPr defaultColWidth="8.75" defaultRowHeight="14.25"/>
  <cols>
    <col min="1" max="1" width="13" style="168" customWidth="1"/>
    <col min="2" max="2" width="13.875" style="168" bestFit="1" customWidth="1"/>
    <col min="3" max="3" width="19.375" style="168" customWidth="1"/>
    <col min="4" max="5" width="15" style="168" customWidth="1"/>
    <col min="6" max="6" width="13.375" style="527" customWidth="1"/>
    <col min="7" max="7" width="11.375" style="168" bestFit="1" customWidth="1"/>
    <col min="8" max="8" width="16.625" style="168" bestFit="1" customWidth="1"/>
    <col min="9" max="9" width="12.875" style="168" customWidth="1"/>
    <col min="10" max="10" width="11.625" style="168" bestFit="1" customWidth="1"/>
    <col min="11" max="11" width="11.375" style="168" bestFit="1" customWidth="1"/>
    <col min="12" max="12" width="25" style="168" bestFit="1" customWidth="1"/>
    <col min="13" max="13" width="13.875" style="168" bestFit="1" customWidth="1"/>
    <col min="14" max="16384" width="8.75" style="168"/>
  </cols>
  <sheetData>
    <row r="1" spans="1:14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7" t="s">
        <v>542</v>
      </c>
    </row>
    <row r="2" spans="1:14" ht="15">
      <c r="A2" s="1903">
        <v>44677</v>
      </c>
      <c r="B2" s="2392" t="s">
        <v>5018</v>
      </c>
      <c r="C2" s="1903" t="s">
        <v>5142</v>
      </c>
      <c r="D2" s="1909" t="s">
        <v>5143</v>
      </c>
      <c r="E2" s="1951">
        <v>509</v>
      </c>
      <c r="F2" s="1933">
        <v>0</v>
      </c>
      <c r="G2" s="611">
        <v>492.04</v>
      </c>
      <c r="H2" s="1315">
        <v>44707</v>
      </c>
      <c r="I2" s="611">
        <v>492.04</v>
      </c>
      <c r="J2" s="1427">
        <v>44691</v>
      </c>
      <c r="K2" s="1425" t="s">
        <v>3198</v>
      </c>
      <c r="L2" s="166"/>
      <c r="M2"/>
      <c r="N2"/>
    </row>
    <row r="3" spans="1:14" ht="15">
      <c r="A3" s="1905"/>
      <c r="B3" s="2394"/>
      <c r="C3" s="1905"/>
      <c r="D3" s="1911"/>
      <c r="E3" s="1953"/>
      <c r="F3" s="1934"/>
      <c r="G3" s="611">
        <f>509-492.04</f>
        <v>16.95999999999998</v>
      </c>
      <c r="H3" s="1315">
        <v>44707</v>
      </c>
      <c r="I3" s="1951">
        <v>0</v>
      </c>
      <c r="J3" s="1903">
        <v>44697</v>
      </c>
      <c r="K3" s="1935" t="s">
        <v>5146</v>
      </c>
      <c r="L3" s="166"/>
      <c r="M3"/>
      <c r="N3"/>
    </row>
    <row r="4" spans="1:14" ht="15">
      <c r="A4" s="1427">
        <v>44697</v>
      </c>
      <c r="B4" s="1427" t="s">
        <v>5018</v>
      </c>
      <c r="C4" s="1427" t="s">
        <v>5142</v>
      </c>
      <c r="D4" s="1428" t="s">
        <v>5144</v>
      </c>
      <c r="E4" s="611">
        <v>-16.96</v>
      </c>
      <c r="F4" s="731">
        <v>0</v>
      </c>
      <c r="G4" s="611">
        <v>-16.96</v>
      </c>
      <c r="H4" s="1427">
        <v>44697</v>
      </c>
      <c r="I4" s="1953"/>
      <c r="J4" s="1905"/>
      <c r="K4" s="1947"/>
      <c r="L4" s="226"/>
      <c r="M4"/>
      <c r="N4"/>
    </row>
    <row r="5" spans="1:14" ht="15">
      <c r="A5" s="623">
        <v>45072</v>
      </c>
      <c r="B5" s="623" t="s">
        <v>2644</v>
      </c>
      <c r="C5" s="623" t="s">
        <v>5142</v>
      </c>
      <c r="D5" s="624" t="s">
        <v>5145</v>
      </c>
      <c r="E5" s="605">
        <v>1036.3</v>
      </c>
      <c r="F5" s="732">
        <v>217.62</v>
      </c>
      <c r="G5" s="605">
        <v>1307.81</v>
      </c>
      <c r="H5" s="623">
        <v>45073</v>
      </c>
      <c r="I5" s="639"/>
      <c r="J5" s="1423"/>
      <c r="K5" s="1421"/>
      <c r="L5" s="226"/>
      <c r="M5"/>
      <c r="N5"/>
    </row>
    <row r="6" spans="1:14" ht="15">
      <c r="A6" s="623"/>
      <c r="B6" s="623"/>
      <c r="C6" s="623"/>
      <c r="D6" s="624"/>
      <c r="E6" s="605"/>
      <c r="F6" s="732"/>
      <c r="G6" s="605"/>
      <c r="H6" s="623"/>
      <c r="I6" s="639"/>
      <c r="J6" s="1423"/>
      <c r="K6" s="1421"/>
      <c r="L6" s="226"/>
    </row>
    <row r="7" spans="1:14" ht="15">
      <c r="A7" s="623"/>
      <c r="B7" s="623"/>
      <c r="C7" s="623"/>
      <c r="D7" s="624"/>
      <c r="E7" s="605"/>
      <c r="F7" s="732"/>
      <c r="G7" s="605"/>
      <c r="H7" s="623"/>
      <c r="I7" s="639"/>
      <c r="J7" s="1423"/>
      <c r="K7" s="1421"/>
      <c r="L7" s="226"/>
    </row>
    <row r="8" spans="1:14" ht="15">
      <c r="A8" s="623"/>
      <c r="B8" s="623"/>
      <c r="C8" s="623"/>
      <c r="D8" s="624"/>
      <c r="E8" s="605"/>
      <c r="F8" s="732"/>
      <c r="G8" s="605"/>
      <c r="H8" s="623"/>
      <c r="I8" s="639"/>
      <c r="J8" s="1423"/>
      <c r="K8" s="1421"/>
      <c r="L8" s="226"/>
    </row>
    <row r="9" spans="1:14" ht="15">
      <c r="A9" s="623"/>
      <c r="B9" s="623"/>
      <c r="C9" s="623"/>
      <c r="D9" s="624"/>
      <c r="E9" s="605"/>
      <c r="F9" s="732"/>
      <c r="G9" s="605"/>
      <c r="H9" s="623"/>
      <c r="I9" s="639"/>
      <c r="J9" s="1423"/>
      <c r="K9" s="1421"/>
      <c r="L9" s="226"/>
    </row>
    <row r="10" spans="1:14" ht="15">
      <c r="A10" s="623"/>
      <c r="B10" s="623"/>
      <c r="C10" s="623"/>
      <c r="D10" s="624"/>
      <c r="E10" s="605"/>
      <c r="F10" s="732"/>
      <c r="G10" s="605"/>
      <c r="H10" s="623"/>
      <c r="I10" s="639"/>
      <c r="J10" s="1423"/>
      <c r="K10" s="1421"/>
      <c r="L10" s="226"/>
    </row>
    <row r="11" spans="1:14" ht="15">
      <c r="A11" s="623"/>
      <c r="B11" s="623"/>
      <c r="C11" s="623"/>
      <c r="D11" s="624"/>
      <c r="E11" s="605"/>
      <c r="F11" s="732"/>
      <c r="G11" s="605"/>
      <c r="H11" s="623"/>
      <c r="I11" s="639"/>
      <c r="J11" s="1423"/>
      <c r="K11" s="1421"/>
      <c r="L11" s="226"/>
    </row>
    <row r="12" spans="1:14" ht="15">
      <c r="A12" s="623"/>
      <c r="B12" s="623"/>
      <c r="C12" s="623"/>
      <c r="D12" s="624"/>
      <c r="E12" s="605"/>
      <c r="F12" s="732"/>
      <c r="G12" s="605"/>
      <c r="H12" s="623"/>
      <c r="I12" s="639"/>
      <c r="J12" s="1423"/>
      <c r="K12" s="1421"/>
      <c r="L12" s="226"/>
    </row>
    <row r="13" spans="1:14" ht="15">
      <c r="A13" s="623"/>
      <c r="B13" s="623"/>
      <c r="C13" s="623"/>
      <c r="D13" s="624"/>
      <c r="E13" s="605"/>
      <c r="F13" s="732"/>
      <c r="G13" s="605"/>
      <c r="H13" s="623"/>
      <c r="I13" s="639"/>
      <c r="J13" s="1423"/>
      <c r="K13" s="1421"/>
      <c r="L13" s="226"/>
    </row>
    <row r="14" spans="1:14" ht="15">
      <c r="A14" s="1423"/>
      <c r="B14" s="1423"/>
      <c r="C14" s="1423"/>
      <c r="D14" s="1424"/>
      <c r="E14" s="605"/>
      <c r="F14" s="732"/>
      <c r="G14" s="639"/>
      <c r="H14" s="1423"/>
      <c r="I14" s="639"/>
      <c r="J14" s="1423"/>
      <c r="K14" s="1421"/>
      <c r="L14" s="226"/>
    </row>
    <row r="15" spans="1:14" ht="15">
      <c r="A15" s="1423"/>
      <c r="B15" s="1423"/>
      <c r="C15" s="1423"/>
      <c r="D15" s="1424"/>
      <c r="E15" s="605"/>
      <c r="F15" s="732"/>
      <c r="G15" s="639"/>
      <c r="H15" s="1423"/>
      <c r="I15" s="639"/>
      <c r="J15" s="1423"/>
      <c r="K15" s="1421"/>
      <c r="L15" s="226"/>
    </row>
    <row r="16" spans="1:14" ht="15">
      <c r="A16" s="1424"/>
      <c r="B16" s="1424"/>
      <c r="C16" s="1424"/>
      <c r="D16" s="619"/>
      <c r="E16" s="619"/>
      <c r="F16" s="1144" t="s">
        <v>545</v>
      </c>
      <c r="G16" s="651">
        <f>SUM(G2:G15)-SUM(I2:I15)</f>
        <v>1307.81</v>
      </c>
      <c r="H16" s="634"/>
      <c r="I16" s="639"/>
      <c r="J16" s="1423"/>
      <c r="K16" s="1421"/>
      <c r="L16" s="226"/>
    </row>
  </sheetData>
  <mergeCells count="9">
    <mergeCell ref="D2:D3"/>
    <mergeCell ref="C2:C3"/>
    <mergeCell ref="B2:B3"/>
    <mergeCell ref="A2:A3"/>
    <mergeCell ref="K3:K4"/>
    <mergeCell ref="J3:J4"/>
    <mergeCell ref="I3:I4"/>
    <mergeCell ref="F2:F3"/>
    <mergeCell ref="E2:E3"/>
  </mergeCells>
  <phoneticPr fontId="15" type="noConversion"/>
  <hyperlinks>
    <hyperlink ref="F16" location="汇总!A1" display="剩余欠款"/>
  </hyperlinks>
  <pageMargins left="0.7" right="0.7" top="0.75" bottom="0.75" header="0.3" footer="0.3"/>
  <pageSetup paperSize="9"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pane ySplit="1" topLeftCell="A2" activePane="bottomLeft" state="frozen"/>
      <selection pane="bottomLeft" activeCell="F15" sqref="F15"/>
    </sheetView>
  </sheetViews>
  <sheetFormatPr defaultColWidth="8.75" defaultRowHeight="14.25"/>
  <cols>
    <col min="1" max="1" width="13" style="168" customWidth="1"/>
    <col min="2" max="2" width="13.875" style="168" bestFit="1" customWidth="1"/>
    <col min="3" max="3" width="29.375" style="168" bestFit="1" customWidth="1"/>
    <col min="4" max="5" width="15" style="168" customWidth="1"/>
    <col min="6" max="6" width="13.375" style="527" customWidth="1"/>
    <col min="7" max="7" width="11.375" style="168" bestFit="1" customWidth="1"/>
    <col min="8" max="8" width="16.625" style="168" bestFit="1" customWidth="1"/>
    <col min="9" max="9" width="12.875" style="168" customWidth="1"/>
    <col min="10" max="10" width="11.625" style="168" bestFit="1" customWidth="1"/>
    <col min="11" max="11" width="11.375" style="168" bestFit="1" customWidth="1"/>
    <col min="12" max="12" width="25" style="168" bestFit="1" customWidth="1"/>
    <col min="13" max="13" width="13.875" style="168" bestFit="1" customWidth="1"/>
    <col min="14" max="16384" width="8.75" style="168"/>
  </cols>
  <sheetData>
    <row r="1" spans="1:14" customFormat="1" ht="18.75">
      <c r="A1" s="1385" t="s">
        <v>536</v>
      </c>
      <c r="B1" s="1385" t="s">
        <v>516</v>
      </c>
      <c r="C1" s="1385" t="s">
        <v>515</v>
      </c>
      <c r="D1" s="1433" t="s">
        <v>2150</v>
      </c>
      <c r="E1" s="1433" t="s">
        <v>2718</v>
      </c>
      <c r="F1" s="1434" t="s">
        <v>2719</v>
      </c>
      <c r="G1" s="1435" t="s">
        <v>2721</v>
      </c>
      <c r="H1" s="1435" t="s">
        <v>4099</v>
      </c>
      <c r="I1" s="1433" t="s">
        <v>3043</v>
      </c>
      <c r="J1" s="1433" t="s">
        <v>4100</v>
      </c>
      <c r="K1" s="257" t="s">
        <v>541</v>
      </c>
      <c r="L1" s="257" t="s">
        <v>542</v>
      </c>
    </row>
    <row r="2" spans="1:14" ht="15">
      <c r="A2" s="1427">
        <v>45016</v>
      </c>
      <c r="B2" s="845" t="s">
        <v>2644</v>
      </c>
      <c r="C2" s="1427" t="s">
        <v>5147</v>
      </c>
      <c r="D2" s="1428" t="s">
        <v>5148</v>
      </c>
      <c r="E2" s="611">
        <v>823.56</v>
      </c>
      <c r="F2" s="731">
        <v>172.95</v>
      </c>
      <c r="G2" s="611">
        <v>996.5</v>
      </c>
      <c r="H2" s="1315">
        <v>45017</v>
      </c>
      <c r="I2" s="611">
        <v>996.5</v>
      </c>
      <c r="J2" s="1427">
        <v>45020</v>
      </c>
      <c r="K2" s="1421" t="s">
        <v>3198</v>
      </c>
      <c r="L2" s="166"/>
      <c r="M2"/>
      <c r="N2"/>
    </row>
    <row r="3" spans="1:14" ht="15">
      <c r="A3" s="623">
        <v>45071</v>
      </c>
      <c r="B3" s="623" t="s">
        <v>2644</v>
      </c>
      <c r="C3" s="623" t="s">
        <v>5147</v>
      </c>
      <c r="D3" s="624" t="s">
        <v>5149</v>
      </c>
      <c r="E3" s="605">
        <v>1071.08</v>
      </c>
      <c r="F3" s="732">
        <v>224.93</v>
      </c>
      <c r="G3" s="605">
        <v>1296.01</v>
      </c>
      <c r="H3" s="623">
        <v>45072</v>
      </c>
      <c r="I3" s="639"/>
      <c r="J3" s="1423"/>
      <c r="K3" s="1421"/>
      <c r="L3" s="226"/>
      <c r="M3"/>
      <c r="N3"/>
    </row>
    <row r="4" spans="1:14" ht="15">
      <c r="A4" s="623"/>
      <c r="B4" s="623"/>
      <c r="C4" s="623"/>
      <c r="D4" s="624"/>
      <c r="E4" s="605"/>
      <c r="F4" s="732"/>
      <c r="G4" s="605"/>
      <c r="H4" s="623"/>
      <c r="I4" s="639"/>
      <c r="J4" s="1423"/>
      <c r="K4" s="1421"/>
      <c r="L4" s="226"/>
      <c r="M4"/>
      <c r="N4"/>
    </row>
    <row r="5" spans="1:14" ht="15">
      <c r="A5" s="623"/>
      <c r="B5" s="623"/>
      <c r="C5" s="623"/>
      <c r="D5" s="624"/>
      <c r="E5" s="605"/>
      <c r="F5" s="732"/>
      <c r="G5" s="605"/>
      <c r="H5" s="623"/>
      <c r="I5" s="639"/>
      <c r="J5" s="1423"/>
      <c r="K5" s="1421"/>
      <c r="L5" s="226"/>
    </row>
    <row r="6" spans="1:14" ht="15">
      <c r="A6" s="623"/>
      <c r="B6" s="623"/>
      <c r="C6" s="623"/>
      <c r="D6" s="624"/>
      <c r="E6" s="605"/>
      <c r="F6" s="732"/>
      <c r="G6" s="605"/>
      <c r="H6" s="623"/>
      <c r="I6" s="639"/>
      <c r="J6" s="1423"/>
      <c r="K6" s="1421"/>
      <c r="L6" s="226"/>
    </row>
    <row r="7" spans="1:14" ht="15">
      <c r="A7" s="623"/>
      <c r="B7" s="623"/>
      <c r="C7" s="623"/>
      <c r="D7" s="624"/>
      <c r="E7" s="605"/>
      <c r="F7" s="732"/>
      <c r="G7" s="605"/>
      <c r="H7" s="623"/>
      <c r="I7" s="639"/>
      <c r="J7" s="1423"/>
      <c r="K7" s="1421"/>
      <c r="L7" s="226"/>
    </row>
    <row r="8" spans="1:14" ht="15">
      <c r="A8" s="623"/>
      <c r="B8" s="623"/>
      <c r="C8" s="623"/>
      <c r="D8" s="624"/>
      <c r="E8" s="605"/>
      <c r="F8" s="732"/>
      <c r="G8" s="605"/>
      <c r="H8" s="623"/>
      <c r="I8" s="639"/>
      <c r="J8" s="1423"/>
      <c r="K8" s="1421"/>
      <c r="L8" s="226"/>
    </row>
    <row r="9" spans="1:14" ht="15">
      <c r="A9" s="623"/>
      <c r="B9" s="623"/>
      <c r="C9" s="623"/>
      <c r="D9" s="624"/>
      <c r="E9" s="605"/>
      <c r="F9" s="732"/>
      <c r="G9" s="605"/>
      <c r="H9" s="623"/>
      <c r="I9" s="639"/>
      <c r="J9" s="1423"/>
      <c r="K9" s="1421"/>
      <c r="L9" s="226"/>
    </row>
    <row r="10" spans="1:14" ht="15">
      <c r="A10" s="623"/>
      <c r="B10" s="623"/>
      <c r="C10" s="623"/>
      <c r="D10" s="624"/>
      <c r="E10" s="605"/>
      <c r="F10" s="732"/>
      <c r="G10" s="605"/>
      <c r="H10" s="623"/>
      <c r="I10" s="639"/>
      <c r="J10" s="1423"/>
      <c r="K10" s="1421"/>
      <c r="L10" s="226"/>
    </row>
    <row r="11" spans="1:14" ht="15">
      <c r="A11" s="623"/>
      <c r="B11" s="623"/>
      <c r="C11" s="623"/>
      <c r="D11" s="624"/>
      <c r="E11" s="605"/>
      <c r="F11" s="732"/>
      <c r="G11" s="605"/>
      <c r="H11" s="623"/>
      <c r="I11" s="639"/>
      <c r="J11" s="1423"/>
      <c r="K11" s="1421"/>
      <c r="L11" s="226"/>
    </row>
    <row r="12" spans="1:14" ht="15">
      <c r="A12" s="623"/>
      <c r="B12" s="623"/>
      <c r="C12" s="623"/>
      <c r="D12" s="624"/>
      <c r="E12" s="605"/>
      <c r="F12" s="732"/>
      <c r="G12" s="605"/>
      <c r="H12" s="623"/>
      <c r="I12" s="639"/>
      <c r="J12" s="1423"/>
      <c r="K12" s="1421"/>
      <c r="L12" s="226"/>
    </row>
    <row r="13" spans="1:14" ht="15">
      <c r="A13" s="1423"/>
      <c r="B13" s="1423"/>
      <c r="C13" s="1423"/>
      <c r="D13" s="1424"/>
      <c r="E13" s="605"/>
      <c r="F13" s="732"/>
      <c r="G13" s="639"/>
      <c r="H13" s="1423"/>
      <c r="I13" s="639"/>
      <c r="J13" s="1423"/>
      <c r="K13" s="1421"/>
      <c r="L13" s="226"/>
    </row>
    <row r="14" spans="1:14" ht="15">
      <c r="A14" s="1423"/>
      <c r="B14" s="1423"/>
      <c r="C14" s="1423"/>
      <c r="D14" s="1424"/>
      <c r="E14" s="605"/>
      <c r="F14" s="732"/>
      <c r="G14" s="639"/>
      <c r="H14" s="1423"/>
      <c r="I14" s="639"/>
      <c r="J14" s="1423"/>
      <c r="K14" s="1421"/>
      <c r="L14" s="226"/>
    </row>
    <row r="15" spans="1:14" ht="15">
      <c r="A15" s="1424"/>
      <c r="B15" s="1424"/>
      <c r="C15" s="1424"/>
      <c r="D15" s="619"/>
      <c r="E15" s="619"/>
      <c r="F15" s="1144" t="s">
        <v>545</v>
      </c>
      <c r="G15" s="651">
        <f>SUM(G2:G14)-SUM(I2:I14)</f>
        <v>1296.0100000000002</v>
      </c>
      <c r="H15" s="634"/>
      <c r="I15" s="639"/>
      <c r="J15" s="1423"/>
      <c r="K15" s="1421"/>
      <c r="L15" s="226"/>
    </row>
    <row r="16" spans="1:14">
      <c r="K16" s="237"/>
    </row>
    <row r="17" spans="11:11">
      <c r="K17" s="237"/>
    </row>
    <row r="18" spans="11:11">
      <c r="K18" s="237"/>
    </row>
  </sheetData>
  <phoneticPr fontId="15" type="noConversion"/>
  <hyperlinks>
    <hyperlink ref="F15" location="汇总!A1" display="剩余欠款"/>
  </hyperlinks>
  <pageMargins left="0.7" right="0.7" top="0.75" bottom="0.75" header="0.3" footer="0.3"/>
  <pageSetup paperSize="9"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pane ySplit="1" topLeftCell="A2" activePane="bottomLeft" state="frozen"/>
      <selection pane="bottomLeft" activeCell="F31" sqref="F31"/>
    </sheetView>
  </sheetViews>
  <sheetFormatPr defaultColWidth="8.75" defaultRowHeight="14.25"/>
  <cols>
    <col min="1" max="1" width="13" style="168" customWidth="1"/>
    <col min="2" max="2" width="13.875" style="168" bestFit="1" customWidth="1"/>
    <col min="3" max="3" width="29.375" style="168" bestFit="1" customWidth="1"/>
    <col min="4" max="5" width="15" style="168" customWidth="1"/>
    <col min="6" max="6" width="13.375" style="527" customWidth="1"/>
    <col min="7" max="7" width="11.375" style="168" bestFit="1" customWidth="1"/>
    <col min="8" max="8" width="16.625" style="168" bestFit="1" customWidth="1"/>
    <col min="9" max="9" width="12.875" style="168" customWidth="1"/>
    <col min="10" max="10" width="11.625" style="168" bestFit="1" customWidth="1"/>
    <col min="11" max="11" width="11.375" style="168" bestFit="1" customWidth="1"/>
    <col min="12" max="12" width="25" style="168" bestFit="1" customWidth="1"/>
    <col min="13" max="13" width="13.875" style="168" bestFit="1" customWidth="1"/>
    <col min="14" max="16384" width="8.75" style="168"/>
  </cols>
  <sheetData>
    <row r="1" spans="1:14" customFormat="1" ht="18.75">
      <c r="A1" s="1385" t="s">
        <v>536</v>
      </c>
      <c r="B1" s="1385" t="s">
        <v>516</v>
      </c>
      <c r="C1" s="1385" t="s">
        <v>515</v>
      </c>
      <c r="D1" s="1433" t="s">
        <v>2150</v>
      </c>
      <c r="E1" s="1433" t="s">
        <v>2718</v>
      </c>
      <c r="F1" s="1434" t="s">
        <v>2719</v>
      </c>
      <c r="G1" s="1435" t="s">
        <v>2721</v>
      </c>
      <c r="H1" s="1435" t="s">
        <v>4099</v>
      </c>
      <c r="I1" s="1433" t="s">
        <v>3043</v>
      </c>
      <c r="J1" s="1433" t="s">
        <v>4100</v>
      </c>
      <c r="K1" s="257" t="s">
        <v>541</v>
      </c>
      <c r="L1" s="257" t="s">
        <v>542</v>
      </c>
    </row>
    <row r="2" spans="1:14" ht="15" customHeight="1">
      <c r="A2" s="1427">
        <v>44448</v>
      </c>
      <c r="B2" s="845" t="s">
        <v>5018</v>
      </c>
      <c r="C2" s="1427" t="s">
        <v>5150</v>
      </c>
      <c r="D2" s="1428" t="s">
        <v>5151</v>
      </c>
      <c r="E2" s="611">
        <v>0.15</v>
      </c>
      <c r="F2" s="731">
        <v>0</v>
      </c>
      <c r="G2" s="611">
        <v>0.15</v>
      </c>
      <c r="H2" s="1315">
        <v>44448</v>
      </c>
      <c r="I2" s="1951">
        <v>0.78</v>
      </c>
      <c r="J2" s="1903">
        <v>44448</v>
      </c>
      <c r="K2" s="1968" t="s">
        <v>5146</v>
      </c>
      <c r="L2" s="2385" t="s">
        <v>5168</v>
      </c>
      <c r="M2"/>
      <c r="N2"/>
    </row>
    <row r="3" spans="1:14" ht="15" customHeight="1">
      <c r="A3" s="1427">
        <v>44448</v>
      </c>
      <c r="B3" s="845" t="s">
        <v>5018</v>
      </c>
      <c r="C3" s="1427" t="s">
        <v>5150</v>
      </c>
      <c r="D3" s="1428" t="s">
        <v>5152</v>
      </c>
      <c r="E3" s="611">
        <v>0.14000000000000001</v>
      </c>
      <c r="F3" s="731">
        <v>0</v>
      </c>
      <c r="G3" s="611">
        <v>0.14000000000000001</v>
      </c>
      <c r="H3" s="1315">
        <v>44448</v>
      </c>
      <c r="I3" s="1952"/>
      <c r="J3" s="1904"/>
      <c r="K3" s="1962"/>
      <c r="L3" s="2386"/>
      <c r="M3"/>
      <c r="N3"/>
    </row>
    <row r="4" spans="1:14" ht="15" customHeight="1">
      <c r="A4" s="1427">
        <v>44448</v>
      </c>
      <c r="B4" s="845" t="s">
        <v>5018</v>
      </c>
      <c r="C4" s="1427" t="s">
        <v>5150</v>
      </c>
      <c r="D4" s="1428" t="s">
        <v>5153</v>
      </c>
      <c r="E4" s="611">
        <v>0.15</v>
      </c>
      <c r="F4" s="731">
        <v>0</v>
      </c>
      <c r="G4" s="611">
        <v>0.15</v>
      </c>
      <c r="H4" s="1315">
        <v>44448</v>
      </c>
      <c r="I4" s="1952"/>
      <c r="J4" s="1904"/>
      <c r="K4" s="1962"/>
      <c r="L4" s="2386"/>
      <c r="M4"/>
      <c r="N4"/>
    </row>
    <row r="5" spans="1:14" ht="15" customHeight="1">
      <c r="A5" s="1427">
        <v>44448</v>
      </c>
      <c r="B5" s="845" t="s">
        <v>5018</v>
      </c>
      <c r="C5" s="1427" t="s">
        <v>5150</v>
      </c>
      <c r="D5" s="1428" t="s">
        <v>5154</v>
      </c>
      <c r="E5" s="611">
        <v>0.13</v>
      </c>
      <c r="F5" s="731">
        <v>0</v>
      </c>
      <c r="G5" s="611">
        <v>0.13</v>
      </c>
      <c r="H5" s="1315">
        <v>44448</v>
      </c>
      <c r="I5" s="1952"/>
      <c r="J5" s="1904"/>
      <c r="K5" s="1962"/>
      <c r="L5" s="2386"/>
      <c r="M5"/>
      <c r="N5"/>
    </row>
    <row r="6" spans="1:14" ht="15" customHeight="1">
      <c r="A6" s="1427">
        <v>44448</v>
      </c>
      <c r="B6" s="845" t="s">
        <v>5018</v>
      </c>
      <c r="C6" s="1427" t="s">
        <v>5150</v>
      </c>
      <c r="D6" s="1428" t="s">
        <v>5155</v>
      </c>
      <c r="E6" s="611">
        <v>0.21</v>
      </c>
      <c r="F6" s="731">
        <v>0</v>
      </c>
      <c r="G6" s="611">
        <v>0.21</v>
      </c>
      <c r="H6" s="1315">
        <v>44448</v>
      </c>
      <c r="I6" s="1953"/>
      <c r="J6" s="1905"/>
      <c r="K6" s="1957"/>
      <c r="L6" s="2387"/>
      <c r="M6"/>
      <c r="N6"/>
    </row>
    <row r="7" spans="1:14" ht="15">
      <c r="A7" s="1427">
        <v>44448</v>
      </c>
      <c r="B7" s="845" t="s">
        <v>5018</v>
      </c>
      <c r="C7" s="1427" t="s">
        <v>5150</v>
      </c>
      <c r="D7" s="1428" t="s">
        <v>5156</v>
      </c>
      <c r="E7" s="611">
        <v>1654.21</v>
      </c>
      <c r="F7" s="731">
        <v>0</v>
      </c>
      <c r="G7" s="611">
        <v>1654.21</v>
      </c>
      <c r="H7" s="1315">
        <v>44478</v>
      </c>
      <c r="I7" s="611">
        <v>1654.21</v>
      </c>
      <c r="J7" s="1427">
        <v>44480</v>
      </c>
      <c r="K7" s="1421" t="s">
        <v>5169</v>
      </c>
      <c r="L7" s="166"/>
      <c r="M7"/>
      <c r="N7"/>
    </row>
    <row r="8" spans="1:14" ht="15">
      <c r="A8" s="1427">
        <v>44516</v>
      </c>
      <c r="B8" s="845" t="s">
        <v>5018</v>
      </c>
      <c r="C8" s="1427" t="s">
        <v>5150</v>
      </c>
      <c r="D8" s="1428" t="s">
        <v>5157</v>
      </c>
      <c r="E8" s="611">
        <v>862.64</v>
      </c>
      <c r="F8" s="731">
        <v>181.15</v>
      </c>
      <c r="G8" s="611">
        <v>1043.79</v>
      </c>
      <c r="H8" s="1315">
        <v>44516</v>
      </c>
      <c r="I8" s="611">
        <v>1043.79</v>
      </c>
      <c r="J8" s="1427">
        <v>44547</v>
      </c>
      <c r="K8" s="1421" t="s">
        <v>5169</v>
      </c>
      <c r="L8" s="166"/>
      <c r="M8"/>
      <c r="N8"/>
    </row>
    <row r="9" spans="1:14" ht="15">
      <c r="A9" s="1427">
        <v>44579</v>
      </c>
      <c r="B9" s="845" t="s">
        <v>5018</v>
      </c>
      <c r="C9" s="1427" t="s">
        <v>5150</v>
      </c>
      <c r="D9" s="1428" t="s">
        <v>5158</v>
      </c>
      <c r="E9" s="611">
        <v>170.13</v>
      </c>
      <c r="F9" s="731">
        <v>35.729999999999997</v>
      </c>
      <c r="G9" s="611">
        <v>205.85</v>
      </c>
      <c r="H9" s="1315">
        <v>44579</v>
      </c>
      <c r="I9" s="611">
        <v>205.85</v>
      </c>
      <c r="J9" s="1427">
        <v>44614</v>
      </c>
      <c r="K9" s="1421" t="s">
        <v>5170</v>
      </c>
      <c r="L9" s="166"/>
      <c r="M9"/>
      <c r="N9"/>
    </row>
    <row r="10" spans="1:14" ht="15">
      <c r="A10" s="1427">
        <v>44685</v>
      </c>
      <c r="B10" s="845" t="s">
        <v>5018</v>
      </c>
      <c r="C10" s="1427" t="s">
        <v>5150</v>
      </c>
      <c r="D10" s="1428" t="s">
        <v>5159</v>
      </c>
      <c r="E10" s="611">
        <v>494.78</v>
      </c>
      <c r="F10" s="731">
        <v>0</v>
      </c>
      <c r="G10" s="611">
        <v>494.78</v>
      </c>
      <c r="H10" s="1315">
        <v>44715</v>
      </c>
      <c r="I10" s="611">
        <v>494.78</v>
      </c>
      <c r="J10" s="1427">
        <v>44732</v>
      </c>
      <c r="K10" s="1421" t="s">
        <v>550</v>
      </c>
      <c r="L10" s="166"/>
      <c r="M10"/>
      <c r="N10"/>
    </row>
    <row r="11" spans="1:14" ht="15">
      <c r="A11" s="1427">
        <v>44832</v>
      </c>
      <c r="B11" s="845" t="s">
        <v>5018</v>
      </c>
      <c r="C11" s="1427" t="s">
        <v>5150</v>
      </c>
      <c r="D11" s="1428" t="s">
        <v>5160</v>
      </c>
      <c r="E11" s="611">
        <v>521.24</v>
      </c>
      <c r="F11" s="731">
        <v>0</v>
      </c>
      <c r="G11" s="611">
        <v>521.24</v>
      </c>
      <c r="H11" s="1315">
        <v>44862</v>
      </c>
      <c r="I11" s="611">
        <v>521.24</v>
      </c>
      <c r="J11" s="1427">
        <v>44879</v>
      </c>
      <c r="K11" s="1421" t="s">
        <v>550</v>
      </c>
      <c r="L11" s="166"/>
      <c r="M11"/>
      <c r="N11"/>
    </row>
    <row r="12" spans="1:14" ht="15">
      <c r="A12" s="1427">
        <v>44956</v>
      </c>
      <c r="B12" s="845" t="s">
        <v>5022</v>
      </c>
      <c r="C12" s="1427" t="s">
        <v>5150</v>
      </c>
      <c r="D12" s="1428" t="s">
        <v>5161</v>
      </c>
      <c r="E12" s="611">
        <v>736.86</v>
      </c>
      <c r="F12" s="731">
        <v>154.74</v>
      </c>
      <c r="G12" s="611">
        <v>891.59</v>
      </c>
      <c r="H12" s="1315">
        <v>44957</v>
      </c>
      <c r="I12" s="611">
        <v>891.59</v>
      </c>
      <c r="J12" s="1427">
        <v>44957</v>
      </c>
      <c r="K12" s="1421" t="s">
        <v>5170</v>
      </c>
      <c r="L12" s="166"/>
      <c r="M12"/>
      <c r="N12"/>
    </row>
    <row r="13" spans="1:14" ht="15">
      <c r="A13" s="623">
        <v>45070</v>
      </c>
      <c r="B13" s="1436" t="s">
        <v>5012</v>
      </c>
      <c r="C13" s="623" t="s">
        <v>5150</v>
      </c>
      <c r="D13" s="624" t="s">
        <v>5162</v>
      </c>
      <c r="E13" s="605">
        <v>-1.58</v>
      </c>
      <c r="F13" s="732">
        <v>0</v>
      </c>
      <c r="G13" s="605">
        <v>-1.58</v>
      </c>
      <c r="H13" s="1358"/>
      <c r="I13" s="611"/>
      <c r="J13" s="1427"/>
      <c r="K13" s="1421"/>
      <c r="L13" s="166"/>
      <c r="M13"/>
      <c r="N13"/>
    </row>
    <row r="14" spans="1:14" ht="15">
      <c r="A14" s="623">
        <v>45070</v>
      </c>
      <c r="B14" s="1436" t="s">
        <v>5012</v>
      </c>
      <c r="C14" s="623" t="s">
        <v>5150</v>
      </c>
      <c r="D14" s="624" t="s">
        <v>5163</v>
      </c>
      <c r="E14" s="605">
        <v>-23.73</v>
      </c>
      <c r="F14" s="732">
        <v>0</v>
      </c>
      <c r="G14" s="605">
        <v>-23.73</v>
      </c>
      <c r="H14" s="1358"/>
      <c r="I14" s="611"/>
      <c r="J14" s="1427"/>
      <c r="K14" s="1421"/>
      <c r="L14" s="166"/>
      <c r="M14"/>
      <c r="N14"/>
    </row>
    <row r="15" spans="1:14" ht="15">
      <c r="A15" s="623">
        <v>45070</v>
      </c>
      <c r="B15" s="1436" t="s">
        <v>5012</v>
      </c>
      <c r="C15" s="623" t="s">
        <v>5150</v>
      </c>
      <c r="D15" s="624" t="s">
        <v>5164</v>
      </c>
      <c r="E15" s="605">
        <v>612.63</v>
      </c>
      <c r="F15" s="732">
        <v>128.65</v>
      </c>
      <c r="G15" s="605">
        <v>741.28</v>
      </c>
      <c r="H15" s="1358">
        <v>45071</v>
      </c>
      <c r="I15" s="611"/>
      <c r="J15" s="1427"/>
      <c r="K15" s="1421"/>
      <c r="L15" s="166"/>
      <c r="M15"/>
      <c r="N15"/>
    </row>
    <row r="16" spans="1:14" ht="15">
      <c r="A16" s="623">
        <v>45070</v>
      </c>
      <c r="B16" s="1436" t="s">
        <v>5012</v>
      </c>
      <c r="C16" s="623" t="s">
        <v>5150</v>
      </c>
      <c r="D16" s="624" t="s">
        <v>5165</v>
      </c>
      <c r="E16" s="605">
        <v>-7.03</v>
      </c>
      <c r="F16" s="732">
        <v>-1.48</v>
      </c>
      <c r="G16" s="605">
        <v>-8.51</v>
      </c>
      <c r="H16" s="1358"/>
      <c r="I16" s="611"/>
      <c r="J16" s="1427"/>
      <c r="K16" s="1421"/>
      <c r="L16" s="166"/>
      <c r="M16"/>
      <c r="N16"/>
    </row>
    <row r="17" spans="1:14" ht="15">
      <c r="A17" s="623">
        <v>45070</v>
      </c>
      <c r="B17" s="1436" t="s">
        <v>5012</v>
      </c>
      <c r="C17" s="623" t="s">
        <v>5150</v>
      </c>
      <c r="D17" s="624" t="s">
        <v>5166</v>
      </c>
      <c r="E17" s="605">
        <v>-2.09</v>
      </c>
      <c r="F17" s="732">
        <v>-0.44</v>
      </c>
      <c r="G17" s="605">
        <v>-2.52</v>
      </c>
      <c r="H17" s="1358"/>
      <c r="I17" s="611"/>
      <c r="J17" s="1427"/>
      <c r="K17" s="1421"/>
      <c r="L17" s="166"/>
      <c r="M17"/>
      <c r="N17"/>
    </row>
    <row r="18" spans="1:14" ht="15">
      <c r="A18" s="623">
        <v>45071</v>
      </c>
      <c r="B18" s="1436" t="s">
        <v>5012</v>
      </c>
      <c r="C18" s="623" t="s">
        <v>5150</v>
      </c>
      <c r="D18" s="624" t="s">
        <v>5167</v>
      </c>
      <c r="E18" s="605">
        <v>25.44</v>
      </c>
      <c r="F18" s="732">
        <v>5.34</v>
      </c>
      <c r="G18" s="605">
        <v>30.78</v>
      </c>
      <c r="H18" s="1358">
        <v>45072</v>
      </c>
      <c r="I18" s="611"/>
      <c r="J18" s="1427"/>
      <c r="K18" s="1421"/>
      <c r="L18" s="166"/>
      <c r="M18"/>
      <c r="N18"/>
    </row>
    <row r="19" spans="1:14" ht="15">
      <c r="A19" s="623"/>
      <c r="B19" s="623"/>
      <c r="C19" s="623"/>
      <c r="D19" s="624"/>
      <c r="E19" s="605"/>
      <c r="F19" s="732"/>
      <c r="G19" s="605"/>
      <c r="H19" s="623"/>
      <c r="I19" s="639"/>
      <c r="J19" s="1423"/>
      <c r="K19" s="1421"/>
      <c r="L19" s="226"/>
      <c r="M19"/>
      <c r="N19"/>
    </row>
    <row r="20" spans="1:14" ht="15">
      <c r="A20" s="623"/>
      <c r="B20" s="623"/>
      <c r="C20" s="623"/>
      <c r="D20" s="624"/>
      <c r="E20" s="605"/>
      <c r="F20" s="732"/>
      <c r="G20" s="605"/>
      <c r="H20" s="623"/>
      <c r="I20" s="639"/>
      <c r="J20" s="1423"/>
      <c r="K20" s="1421"/>
      <c r="L20" s="226"/>
      <c r="M20"/>
      <c r="N20"/>
    </row>
    <row r="21" spans="1:14" ht="15">
      <c r="A21" s="623"/>
      <c r="B21" s="623"/>
      <c r="C21" s="623"/>
      <c r="D21" s="624"/>
      <c r="E21" s="605"/>
      <c r="F21" s="732"/>
      <c r="G21" s="605"/>
      <c r="H21" s="623"/>
      <c r="I21" s="639"/>
      <c r="J21" s="1423"/>
      <c r="K21" s="1421"/>
      <c r="L21" s="226"/>
    </row>
    <row r="22" spans="1:14" ht="15">
      <c r="A22" s="623"/>
      <c r="B22" s="623"/>
      <c r="C22" s="623"/>
      <c r="D22" s="624"/>
      <c r="E22" s="605"/>
      <c r="F22" s="732"/>
      <c r="G22" s="605"/>
      <c r="H22" s="623"/>
      <c r="I22" s="639"/>
      <c r="J22" s="1423"/>
      <c r="K22" s="1421"/>
      <c r="L22" s="226"/>
    </row>
    <row r="23" spans="1:14" ht="15">
      <c r="A23" s="623"/>
      <c r="B23" s="623"/>
      <c r="C23" s="623"/>
      <c r="D23" s="624"/>
      <c r="E23" s="605"/>
      <c r="F23" s="732"/>
      <c r="G23" s="605"/>
      <c r="H23" s="623"/>
      <c r="I23" s="639"/>
      <c r="J23" s="1423"/>
      <c r="K23" s="1421"/>
      <c r="L23" s="226"/>
    </row>
    <row r="24" spans="1:14" ht="15">
      <c r="A24" s="623"/>
      <c r="B24" s="623"/>
      <c r="C24" s="623"/>
      <c r="D24" s="624"/>
      <c r="E24" s="605"/>
      <c r="F24" s="732"/>
      <c r="G24" s="605"/>
      <c r="H24" s="623"/>
      <c r="I24" s="639"/>
      <c r="J24" s="1423"/>
      <c r="K24" s="1421"/>
      <c r="L24" s="226"/>
    </row>
    <row r="25" spans="1:14" ht="15">
      <c r="A25" s="623"/>
      <c r="B25" s="623"/>
      <c r="C25" s="623"/>
      <c r="D25" s="624"/>
      <c r="E25" s="605"/>
      <c r="F25" s="732"/>
      <c r="G25" s="605"/>
      <c r="H25" s="623"/>
      <c r="I25" s="639"/>
      <c r="J25" s="1423"/>
      <c r="K25" s="1421"/>
      <c r="L25" s="226"/>
    </row>
    <row r="26" spans="1:14" ht="15">
      <c r="A26" s="623"/>
      <c r="B26" s="623"/>
      <c r="C26" s="623"/>
      <c r="D26" s="624"/>
      <c r="E26" s="605"/>
      <c r="F26" s="732"/>
      <c r="G26" s="605"/>
      <c r="H26" s="623"/>
      <c r="I26" s="639"/>
      <c r="J26" s="1423"/>
      <c r="K26" s="1421"/>
      <c r="L26" s="226"/>
    </row>
    <row r="27" spans="1:14" ht="15">
      <c r="A27" s="623"/>
      <c r="B27" s="623"/>
      <c r="C27" s="623"/>
      <c r="D27" s="624"/>
      <c r="E27" s="605"/>
      <c r="F27" s="732"/>
      <c r="G27" s="605"/>
      <c r="H27" s="623"/>
      <c r="I27" s="639"/>
      <c r="J27" s="1423"/>
      <c r="K27" s="1421"/>
      <c r="L27" s="226"/>
    </row>
    <row r="28" spans="1:14" ht="15">
      <c r="A28" s="623"/>
      <c r="B28" s="623"/>
      <c r="C28" s="623"/>
      <c r="D28" s="624"/>
      <c r="E28" s="605"/>
      <c r="F28" s="732"/>
      <c r="G28" s="605"/>
      <c r="H28" s="623"/>
      <c r="I28" s="639"/>
      <c r="J28" s="1423"/>
      <c r="K28" s="1421"/>
      <c r="L28" s="226"/>
    </row>
    <row r="29" spans="1:14" ht="15">
      <c r="A29" s="1423"/>
      <c r="B29" s="1423"/>
      <c r="C29" s="1423"/>
      <c r="D29" s="1424"/>
      <c r="E29" s="605"/>
      <c r="F29" s="732"/>
      <c r="G29" s="639"/>
      <c r="H29" s="1423"/>
      <c r="I29" s="639"/>
      <c r="J29" s="1423"/>
      <c r="K29" s="1421"/>
      <c r="L29" s="226"/>
    </row>
    <row r="30" spans="1:14" ht="15">
      <c r="A30" s="1423"/>
      <c r="B30" s="1423"/>
      <c r="C30" s="1423"/>
      <c r="D30" s="1424"/>
      <c r="E30" s="605"/>
      <c r="F30" s="732"/>
      <c r="G30" s="639"/>
      <c r="H30" s="1423"/>
      <c r="I30" s="639"/>
      <c r="J30" s="1423"/>
      <c r="K30" s="1421"/>
      <c r="L30" s="226"/>
    </row>
    <row r="31" spans="1:14" ht="15">
      <c r="A31" s="1424"/>
      <c r="B31" s="1424"/>
      <c r="C31" s="1424"/>
      <c r="D31" s="619"/>
      <c r="E31" s="619"/>
      <c r="F31" s="1144" t="s">
        <v>545</v>
      </c>
      <c r="G31" s="651">
        <f>SUM(G2:G30)-SUM(I2:I30)</f>
        <v>735.71999999999935</v>
      </c>
      <c r="H31" s="634"/>
      <c r="I31" s="639"/>
      <c r="J31" s="1423"/>
      <c r="K31" s="1421"/>
      <c r="L31" s="226"/>
    </row>
    <row r="32" spans="1:14">
      <c r="K32" s="237"/>
    </row>
    <row r="33" spans="11:11">
      <c r="K33" s="237"/>
    </row>
    <row r="34" spans="11:11">
      <c r="K34" s="237"/>
    </row>
  </sheetData>
  <mergeCells count="4">
    <mergeCell ref="J2:J6"/>
    <mergeCell ref="I2:I6"/>
    <mergeCell ref="K2:K6"/>
    <mergeCell ref="L2:L6"/>
  </mergeCells>
  <phoneticPr fontId="15" type="noConversion"/>
  <hyperlinks>
    <hyperlink ref="F31" location="汇总!A1" display="剩余欠款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Z404"/>
  <sheetViews>
    <sheetView zoomScaleNormal="100" workbookViewId="0">
      <pane ySplit="1" topLeftCell="A361" activePane="bottomLeft" state="frozen"/>
      <selection activeCell="C33" sqref="C33"/>
      <selection pane="bottomLeft" activeCell="F393" sqref="F393"/>
    </sheetView>
  </sheetViews>
  <sheetFormatPr defaultRowHeight="14.25"/>
  <cols>
    <col min="1" max="1" width="16" style="140" customWidth="1"/>
    <col min="2" max="2" width="8.875" style="140" bestFit="1" customWidth="1"/>
    <col min="3" max="3" width="28.875" style="140" bestFit="1" customWidth="1"/>
    <col min="4" max="4" width="15" style="138" bestFit="1" customWidth="1"/>
    <col min="5" max="5" width="15" style="529" customWidth="1"/>
    <col min="6" max="6" width="11.75" style="526" bestFit="1" customWidth="1"/>
    <col min="7" max="7" width="16.25" style="127" bestFit="1" customWidth="1"/>
    <col min="8" max="8" width="16.75" style="127" bestFit="1" customWidth="1"/>
    <col min="9" max="9" width="14.125" style="1419" bestFit="1" customWidth="1"/>
    <col min="10" max="10" width="13.25" style="258" bestFit="1" customWidth="1"/>
    <col min="11" max="11" width="14.5" style="230" customWidth="1"/>
    <col min="12" max="12" width="67.875" style="102" customWidth="1"/>
    <col min="13" max="13" width="13.875" style="102" bestFit="1" customWidth="1"/>
    <col min="14" max="16384" width="9" style="102"/>
  </cols>
  <sheetData>
    <row r="1" spans="1:13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6" t="s">
        <v>542</v>
      </c>
    </row>
    <row r="2" spans="1:13" ht="14.25" customHeight="1">
      <c r="A2" s="664">
        <v>44272</v>
      </c>
      <c r="B2" s="1124" t="s">
        <v>522</v>
      </c>
      <c r="C2" s="1124" t="s">
        <v>4394</v>
      </c>
      <c r="D2" s="647" t="s">
        <v>605</v>
      </c>
      <c r="E2" s="613">
        <v>17589.169999999998</v>
      </c>
      <c r="F2" s="633">
        <v>0</v>
      </c>
      <c r="G2" s="639">
        <v>17589.169999999998</v>
      </c>
      <c r="H2" s="664">
        <v>44272</v>
      </c>
      <c r="I2" s="1246">
        <v>4497</v>
      </c>
      <c r="J2" s="620">
        <v>44342</v>
      </c>
      <c r="K2" s="228" t="s">
        <v>1826</v>
      </c>
      <c r="L2" s="88" t="s">
        <v>607</v>
      </c>
      <c r="M2"/>
    </row>
    <row r="3" spans="1:13" ht="14.25" customHeight="1">
      <c r="A3" s="664"/>
      <c r="B3" s="1124"/>
      <c r="C3" s="1124"/>
      <c r="D3" s="647"/>
      <c r="E3" s="666"/>
      <c r="F3" s="667" t="s">
        <v>3093</v>
      </c>
      <c r="G3" s="639">
        <f>G2-I2</f>
        <v>13092.169999999998</v>
      </c>
      <c r="H3" s="664"/>
      <c r="I3" s="1246">
        <v>3505.69</v>
      </c>
      <c r="J3" s="620">
        <v>44362</v>
      </c>
      <c r="K3" s="228" t="s">
        <v>544</v>
      </c>
      <c r="L3" s="88"/>
      <c r="M3"/>
    </row>
    <row r="4" spans="1:13" ht="14.25" customHeight="1">
      <c r="A4" s="664"/>
      <c r="B4" s="1124"/>
      <c r="C4" s="1124"/>
      <c r="D4" s="647"/>
      <c r="E4" s="666"/>
      <c r="F4" s="667" t="s">
        <v>3093</v>
      </c>
      <c r="G4" s="639">
        <f>G3-I3</f>
        <v>9586.4799999999977</v>
      </c>
      <c r="H4" s="664"/>
      <c r="I4" s="1246">
        <f>4608.29+0.45+0.29</f>
        <v>4609.03</v>
      </c>
      <c r="J4" s="620">
        <v>44402</v>
      </c>
      <c r="K4" s="228" t="s">
        <v>1826</v>
      </c>
      <c r="L4" s="88"/>
      <c r="M4"/>
    </row>
    <row r="5" spans="1:13" ht="14.25" customHeight="1">
      <c r="A5" s="664"/>
      <c r="B5" s="1124"/>
      <c r="C5" s="1124"/>
      <c r="D5" s="647"/>
      <c r="E5" s="666"/>
      <c r="F5" s="667" t="s">
        <v>3093</v>
      </c>
      <c r="G5" s="639">
        <f>G4-I4</f>
        <v>4977.449999999998</v>
      </c>
      <c r="H5" s="664"/>
      <c r="I5" s="1997">
        <v>6000</v>
      </c>
      <c r="J5" s="1918">
        <v>44424</v>
      </c>
      <c r="K5" s="1968" t="s">
        <v>1826</v>
      </c>
      <c r="L5" s="88"/>
      <c r="M5"/>
    </row>
    <row r="6" spans="1:13" ht="14.25" customHeight="1">
      <c r="A6" s="664">
        <v>44301</v>
      </c>
      <c r="B6" s="1124" t="s">
        <v>522</v>
      </c>
      <c r="C6" s="1124" t="s">
        <v>4394</v>
      </c>
      <c r="D6" s="647" t="s">
        <v>608</v>
      </c>
      <c r="E6" s="613">
        <v>1937.18</v>
      </c>
      <c r="F6" s="633">
        <v>0</v>
      </c>
      <c r="G6" s="639">
        <v>1937.18</v>
      </c>
      <c r="H6" s="664">
        <v>44301</v>
      </c>
      <c r="I6" s="1999"/>
      <c r="J6" s="1920"/>
      <c r="K6" s="1957"/>
      <c r="L6" s="88"/>
      <c r="M6"/>
    </row>
    <row r="7" spans="1:13" ht="14.25" customHeight="1">
      <c r="A7" s="664"/>
      <c r="B7" s="1124"/>
      <c r="C7" s="1124"/>
      <c r="D7" s="647"/>
      <c r="E7" s="666"/>
      <c r="F7" s="667" t="s">
        <v>3093</v>
      </c>
      <c r="G7" s="639">
        <f>G5+G6-I5</f>
        <v>914.62999999999829</v>
      </c>
      <c r="H7" s="664"/>
      <c r="I7" s="2007">
        <v>10000</v>
      </c>
      <c r="J7" s="1948">
        <v>44466</v>
      </c>
      <c r="K7" s="1879" t="s">
        <v>550</v>
      </c>
      <c r="L7" s="88"/>
      <c r="M7"/>
    </row>
    <row r="8" spans="1:13" ht="14.25" customHeight="1">
      <c r="A8" s="664">
        <v>44320</v>
      </c>
      <c r="B8" s="1124" t="s">
        <v>522</v>
      </c>
      <c r="C8" s="1124" t="s">
        <v>4394</v>
      </c>
      <c r="D8" s="647" t="s">
        <v>609</v>
      </c>
      <c r="E8" s="613">
        <v>738.78</v>
      </c>
      <c r="F8" s="633">
        <v>0</v>
      </c>
      <c r="G8" s="639">
        <v>738.78</v>
      </c>
      <c r="H8" s="664">
        <v>44320</v>
      </c>
      <c r="I8" s="2007"/>
      <c r="J8" s="1948"/>
      <c r="K8" s="1879"/>
      <c r="L8" s="88"/>
      <c r="M8"/>
    </row>
    <row r="9" spans="1:13" ht="14.25" customHeight="1">
      <c r="A9" s="664">
        <v>44334</v>
      </c>
      <c r="B9" s="1124" t="s">
        <v>522</v>
      </c>
      <c r="C9" s="1124" t="s">
        <v>4394</v>
      </c>
      <c r="D9" s="647" t="s">
        <v>610</v>
      </c>
      <c r="E9" s="613">
        <v>1138.27</v>
      </c>
      <c r="F9" s="633">
        <v>0</v>
      </c>
      <c r="G9" s="639">
        <v>1138.27</v>
      </c>
      <c r="H9" s="664">
        <v>44334</v>
      </c>
      <c r="I9" s="2007"/>
      <c r="J9" s="1948"/>
      <c r="K9" s="1879"/>
      <c r="L9" s="88"/>
      <c r="M9"/>
    </row>
    <row r="10" spans="1:13" ht="14.25" customHeight="1">
      <c r="A10" s="664">
        <v>44340</v>
      </c>
      <c r="B10" s="1124" t="s">
        <v>522</v>
      </c>
      <c r="C10" s="1124" t="s">
        <v>4394</v>
      </c>
      <c r="D10" s="647" t="s">
        <v>611</v>
      </c>
      <c r="E10" s="613">
        <v>683.06</v>
      </c>
      <c r="F10" s="633">
        <v>0</v>
      </c>
      <c r="G10" s="639">
        <v>683.06</v>
      </c>
      <c r="H10" s="664">
        <v>44340</v>
      </c>
      <c r="I10" s="2007"/>
      <c r="J10" s="1948"/>
      <c r="K10" s="1879"/>
      <c r="L10" s="88"/>
      <c r="M10"/>
    </row>
    <row r="11" spans="1:13" ht="14.25" customHeight="1">
      <c r="A11" s="664">
        <v>44366</v>
      </c>
      <c r="B11" s="1124" t="s">
        <v>522</v>
      </c>
      <c r="C11" s="1124" t="s">
        <v>4394</v>
      </c>
      <c r="D11" s="647" t="s">
        <v>612</v>
      </c>
      <c r="E11" s="613">
        <v>2330.34</v>
      </c>
      <c r="F11" s="633">
        <v>0</v>
      </c>
      <c r="G11" s="639">
        <v>2330.34</v>
      </c>
      <c r="H11" s="664">
        <v>44366</v>
      </c>
      <c r="I11" s="2007"/>
      <c r="J11" s="1948"/>
      <c r="K11" s="1879"/>
      <c r="L11" s="88"/>
      <c r="M11"/>
    </row>
    <row r="12" spans="1:13" ht="14.25" customHeight="1">
      <c r="A12" s="664">
        <v>44370</v>
      </c>
      <c r="B12" s="1124" t="s">
        <v>522</v>
      </c>
      <c r="C12" s="1124" t="s">
        <v>4394</v>
      </c>
      <c r="D12" s="647" t="s">
        <v>613</v>
      </c>
      <c r="E12" s="613">
        <v>195.3</v>
      </c>
      <c r="F12" s="633">
        <v>0</v>
      </c>
      <c r="G12" s="639">
        <v>195.3</v>
      </c>
      <c r="H12" s="664">
        <v>44370</v>
      </c>
      <c r="I12" s="2007"/>
      <c r="J12" s="1948"/>
      <c r="K12" s="1879"/>
      <c r="L12" s="88"/>
      <c r="M12"/>
    </row>
    <row r="13" spans="1:13" ht="14.25" customHeight="1">
      <c r="A13" s="664">
        <v>44372</v>
      </c>
      <c r="B13" s="1124" t="s">
        <v>522</v>
      </c>
      <c r="C13" s="1124" t="s">
        <v>4394</v>
      </c>
      <c r="D13" s="647" t="s">
        <v>614</v>
      </c>
      <c r="E13" s="613">
        <v>244.13</v>
      </c>
      <c r="F13" s="633">
        <v>0</v>
      </c>
      <c r="G13" s="639">
        <v>244.13</v>
      </c>
      <c r="H13" s="664">
        <v>44372</v>
      </c>
      <c r="I13" s="2007"/>
      <c r="J13" s="1948"/>
      <c r="K13" s="1879"/>
      <c r="L13" s="88"/>
      <c r="M13"/>
    </row>
    <row r="14" spans="1:13" ht="14.25" customHeight="1">
      <c r="A14" s="664">
        <v>44372</v>
      </c>
      <c r="B14" s="1124" t="s">
        <v>522</v>
      </c>
      <c r="C14" s="1124" t="s">
        <v>4394</v>
      </c>
      <c r="D14" s="647" t="s">
        <v>615</v>
      </c>
      <c r="E14" s="613">
        <v>201.76</v>
      </c>
      <c r="F14" s="633">
        <v>42.36</v>
      </c>
      <c r="G14" s="639">
        <v>244.12</v>
      </c>
      <c r="H14" s="664">
        <v>44372</v>
      </c>
      <c r="I14" s="2007"/>
      <c r="J14" s="1948"/>
      <c r="K14" s="1879"/>
      <c r="L14" s="88"/>
      <c r="M14"/>
    </row>
    <row r="15" spans="1:13" ht="14.25" customHeight="1">
      <c r="A15" s="664">
        <v>44377</v>
      </c>
      <c r="B15" s="1124" t="s">
        <v>522</v>
      </c>
      <c r="C15" s="1124" t="s">
        <v>4394</v>
      </c>
      <c r="D15" s="647" t="s">
        <v>616</v>
      </c>
      <c r="E15" s="613">
        <v>1594.85</v>
      </c>
      <c r="F15" s="633">
        <v>0</v>
      </c>
      <c r="G15" s="639">
        <v>1594.85</v>
      </c>
      <c r="H15" s="664">
        <v>44377</v>
      </c>
      <c r="I15" s="2007"/>
      <c r="J15" s="1948"/>
      <c r="K15" s="1879"/>
      <c r="L15" s="88"/>
      <c r="M15"/>
    </row>
    <row r="16" spans="1:13" ht="14.25" customHeight="1">
      <c r="A16" s="664">
        <v>44383</v>
      </c>
      <c r="B16" s="1124" t="s">
        <v>522</v>
      </c>
      <c r="C16" s="1124" t="s">
        <v>4394</v>
      </c>
      <c r="D16" s="647" t="s">
        <v>617</v>
      </c>
      <c r="E16" s="613">
        <v>1202.25</v>
      </c>
      <c r="F16" s="633">
        <v>0</v>
      </c>
      <c r="G16" s="639">
        <v>1202.25</v>
      </c>
      <c r="H16" s="664">
        <v>44383</v>
      </c>
      <c r="I16" s="2007"/>
      <c r="J16" s="1948"/>
      <c r="K16" s="1879"/>
      <c r="L16" s="260"/>
      <c r="M16"/>
    </row>
    <row r="17" spans="1:13" ht="14.25" customHeight="1">
      <c r="A17" s="664">
        <v>44389</v>
      </c>
      <c r="B17" s="1124" t="s">
        <v>522</v>
      </c>
      <c r="C17" s="1124" t="s">
        <v>4394</v>
      </c>
      <c r="D17" s="647" t="s">
        <v>618</v>
      </c>
      <c r="E17" s="613">
        <v>83.3</v>
      </c>
      <c r="F17" s="633">
        <v>0</v>
      </c>
      <c r="G17" s="639">
        <v>83.3</v>
      </c>
      <c r="H17" s="664">
        <v>44389</v>
      </c>
      <c r="I17" s="2007"/>
      <c r="J17" s="1948"/>
      <c r="K17" s="1879"/>
      <c r="L17" s="260"/>
      <c r="M17"/>
    </row>
    <row r="18" spans="1:13" ht="14.25" customHeight="1">
      <c r="A18" s="664">
        <v>44390</v>
      </c>
      <c r="B18" s="1124" t="s">
        <v>522</v>
      </c>
      <c r="C18" s="1124" t="s">
        <v>4394</v>
      </c>
      <c r="D18" s="647" t="s">
        <v>619</v>
      </c>
      <c r="E18" s="613">
        <v>813.43</v>
      </c>
      <c r="F18" s="633">
        <v>0</v>
      </c>
      <c r="G18" s="639">
        <v>813.43</v>
      </c>
      <c r="H18" s="664">
        <v>44390</v>
      </c>
      <c r="I18" s="2007"/>
      <c r="J18" s="1948"/>
      <c r="K18" s="1879"/>
      <c r="L18" s="260"/>
      <c r="M18"/>
    </row>
    <row r="19" spans="1:13" ht="14.25" customHeight="1">
      <c r="A19" s="664"/>
      <c r="B19" s="1124"/>
      <c r="C19" s="1124"/>
      <c r="D19" s="647"/>
      <c r="E19" s="666"/>
      <c r="F19" s="667" t="s">
        <v>3093</v>
      </c>
      <c r="G19" s="639">
        <f>SUM(G7:G18)-I7</f>
        <v>182.45999999999731</v>
      </c>
      <c r="H19" s="664"/>
      <c r="I19" s="2007">
        <v>6000</v>
      </c>
      <c r="J19" s="1948">
        <v>44483</v>
      </c>
      <c r="K19" s="1879" t="s">
        <v>550</v>
      </c>
      <c r="L19" s="260"/>
      <c r="M19"/>
    </row>
    <row r="20" spans="1:13" ht="14.25" customHeight="1">
      <c r="A20" s="664">
        <v>44397</v>
      </c>
      <c r="B20" s="1124" t="s">
        <v>522</v>
      </c>
      <c r="C20" s="1124" t="s">
        <v>4394</v>
      </c>
      <c r="D20" s="647" t="s">
        <v>621</v>
      </c>
      <c r="E20" s="613">
        <v>663.95</v>
      </c>
      <c r="F20" s="633">
        <v>0</v>
      </c>
      <c r="G20" s="639">
        <v>663.95</v>
      </c>
      <c r="H20" s="664">
        <v>44397</v>
      </c>
      <c r="I20" s="2007"/>
      <c r="J20" s="1948"/>
      <c r="K20" s="1879"/>
      <c r="L20" s="260"/>
      <c r="M20"/>
    </row>
    <row r="21" spans="1:13" ht="14.25" customHeight="1">
      <c r="A21" s="664">
        <v>44403</v>
      </c>
      <c r="B21" s="1124" t="s">
        <v>522</v>
      </c>
      <c r="C21" s="1124" t="s">
        <v>4394</v>
      </c>
      <c r="D21" s="647" t="s">
        <v>622</v>
      </c>
      <c r="E21" s="613">
        <v>346.5</v>
      </c>
      <c r="F21" s="633">
        <v>0</v>
      </c>
      <c r="G21" s="639">
        <v>346.5</v>
      </c>
      <c r="H21" s="664">
        <v>44403</v>
      </c>
      <c r="I21" s="2007"/>
      <c r="J21" s="1948"/>
      <c r="K21" s="1879"/>
      <c r="L21" s="260"/>
      <c r="M21"/>
    </row>
    <row r="22" spans="1:13" ht="14.25" customHeight="1">
      <c r="A22" s="664">
        <v>44405</v>
      </c>
      <c r="B22" s="1124" t="s">
        <v>522</v>
      </c>
      <c r="C22" s="1124" t="s">
        <v>4394</v>
      </c>
      <c r="D22" s="647" t="s">
        <v>623</v>
      </c>
      <c r="E22" s="613">
        <v>1676.29</v>
      </c>
      <c r="F22" s="633">
        <v>0</v>
      </c>
      <c r="G22" s="639">
        <v>1676.29</v>
      </c>
      <c r="H22" s="664">
        <v>44405</v>
      </c>
      <c r="I22" s="2007"/>
      <c r="J22" s="1948"/>
      <c r="K22" s="1879"/>
      <c r="L22" s="260"/>
      <c r="M22"/>
    </row>
    <row r="23" spans="1:13" ht="14.25" customHeight="1">
      <c r="A23" s="664">
        <v>44410</v>
      </c>
      <c r="B23" s="1124" t="s">
        <v>522</v>
      </c>
      <c r="C23" s="1124" t="s">
        <v>4394</v>
      </c>
      <c r="D23" s="647" t="s">
        <v>624</v>
      </c>
      <c r="E23" s="613">
        <v>348.25</v>
      </c>
      <c r="F23" s="633">
        <v>0</v>
      </c>
      <c r="G23" s="639">
        <v>348.25</v>
      </c>
      <c r="H23" s="664">
        <v>44410</v>
      </c>
      <c r="I23" s="2007"/>
      <c r="J23" s="1948"/>
      <c r="K23" s="1879"/>
      <c r="L23" s="260"/>
      <c r="M23"/>
    </row>
    <row r="24" spans="1:13" ht="14.25" customHeight="1">
      <c r="A24" s="664">
        <v>44411</v>
      </c>
      <c r="B24" s="1124" t="s">
        <v>522</v>
      </c>
      <c r="C24" s="1124" t="s">
        <v>4394</v>
      </c>
      <c r="D24" s="647" t="s">
        <v>625</v>
      </c>
      <c r="E24" s="613">
        <v>1385.63</v>
      </c>
      <c r="F24" s="633">
        <v>0</v>
      </c>
      <c r="G24" s="639">
        <v>1385.63</v>
      </c>
      <c r="H24" s="664">
        <v>44411</v>
      </c>
      <c r="I24" s="2007"/>
      <c r="J24" s="1948"/>
      <c r="K24" s="1879"/>
      <c r="L24" s="260"/>
      <c r="M24"/>
    </row>
    <row r="25" spans="1:13" ht="14.25" customHeight="1">
      <c r="A25" s="664">
        <v>44419</v>
      </c>
      <c r="B25" s="1124" t="s">
        <v>522</v>
      </c>
      <c r="C25" s="1124" t="s">
        <v>4394</v>
      </c>
      <c r="D25" s="647" t="s">
        <v>626</v>
      </c>
      <c r="E25" s="613">
        <v>1034.81</v>
      </c>
      <c r="F25" s="633">
        <v>0</v>
      </c>
      <c r="G25" s="639">
        <v>1034.81</v>
      </c>
      <c r="H25" s="664">
        <v>44419</v>
      </c>
      <c r="I25" s="2007"/>
      <c r="J25" s="1948"/>
      <c r="K25" s="1879"/>
      <c r="L25" s="260"/>
      <c r="M25"/>
    </row>
    <row r="26" spans="1:13" ht="14.25" customHeight="1">
      <c r="A26" s="664">
        <v>44438</v>
      </c>
      <c r="B26" s="1124" t="s">
        <v>522</v>
      </c>
      <c r="C26" s="1124" t="s">
        <v>4394</v>
      </c>
      <c r="D26" s="647" t="s">
        <v>627</v>
      </c>
      <c r="E26" s="613">
        <v>1393</v>
      </c>
      <c r="F26" s="633">
        <v>0</v>
      </c>
      <c r="G26" s="639">
        <v>1393</v>
      </c>
      <c r="H26" s="664">
        <v>44438</v>
      </c>
      <c r="I26" s="2007"/>
      <c r="J26" s="1948"/>
      <c r="K26" s="1879"/>
      <c r="L26" s="260"/>
      <c r="M26"/>
    </row>
    <row r="27" spans="1:13" ht="14.25" customHeight="1">
      <c r="A27" s="664"/>
      <c r="B27" s="1124"/>
      <c r="C27" s="1124"/>
      <c r="D27" s="647"/>
      <c r="E27" s="666"/>
      <c r="F27" s="667" t="s">
        <v>3093</v>
      </c>
      <c r="G27" s="639">
        <f>SUM(G19:G26)-I19</f>
        <v>1030.8899999999976</v>
      </c>
      <c r="H27" s="664"/>
      <c r="I27" s="2007">
        <v>7000</v>
      </c>
      <c r="J27" s="1948">
        <v>44508</v>
      </c>
      <c r="K27" s="1879" t="s">
        <v>550</v>
      </c>
      <c r="L27" s="88"/>
      <c r="M27"/>
    </row>
    <row r="28" spans="1:13" ht="14.25" customHeight="1">
      <c r="A28" s="664">
        <v>44442</v>
      </c>
      <c r="B28" s="1124" t="s">
        <v>522</v>
      </c>
      <c r="C28" s="1124" t="s">
        <v>4394</v>
      </c>
      <c r="D28" s="647" t="s">
        <v>628</v>
      </c>
      <c r="E28" s="613">
        <v>1975.82</v>
      </c>
      <c r="F28" s="633">
        <v>0</v>
      </c>
      <c r="G28" s="639">
        <v>1975.82</v>
      </c>
      <c r="H28" s="664">
        <v>44442</v>
      </c>
      <c r="I28" s="2007"/>
      <c r="J28" s="1948"/>
      <c r="K28" s="1879"/>
      <c r="L28" s="88"/>
      <c r="M28"/>
    </row>
    <row r="29" spans="1:13" ht="14.25" customHeight="1">
      <c r="A29" s="664">
        <v>44454</v>
      </c>
      <c r="B29" s="1124" t="s">
        <v>522</v>
      </c>
      <c r="C29" s="1124" t="s">
        <v>4394</v>
      </c>
      <c r="D29" s="647" t="s">
        <v>629</v>
      </c>
      <c r="E29" s="613">
        <v>1233.8599999999999</v>
      </c>
      <c r="F29" s="633">
        <v>0</v>
      </c>
      <c r="G29" s="639">
        <v>1233.8599999999999</v>
      </c>
      <c r="H29" s="664">
        <v>44454</v>
      </c>
      <c r="I29" s="2007"/>
      <c r="J29" s="1948"/>
      <c r="K29" s="1879"/>
      <c r="L29" s="88"/>
      <c r="M29"/>
    </row>
    <row r="30" spans="1:13" ht="14.25" customHeight="1">
      <c r="A30" s="664">
        <v>44468</v>
      </c>
      <c r="B30" s="1124" t="s">
        <v>522</v>
      </c>
      <c r="C30" s="1124" t="s">
        <v>4394</v>
      </c>
      <c r="D30" s="647" t="s">
        <v>631</v>
      </c>
      <c r="E30" s="613">
        <v>-95.62</v>
      </c>
      <c r="F30" s="633">
        <v>0</v>
      </c>
      <c r="G30" s="639">
        <v>-95.62</v>
      </c>
      <c r="H30" s="664" t="s">
        <v>1529</v>
      </c>
      <c r="I30" s="2007"/>
      <c r="J30" s="1948"/>
      <c r="K30" s="1879"/>
      <c r="L30" s="88"/>
      <c r="M30"/>
    </row>
    <row r="31" spans="1:13" ht="14.25" customHeight="1">
      <c r="A31" s="664">
        <v>44470</v>
      </c>
      <c r="B31" s="1124" t="s">
        <v>522</v>
      </c>
      <c r="C31" s="1124" t="s">
        <v>4394</v>
      </c>
      <c r="D31" s="647" t="s">
        <v>632</v>
      </c>
      <c r="E31" s="613">
        <v>1257.3800000000001</v>
      </c>
      <c r="F31" s="633">
        <v>0</v>
      </c>
      <c r="G31" s="639">
        <v>1257.3800000000001</v>
      </c>
      <c r="H31" s="664">
        <v>44470</v>
      </c>
      <c r="I31" s="2007"/>
      <c r="J31" s="1948"/>
      <c r="K31" s="1879"/>
      <c r="L31" s="88"/>
      <c r="M31"/>
    </row>
    <row r="32" spans="1:13" ht="14.25" customHeight="1">
      <c r="A32" s="664">
        <v>44476</v>
      </c>
      <c r="B32" s="1124" t="s">
        <v>522</v>
      </c>
      <c r="C32" s="1124" t="s">
        <v>4394</v>
      </c>
      <c r="D32" s="647" t="s">
        <v>633</v>
      </c>
      <c r="E32" s="613">
        <v>-138.53</v>
      </c>
      <c r="F32" s="633">
        <v>0</v>
      </c>
      <c r="G32" s="639">
        <v>-138.53</v>
      </c>
      <c r="H32" s="664" t="s">
        <v>1529</v>
      </c>
      <c r="I32" s="2007"/>
      <c r="J32" s="1948"/>
      <c r="K32" s="1879"/>
      <c r="L32" s="88" t="s">
        <v>634</v>
      </c>
      <c r="M32"/>
    </row>
    <row r="33" spans="1:13" ht="14.25" customHeight="1">
      <c r="A33" s="664">
        <v>44482</v>
      </c>
      <c r="B33" s="1124" t="s">
        <v>522</v>
      </c>
      <c r="C33" s="1124" t="s">
        <v>4394</v>
      </c>
      <c r="D33" s="647" t="s">
        <v>635</v>
      </c>
      <c r="E33" s="613">
        <v>1539.26</v>
      </c>
      <c r="F33" s="633">
        <v>0</v>
      </c>
      <c r="G33" s="639">
        <v>1539.26</v>
      </c>
      <c r="H33" s="664">
        <v>44482</v>
      </c>
      <c r="I33" s="2007"/>
      <c r="J33" s="1948"/>
      <c r="K33" s="1879"/>
      <c r="L33" s="88"/>
      <c r="M33"/>
    </row>
    <row r="34" spans="1:13" ht="14.25" customHeight="1">
      <c r="A34" s="664">
        <v>44489</v>
      </c>
      <c r="B34" s="1124" t="s">
        <v>522</v>
      </c>
      <c r="C34" s="1124" t="s">
        <v>4394</v>
      </c>
      <c r="D34" s="647" t="s">
        <v>636</v>
      </c>
      <c r="E34" s="613">
        <v>187.25</v>
      </c>
      <c r="F34" s="633">
        <v>0</v>
      </c>
      <c r="G34" s="639">
        <v>187.25</v>
      </c>
      <c r="H34" s="664">
        <v>44489</v>
      </c>
      <c r="I34" s="2007"/>
      <c r="J34" s="1948"/>
      <c r="K34" s="1879"/>
      <c r="L34" s="88"/>
      <c r="M34"/>
    </row>
    <row r="35" spans="1:13" ht="14.25" customHeight="1">
      <c r="A35" s="664">
        <v>44490</v>
      </c>
      <c r="B35" s="1124" t="s">
        <v>522</v>
      </c>
      <c r="C35" s="1124" t="s">
        <v>4394</v>
      </c>
      <c r="D35" s="647" t="s">
        <v>637</v>
      </c>
      <c r="E35" s="613">
        <v>1764.66</v>
      </c>
      <c r="F35" s="633">
        <v>0</v>
      </c>
      <c r="G35" s="639">
        <v>1764.66</v>
      </c>
      <c r="H35" s="664">
        <v>44490</v>
      </c>
      <c r="I35" s="2007"/>
      <c r="J35" s="1948"/>
      <c r="K35" s="1879"/>
      <c r="L35" s="88"/>
      <c r="M35"/>
    </row>
    <row r="36" spans="1:13" ht="14.25" customHeight="1">
      <c r="A36" s="664"/>
      <c r="B36" s="1124"/>
      <c r="C36" s="1124"/>
      <c r="D36" s="647"/>
      <c r="E36" s="666"/>
      <c r="F36" s="667" t="s">
        <v>3093</v>
      </c>
      <c r="G36" s="639">
        <f>SUM(G27:G35)-I27</f>
        <v>1754.9699999999975</v>
      </c>
      <c r="H36" s="664"/>
      <c r="I36" s="2007">
        <v>5000</v>
      </c>
      <c r="J36" s="1948">
        <v>44544</v>
      </c>
      <c r="K36" s="1879" t="s">
        <v>550</v>
      </c>
      <c r="L36" s="88"/>
      <c r="M36"/>
    </row>
    <row r="37" spans="1:13" ht="14.25" customHeight="1">
      <c r="A37" s="664">
        <v>44497</v>
      </c>
      <c r="B37" s="1124" t="s">
        <v>522</v>
      </c>
      <c r="C37" s="1124" t="s">
        <v>4394</v>
      </c>
      <c r="D37" s="647" t="s">
        <v>638</v>
      </c>
      <c r="E37" s="613">
        <v>3101.32</v>
      </c>
      <c r="F37" s="633">
        <v>0</v>
      </c>
      <c r="G37" s="639">
        <v>3101.32</v>
      </c>
      <c r="H37" s="664">
        <v>44497</v>
      </c>
      <c r="I37" s="2007"/>
      <c r="J37" s="1948"/>
      <c r="K37" s="1879"/>
      <c r="L37" s="88"/>
      <c r="M37"/>
    </row>
    <row r="38" spans="1:13" ht="14.25" customHeight="1">
      <c r="A38" s="664">
        <v>44498</v>
      </c>
      <c r="B38" s="1124" t="s">
        <v>522</v>
      </c>
      <c r="C38" s="1124" t="s">
        <v>4394</v>
      </c>
      <c r="D38" s="647" t="s">
        <v>639</v>
      </c>
      <c r="E38" s="613">
        <v>173.88</v>
      </c>
      <c r="F38" s="633">
        <v>0</v>
      </c>
      <c r="G38" s="639">
        <v>173.88</v>
      </c>
      <c r="H38" s="664">
        <v>44498</v>
      </c>
      <c r="I38" s="2007"/>
      <c r="J38" s="1948"/>
      <c r="K38" s="1879"/>
      <c r="L38" s="88"/>
      <c r="M38"/>
    </row>
    <row r="39" spans="1:13" ht="14.25" customHeight="1">
      <c r="A39" s="664"/>
      <c r="B39" s="1124"/>
      <c r="C39" s="1124"/>
      <c r="D39" s="647"/>
      <c r="E39" s="666"/>
      <c r="F39" s="667" t="s">
        <v>3093</v>
      </c>
      <c r="G39" s="639">
        <f>SUM(G36:G38)-I36</f>
        <v>30.169999999997344</v>
      </c>
      <c r="H39" s="664"/>
      <c r="I39" s="2007">
        <v>5000</v>
      </c>
      <c r="J39" s="1918">
        <v>44565</v>
      </c>
      <c r="K39" s="1968" t="s">
        <v>550</v>
      </c>
      <c r="L39" s="88"/>
      <c r="M39"/>
    </row>
    <row r="40" spans="1:13" ht="14.25" customHeight="1">
      <c r="A40" s="664">
        <v>44503</v>
      </c>
      <c r="B40" s="1124" t="s">
        <v>522</v>
      </c>
      <c r="C40" s="1124" t="s">
        <v>4394</v>
      </c>
      <c r="D40" s="647" t="s">
        <v>641</v>
      </c>
      <c r="E40" s="613">
        <v>603.75</v>
      </c>
      <c r="F40" s="633">
        <v>0</v>
      </c>
      <c r="G40" s="639">
        <v>603.75</v>
      </c>
      <c r="H40" s="664">
        <v>44503</v>
      </c>
      <c r="I40" s="2007"/>
      <c r="J40" s="1919"/>
      <c r="K40" s="1962"/>
      <c r="L40" s="88"/>
      <c r="M40"/>
    </row>
    <row r="41" spans="1:13" ht="14.25" customHeight="1">
      <c r="A41" s="664">
        <v>44504</v>
      </c>
      <c r="B41" s="1124" t="s">
        <v>522</v>
      </c>
      <c r="C41" s="1124" t="s">
        <v>4394</v>
      </c>
      <c r="D41" s="647" t="s">
        <v>642</v>
      </c>
      <c r="E41" s="613">
        <v>415.17</v>
      </c>
      <c r="F41" s="633">
        <v>0</v>
      </c>
      <c r="G41" s="639">
        <v>415.17</v>
      </c>
      <c r="H41" s="664">
        <v>44504</v>
      </c>
      <c r="I41" s="2007"/>
      <c r="J41" s="1919"/>
      <c r="K41" s="1962"/>
      <c r="L41" s="88"/>
      <c r="M41"/>
    </row>
    <row r="42" spans="1:13" ht="14.25" customHeight="1">
      <c r="A42" s="664">
        <v>44509</v>
      </c>
      <c r="B42" s="1124" t="s">
        <v>522</v>
      </c>
      <c r="C42" s="1124" t="s">
        <v>4394</v>
      </c>
      <c r="D42" s="647" t="s">
        <v>643</v>
      </c>
      <c r="E42" s="613">
        <v>2102.0300000000002</v>
      </c>
      <c r="F42" s="633">
        <v>0</v>
      </c>
      <c r="G42" s="639">
        <v>2102.0300000000002</v>
      </c>
      <c r="H42" s="664">
        <v>44509</v>
      </c>
      <c r="I42" s="2007"/>
      <c r="J42" s="1919"/>
      <c r="K42" s="1962"/>
      <c r="L42" s="88"/>
      <c r="M42"/>
    </row>
    <row r="43" spans="1:13" ht="14.25" customHeight="1">
      <c r="A43" s="664">
        <v>44519</v>
      </c>
      <c r="B43" s="1124" t="s">
        <v>522</v>
      </c>
      <c r="C43" s="1124" t="s">
        <v>4394</v>
      </c>
      <c r="D43" s="647" t="s">
        <v>644</v>
      </c>
      <c r="E43" s="613">
        <v>1394.89</v>
      </c>
      <c r="F43" s="633">
        <v>0</v>
      </c>
      <c r="G43" s="639">
        <v>1394.89</v>
      </c>
      <c r="H43" s="664">
        <v>44519</v>
      </c>
      <c r="I43" s="2007"/>
      <c r="J43" s="1919"/>
      <c r="K43" s="1962"/>
      <c r="L43" s="88"/>
      <c r="M43"/>
    </row>
    <row r="44" spans="1:13" ht="14.25" customHeight="1">
      <c r="A44" s="664">
        <v>44522</v>
      </c>
      <c r="B44" s="1124" t="s">
        <v>522</v>
      </c>
      <c r="C44" s="1124" t="s">
        <v>4394</v>
      </c>
      <c r="D44" s="647" t="s">
        <v>645</v>
      </c>
      <c r="E44" s="613">
        <v>415.8</v>
      </c>
      <c r="F44" s="633">
        <v>0</v>
      </c>
      <c r="G44" s="639">
        <v>415.8</v>
      </c>
      <c r="H44" s="664">
        <v>44522</v>
      </c>
      <c r="I44" s="2007"/>
      <c r="J44" s="1919"/>
      <c r="K44" s="1962"/>
      <c r="L44" s="88"/>
      <c r="M44"/>
    </row>
    <row r="45" spans="1:13" ht="14.25" customHeight="1">
      <c r="A45" s="664">
        <v>44524</v>
      </c>
      <c r="B45" s="1124" t="s">
        <v>522</v>
      </c>
      <c r="C45" s="1124" t="s">
        <v>4394</v>
      </c>
      <c r="D45" s="647" t="s">
        <v>646</v>
      </c>
      <c r="E45" s="613">
        <v>629.02</v>
      </c>
      <c r="F45" s="633">
        <v>0</v>
      </c>
      <c r="G45" s="639">
        <v>629.02</v>
      </c>
      <c r="H45" s="664">
        <v>44524</v>
      </c>
      <c r="I45" s="2007"/>
      <c r="J45" s="1920"/>
      <c r="K45" s="1957"/>
      <c r="L45" s="88"/>
      <c r="M45"/>
    </row>
    <row r="46" spans="1:13" ht="14.25" customHeight="1">
      <c r="A46" s="664"/>
      <c r="B46" s="1124"/>
      <c r="C46" s="1124"/>
      <c r="D46" s="647"/>
      <c r="E46" s="666"/>
      <c r="F46" s="667" t="s">
        <v>3093</v>
      </c>
      <c r="G46" s="639">
        <f>SUM(G39:G45)-I39</f>
        <v>590.82999999999811</v>
      </c>
      <c r="H46" s="664"/>
      <c r="I46" s="2007">
        <v>3000</v>
      </c>
      <c r="J46" s="1948">
        <v>44566</v>
      </c>
      <c r="K46" s="1879" t="s">
        <v>550</v>
      </c>
      <c r="L46" s="88"/>
      <c r="M46"/>
    </row>
    <row r="47" spans="1:13" ht="14.25" customHeight="1">
      <c r="A47" s="664">
        <v>44529</v>
      </c>
      <c r="B47" s="1124" t="s">
        <v>522</v>
      </c>
      <c r="C47" s="1124" t="s">
        <v>4394</v>
      </c>
      <c r="D47" s="647" t="s">
        <v>648</v>
      </c>
      <c r="E47" s="613">
        <v>2819.01</v>
      </c>
      <c r="F47" s="633">
        <v>0</v>
      </c>
      <c r="G47" s="639">
        <v>2819.01</v>
      </c>
      <c r="H47" s="664">
        <v>44529</v>
      </c>
      <c r="I47" s="2007"/>
      <c r="J47" s="1948"/>
      <c r="K47" s="1879"/>
      <c r="L47" s="88"/>
      <c r="M47"/>
    </row>
    <row r="48" spans="1:13" ht="14.25" customHeight="1">
      <c r="A48" s="664"/>
      <c r="B48" s="1124"/>
      <c r="C48" s="1124"/>
      <c r="D48" s="647"/>
      <c r="E48" s="666"/>
      <c r="F48" s="667" t="s">
        <v>3093</v>
      </c>
      <c r="G48" s="639">
        <f>SUM(G46:G47)-I46</f>
        <v>409.83999999999833</v>
      </c>
      <c r="H48" s="664"/>
      <c r="I48" s="1997">
        <v>3000</v>
      </c>
      <c r="J48" s="1918">
        <v>44579</v>
      </c>
      <c r="K48" s="1968" t="s">
        <v>550</v>
      </c>
      <c r="L48" s="88"/>
      <c r="M48"/>
    </row>
    <row r="49" spans="1:13" ht="14.25" customHeight="1">
      <c r="A49" s="664">
        <v>44530</v>
      </c>
      <c r="B49" s="1124" t="s">
        <v>522</v>
      </c>
      <c r="C49" s="1124" t="s">
        <v>4394</v>
      </c>
      <c r="D49" s="647" t="s">
        <v>649</v>
      </c>
      <c r="E49" s="613">
        <v>171.5</v>
      </c>
      <c r="F49" s="633">
        <v>0</v>
      </c>
      <c r="G49" s="639">
        <v>171.5</v>
      </c>
      <c r="H49" s="664">
        <v>44530</v>
      </c>
      <c r="I49" s="1998"/>
      <c r="J49" s="1919"/>
      <c r="K49" s="1962"/>
      <c r="L49" s="88"/>
      <c r="M49"/>
    </row>
    <row r="50" spans="1:13" ht="14.25" customHeight="1">
      <c r="A50" s="664">
        <v>44540</v>
      </c>
      <c r="B50" s="1124" t="s">
        <v>522</v>
      </c>
      <c r="C50" s="1124" t="s">
        <v>4394</v>
      </c>
      <c r="D50" s="647" t="s">
        <v>650</v>
      </c>
      <c r="E50" s="613">
        <v>729.58</v>
      </c>
      <c r="F50" s="633">
        <v>0</v>
      </c>
      <c r="G50" s="639">
        <v>729.58</v>
      </c>
      <c r="H50" s="664">
        <v>44540</v>
      </c>
      <c r="I50" s="1998"/>
      <c r="J50" s="1919"/>
      <c r="K50" s="1962"/>
      <c r="L50" s="88"/>
      <c r="M50"/>
    </row>
    <row r="51" spans="1:13" ht="14.25" customHeight="1">
      <c r="A51" s="664">
        <v>44544</v>
      </c>
      <c r="B51" s="1124" t="s">
        <v>522</v>
      </c>
      <c r="C51" s="1124" t="s">
        <v>4394</v>
      </c>
      <c r="D51" s="647" t="s">
        <v>651</v>
      </c>
      <c r="E51" s="613">
        <v>880.84</v>
      </c>
      <c r="F51" s="633">
        <v>0</v>
      </c>
      <c r="G51" s="639">
        <v>880.84</v>
      </c>
      <c r="H51" s="664">
        <v>44544</v>
      </c>
      <c r="I51" s="1998"/>
      <c r="J51" s="1919"/>
      <c r="K51" s="1962"/>
      <c r="L51" s="88"/>
      <c r="M51"/>
    </row>
    <row r="52" spans="1:13" s="168" customFormat="1" ht="14.25" customHeight="1">
      <c r="A52" s="664">
        <v>44544</v>
      </c>
      <c r="B52" s="1124" t="s">
        <v>522</v>
      </c>
      <c r="C52" s="1124" t="s">
        <v>4394</v>
      </c>
      <c r="D52" s="647" t="s">
        <v>1837</v>
      </c>
      <c r="E52" s="613">
        <v>0.01</v>
      </c>
      <c r="F52" s="633">
        <v>0</v>
      </c>
      <c r="G52" s="639">
        <v>0.01</v>
      </c>
      <c r="H52" s="664">
        <v>44544</v>
      </c>
      <c r="I52" s="1998"/>
      <c r="J52" s="1919"/>
      <c r="K52" s="1962"/>
      <c r="L52" s="226" t="s">
        <v>1838</v>
      </c>
      <c r="M52"/>
    </row>
    <row r="53" spans="1:13" ht="14.25" customHeight="1">
      <c r="A53" s="668">
        <v>44559</v>
      </c>
      <c r="B53" s="1124" t="s">
        <v>522</v>
      </c>
      <c r="C53" s="1124" t="s">
        <v>4394</v>
      </c>
      <c r="D53" s="669" t="s">
        <v>652</v>
      </c>
      <c r="E53" s="613">
        <v>970.55</v>
      </c>
      <c r="F53" s="633">
        <v>0</v>
      </c>
      <c r="G53" s="639">
        <v>970.55</v>
      </c>
      <c r="H53" s="664">
        <v>44559</v>
      </c>
      <c r="I53" s="1999"/>
      <c r="J53" s="1920"/>
      <c r="K53" s="1957"/>
      <c r="L53" s="88"/>
      <c r="M53"/>
    </row>
    <row r="54" spans="1:13" ht="14.25" customHeight="1">
      <c r="A54" s="668"/>
      <c r="B54" s="1124"/>
      <c r="C54" s="1124"/>
      <c r="D54" s="669"/>
      <c r="E54" s="670"/>
      <c r="F54" s="671" t="s">
        <v>3093</v>
      </c>
      <c r="G54" s="639">
        <f>SUM(G48:G53)-I48</f>
        <v>162.3199999999988</v>
      </c>
      <c r="H54" s="664"/>
      <c r="I54" s="1997">
        <v>1728.36</v>
      </c>
      <c r="J54" s="2008">
        <v>44592</v>
      </c>
      <c r="K54" s="1968" t="s">
        <v>653</v>
      </c>
      <c r="L54" s="88"/>
      <c r="M54"/>
    </row>
    <row r="55" spans="1:13" ht="14.25" customHeight="1">
      <c r="A55" s="668">
        <v>44559</v>
      </c>
      <c r="B55" s="1124" t="s">
        <v>522</v>
      </c>
      <c r="C55" s="1124" t="s">
        <v>4394</v>
      </c>
      <c r="D55" s="669" t="s">
        <v>654</v>
      </c>
      <c r="E55" s="613">
        <v>1858.5</v>
      </c>
      <c r="F55" s="633">
        <v>0</v>
      </c>
      <c r="G55" s="639">
        <v>1858.5</v>
      </c>
      <c r="H55" s="664">
        <v>44559</v>
      </c>
      <c r="I55" s="1999"/>
      <c r="J55" s="2010">
        <v>44592</v>
      </c>
      <c r="K55" s="1957"/>
      <c r="L55" s="88"/>
      <c r="M55"/>
    </row>
    <row r="56" spans="1:13" ht="15.6" customHeight="1">
      <c r="A56" s="668"/>
      <c r="B56" s="1124"/>
      <c r="C56" s="1124"/>
      <c r="D56" s="669"/>
      <c r="E56" s="670"/>
      <c r="F56" s="671" t="s">
        <v>3093</v>
      </c>
      <c r="G56" s="639">
        <f>G55+G54-I54</f>
        <v>292.4599999999989</v>
      </c>
      <c r="H56" s="664"/>
      <c r="I56" s="1375">
        <v>292.45999999999998</v>
      </c>
      <c r="J56" s="653">
        <v>44599</v>
      </c>
      <c r="K56" s="228" t="s">
        <v>1752</v>
      </c>
      <c r="L56" s="88"/>
      <c r="M56"/>
    </row>
    <row r="57" spans="1:13" ht="14.25" customHeight="1">
      <c r="A57" s="668">
        <v>44566</v>
      </c>
      <c r="B57" s="1124" t="s">
        <v>522</v>
      </c>
      <c r="C57" s="1124" t="s">
        <v>4394</v>
      </c>
      <c r="D57" s="669" t="s">
        <v>655</v>
      </c>
      <c r="E57" s="613">
        <v>1391.88</v>
      </c>
      <c r="F57" s="633">
        <v>0</v>
      </c>
      <c r="G57" s="639">
        <v>1391.88</v>
      </c>
      <c r="H57" s="664">
        <v>44566</v>
      </c>
      <c r="I57" s="1246">
        <v>1391.88</v>
      </c>
      <c r="J57" s="653">
        <v>44599</v>
      </c>
      <c r="K57" s="228" t="s">
        <v>1752</v>
      </c>
      <c r="L57" s="88"/>
      <c r="M57"/>
    </row>
    <row r="58" spans="1:13" ht="15">
      <c r="A58" s="668"/>
      <c r="B58" s="1124"/>
      <c r="C58" s="1124"/>
      <c r="D58" s="669"/>
      <c r="E58" s="670" t="s">
        <v>3094</v>
      </c>
      <c r="F58" s="671" t="s">
        <v>3093</v>
      </c>
      <c r="G58" s="639">
        <f>SUM(G56:G57)-I56-I57</f>
        <v>0</v>
      </c>
      <c r="H58" s="664"/>
      <c r="I58" s="1246"/>
      <c r="J58" s="654"/>
      <c r="K58" s="228"/>
      <c r="L58" s="88"/>
      <c r="M58"/>
    </row>
    <row r="59" spans="1:13" ht="15">
      <c r="A59" s="668">
        <v>44573</v>
      </c>
      <c r="B59" s="1124" t="s">
        <v>522</v>
      </c>
      <c r="C59" s="1124" t="s">
        <v>4394</v>
      </c>
      <c r="D59" s="669" t="s">
        <v>656</v>
      </c>
      <c r="E59" s="613">
        <v>5612.88</v>
      </c>
      <c r="F59" s="633">
        <v>0</v>
      </c>
      <c r="G59" s="639">
        <v>5612.88</v>
      </c>
      <c r="H59" s="664">
        <v>44573</v>
      </c>
      <c r="I59" s="1246">
        <v>5612.88</v>
      </c>
      <c r="J59" s="620">
        <v>44631</v>
      </c>
      <c r="K59" s="228" t="s">
        <v>1764</v>
      </c>
      <c r="L59" s="88" t="s">
        <v>2507</v>
      </c>
      <c r="M59"/>
    </row>
    <row r="60" spans="1:13" ht="15">
      <c r="A60" s="668">
        <v>44587</v>
      </c>
      <c r="B60" s="1124" t="s">
        <v>522</v>
      </c>
      <c r="C60" s="1124" t="s">
        <v>4394</v>
      </c>
      <c r="D60" s="669" t="s">
        <v>657</v>
      </c>
      <c r="E60" s="613">
        <v>1718.36</v>
      </c>
      <c r="F60" s="633">
        <v>0</v>
      </c>
      <c r="G60" s="639">
        <v>1718.36</v>
      </c>
      <c r="H60" s="664">
        <v>44587</v>
      </c>
      <c r="I60" s="1246">
        <v>1718.36</v>
      </c>
      <c r="J60" s="653">
        <v>44599</v>
      </c>
      <c r="K60" s="228" t="s">
        <v>1752</v>
      </c>
      <c r="L60" s="88"/>
      <c r="M60"/>
    </row>
    <row r="61" spans="1:13" ht="15">
      <c r="A61" s="668">
        <v>44589</v>
      </c>
      <c r="B61" s="1124" t="s">
        <v>522</v>
      </c>
      <c r="C61" s="1124" t="s">
        <v>4394</v>
      </c>
      <c r="D61" s="669" t="s">
        <v>658</v>
      </c>
      <c r="E61" s="613">
        <v>1186.92</v>
      </c>
      <c r="F61" s="633">
        <v>0</v>
      </c>
      <c r="G61" s="639">
        <v>1186.92</v>
      </c>
      <c r="H61" s="664">
        <v>44589</v>
      </c>
      <c r="I61" s="1246">
        <f>1186.92+2.13</f>
        <v>1189.0500000000002</v>
      </c>
      <c r="J61" s="653">
        <v>44599</v>
      </c>
      <c r="K61" s="228" t="s">
        <v>1752</v>
      </c>
      <c r="L61" s="88"/>
      <c r="M61"/>
    </row>
    <row r="62" spans="1:13" ht="15">
      <c r="A62" s="668">
        <v>44593</v>
      </c>
      <c r="B62" s="1124" t="s">
        <v>522</v>
      </c>
      <c r="C62" s="1124" t="s">
        <v>4394</v>
      </c>
      <c r="D62" s="669" t="s">
        <v>659</v>
      </c>
      <c r="E62" s="613">
        <v>2100.3200000000002</v>
      </c>
      <c r="F62" s="633">
        <v>0</v>
      </c>
      <c r="G62" s="639">
        <v>2100.3200000000002</v>
      </c>
      <c r="H62" s="664">
        <v>44593</v>
      </c>
      <c r="I62" s="2007">
        <v>4477.12</v>
      </c>
      <c r="J62" s="1948">
        <v>44631</v>
      </c>
      <c r="K62" s="1879" t="s">
        <v>1764</v>
      </c>
      <c r="L62" s="2004" t="s">
        <v>2508</v>
      </c>
      <c r="M62"/>
    </row>
    <row r="63" spans="1:13" ht="15">
      <c r="A63" s="668">
        <v>44603</v>
      </c>
      <c r="B63" s="1124" t="s">
        <v>521</v>
      </c>
      <c r="C63" s="1124" t="s">
        <v>4394</v>
      </c>
      <c r="D63" s="669" t="s">
        <v>660</v>
      </c>
      <c r="E63" s="613">
        <v>389.34</v>
      </c>
      <c r="F63" s="633">
        <v>0</v>
      </c>
      <c r="G63" s="639">
        <v>389.34</v>
      </c>
      <c r="H63" s="664">
        <v>44603</v>
      </c>
      <c r="I63" s="2007"/>
      <c r="J63" s="1948"/>
      <c r="K63" s="1879"/>
      <c r="L63" s="2005"/>
      <c r="M63"/>
    </row>
    <row r="64" spans="1:13" ht="15">
      <c r="A64" s="668">
        <v>44610</v>
      </c>
      <c r="B64" s="1124" t="s">
        <v>521</v>
      </c>
      <c r="C64" s="1124" t="s">
        <v>4394</v>
      </c>
      <c r="D64" s="669" t="s">
        <v>661</v>
      </c>
      <c r="E64" s="613">
        <v>4278.63</v>
      </c>
      <c r="F64" s="633">
        <v>0</v>
      </c>
      <c r="G64" s="639">
        <v>4278.63</v>
      </c>
      <c r="H64" s="664">
        <v>44610</v>
      </c>
      <c r="I64" s="2007"/>
      <c r="J64" s="1948"/>
      <c r="K64" s="1879"/>
      <c r="L64" s="2006"/>
      <c r="M64"/>
    </row>
    <row r="65" spans="1:13" s="168" customFormat="1" ht="15">
      <c r="A65" s="668"/>
      <c r="B65" s="1124"/>
      <c r="C65" s="1124"/>
      <c r="D65" s="669"/>
      <c r="E65" s="613"/>
      <c r="F65" s="633" t="s">
        <v>3093</v>
      </c>
      <c r="G65" s="639">
        <f>SUM(G58:G64)-I59-I60-I61-I62</f>
        <v>2289.04</v>
      </c>
      <c r="H65" s="2008">
        <v>44614</v>
      </c>
      <c r="I65" s="2020">
        <v>5000</v>
      </c>
      <c r="J65" s="2017">
        <v>44657</v>
      </c>
      <c r="K65" s="2014" t="s">
        <v>1820</v>
      </c>
      <c r="L65" s="2011" t="s">
        <v>2506</v>
      </c>
      <c r="M65"/>
    </row>
    <row r="66" spans="1:13" ht="15">
      <c r="A66" s="668">
        <v>44614</v>
      </c>
      <c r="B66" s="1124" t="s">
        <v>521</v>
      </c>
      <c r="C66" s="1124" t="s">
        <v>4394</v>
      </c>
      <c r="D66" s="669" t="s">
        <v>662</v>
      </c>
      <c r="E66" s="613">
        <v>2859.99</v>
      </c>
      <c r="F66" s="633">
        <v>0</v>
      </c>
      <c r="G66" s="639">
        <v>2859.99</v>
      </c>
      <c r="H66" s="2009"/>
      <c r="I66" s="2021"/>
      <c r="J66" s="2018"/>
      <c r="K66" s="2015"/>
      <c r="L66" s="2012"/>
      <c r="M66"/>
    </row>
    <row r="67" spans="1:13" ht="15">
      <c r="A67" s="668">
        <v>44617</v>
      </c>
      <c r="B67" s="1124" t="s">
        <v>521</v>
      </c>
      <c r="C67" s="1124" t="s">
        <v>4394</v>
      </c>
      <c r="D67" s="669" t="s">
        <v>663</v>
      </c>
      <c r="E67" s="613">
        <v>-146.26</v>
      </c>
      <c r="F67" s="633">
        <v>0</v>
      </c>
      <c r="G67" s="639">
        <v>-146.26</v>
      </c>
      <c r="H67" s="2009"/>
      <c r="I67" s="2021"/>
      <c r="J67" s="2018"/>
      <c r="K67" s="2015"/>
      <c r="L67" s="2012"/>
      <c r="M67"/>
    </row>
    <row r="68" spans="1:13" ht="15">
      <c r="A68" s="668">
        <v>44617</v>
      </c>
      <c r="B68" s="1124" t="s">
        <v>521</v>
      </c>
      <c r="C68" s="1124" t="s">
        <v>4394</v>
      </c>
      <c r="D68" s="669" t="s">
        <v>664</v>
      </c>
      <c r="E68" s="613">
        <v>-2.77</v>
      </c>
      <c r="F68" s="633">
        <v>0</v>
      </c>
      <c r="G68" s="639">
        <v>-2.77</v>
      </c>
      <c r="H68" s="2010"/>
      <c r="I68" s="2022"/>
      <c r="J68" s="2019"/>
      <c r="K68" s="2016"/>
      <c r="L68" s="2013"/>
      <c r="M68"/>
    </row>
    <row r="69" spans="1:13" s="168" customFormat="1" ht="15">
      <c r="A69" s="668"/>
      <c r="B69" s="1124"/>
      <c r="C69" s="1124"/>
      <c r="D69" s="669"/>
      <c r="E69" s="613"/>
      <c r="F69" s="633" t="s">
        <v>3093</v>
      </c>
      <c r="G69" s="672">
        <f>SUM(G65:G68)-I65</f>
        <v>0</v>
      </c>
      <c r="H69" s="668"/>
      <c r="I69" s="1418"/>
      <c r="J69" s="673"/>
      <c r="K69" s="433"/>
      <c r="L69" s="432"/>
      <c r="M69"/>
    </row>
    <row r="70" spans="1:13" ht="15">
      <c r="A70" s="668">
        <v>44621</v>
      </c>
      <c r="B70" s="1124" t="s">
        <v>521</v>
      </c>
      <c r="C70" s="1124" t="s">
        <v>4394</v>
      </c>
      <c r="D70" s="669" t="s">
        <v>665</v>
      </c>
      <c r="E70" s="613">
        <v>2143.54</v>
      </c>
      <c r="F70" s="633">
        <v>0</v>
      </c>
      <c r="G70" s="639">
        <v>2143.54</v>
      </c>
      <c r="H70" s="664">
        <v>44621</v>
      </c>
      <c r="I70" s="1997">
        <v>4000</v>
      </c>
      <c r="J70" s="1918">
        <v>44662</v>
      </c>
      <c r="K70" s="1968" t="s">
        <v>1926</v>
      </c>
      <c r="L70" s="1968"/>
      <c r="M70"/>
    </row>
    <row r="71" spans="1:13" ht="15">
      <c r="A71" s="668">
        <v>44622</v>
      </c>
      <c r="B71" s="1124" t="s">
        <v>521</v>
      </c>
      <c r="C71" s="1124" t="s">
        <v>4394</v>
      </c>
      <c r="D71" s="669" t="s">
        <v>666</v>
      </c>
      <c r="E71" s="613">
        <v>983.5</v>
      </c>
      <c r="F71" s="633">
        <v>0</v>
      </c>
      <c r="G71" s="639">
        <v>983.5</v>
      </c>
      <c r="H71" s="664">
        <v>44622</v>
      </c>
      <c r="I71" s="1998"/>
      <c r="J71" s="1919"/>
      <c r="K71" s="1962"/>
      <c r="L71" s="1962"/>
      <c r="M71"/>
    </row>
    <row r="72" spans="1:13" ht="15">
      <c r="A72" s="668">
        <v>44627</v>
      </c>
      <c r="B72" s="1124" t="s">
        <v>521</v>
      </c>
      <c r="C72" s="1124" t="s">
        <v>4394</v>
      </c>
      <c r="D72" s="669" t="s">
        <v>667</v>
      </c>
      <c r="E72" s="613">
        <v>572.25</v>
      </c>
      <c r="F72" s="633">
        <v>0</v>
      </c>
      <c r="G72" s="639">
        <v>572.25</v>
      </c>
      <c r="H72" s="664">
        <v>44627</v>
      </c>
      <c r="I72" s="1998"/>
      <c r="J72" s="1919"/>
      <c r="K72" s="1962"/>
      <c r="L72" s="1962"/>
      <c r="M72"/>
    </row>
    <row r="73" spans="1:13" ht="15">
      <c r="A73" s="668">
        <v>44631</v>
      </c>
      <c r="B73" s="1124" t="s">
        <v>521</v>
      </c>
      <c r="C73" s="1124" t="s">
        <v>4394</v>
      </c>
      <c r="D73" s="669" t="s">
        <v>668</v>
      </c>
      <c r="E73" s="613">
        <v>1033.21</v>
      </c>
      <c r="F73" s="633">
        <v>0</v>
      </c>
      <c r="G73" s="639">
        <v>1033.21</v>
      </c>
      <c r="H73" s="664">
        <v>44631</v>
      </c>
      <c r="I73" s="1999"/>
      <c r="J73" s="1920"/>
      <c r="K73" s="1957"/>
      <c r="L73" s="1957"/>
      <c r="M73"/>
    </row>
    <row r="74" spans="1:13" s="168" customFormat="1" ht="15">
      <c r="A74" s="668"/>
      <c r="B74" s="1124"/>
      <c r="C74" s="1124"/>
      <c r="D74" s="669"/>
      <c r="E74" s="613"/>
      <c r="F74" s="633" t="s">
        <v>3093</v>
      </c>
      <c r="G74" s="639">
        <f>SUM(G69:G73)-I70</f>
        <v>732.5</v>
      </c>
      <c r="H74" s="664"/>
      <c r="I74" s="1997">
        <v>5000</v>
      </c>
      <c r="J74" s="1918">
        <v>44669</v>
      </c>
      <c r="K74" s="1968" t="s">
        <v>1944</v>
      </c>
      <c r="L74" s="2004" t="s">
        <v>2506</v>
      </c>
      <c r="M74"/>
    </row>
    <row r="75" spans="1:13" ht="15">
      <c r="A75" s="668">
        <v>44635</v>
      </c>
      <c r="B75" s="1124" t="s">
        <v>521</v>
      </c>
      <c r="C75" s="1124" t="s">
        <v>4394</v>
      </c>
      <c r="D75" s="669" t="s">
        <v>1750</v>
      </c>
      <c r="E75" s="613">
        <v>995.99</v>
      </c>
      <c r="F75" s="633">
        <v>0</v>
      </c>
      <c r="G75" s="639">
        <v>995.99</v>
      </c>
      <c r="H75" s="664">
        <v>44635</v>
      </c>
      <c r="I75" s="1998"/>
      <c r="J75" s="1919"/>
      <c r="K75" s="1962"/>
      <c r="L75" s="2005"/>
      <c r="M75"/>
    </row>
    <row r="76" spans="1:13" ht="15">
      <c r="A76" s="668">
        <v>44636</v>
      </c>
      <c r="B76" s="1124" t="s">
        <v>521</v>
      </c>
      <c r="C76" s="1124" t="s">
        <v>4394</v>
      </c>
      <c r="D76" s="669" t="s">
        <v>1751</v>
      </c>
      <c r="E76" s="613">
        <v>7617.45</v>
      </c>
      <c r="F76" s="633">
        <v>0</v>
      </c>
      <c r="G76" s="639">
        <v>7617.45</v>
      </c>
      <c r="H76" s="664">
        <v>44636</v>
      </c>
      <c r="I76" s="1999"/>
      <c r="J76" s="1920"/>
      <c r="K76" s="1957"/>
      <c r="L76" s="2006"/>
      <c r="M76"/>
    </row>
    <row r="77" spans="1:13" s="168" customFormat="1" ht="15">
      <c r="A77" s="668"/>
      <c r="B77" s="1124"/>
      <c r="C77" s="1124"/>
      <c r="D77" s="669"/>
      <c r="E77" s="613"/>
      <c r="F77" s="633" t="s">
        <v>3093</v>
      </c>
      <c r="G77" s="639">
        <f>SUM(G74:G76)-I74</f>
        <v>4345.9400000000005</v>
      </c>
      <c r="H77" s="664"/>
      <c r="I77" s="1997">
        <v>6000</v>
      </c>
      <c r="J77" s="1918">
        <v>44671</v>
      </c>
      <c r="K77" s="1968" t="s">
        <v>1944</v>
      </c>
      <c r="L77" s="2004" t="s">
        <v>2509</v>
      </c>
      <c r="M77"/>
    </row>
    <row r="78" spans="1:13" s="168" customFormat="1" ht="15">
      <c r="A78" s="668">
        <v>44642</v>
      </c>
      <c r="B78" s="1124" t="s">
        <v>521</v>
      </c>
      <c r="C78" s="1124" t="s">
        <v>4394</v>
      </c>
      <c r="D78" s="669" t="s">
        <v>1766</v>
      </c>
      <c r="E78" s="613">
        <v>1485.4</v>
      </c>
      <c r="F78" s="633">
        <v>0</v>
      </c>
      <c r="G78" s="639">
        <v>1485.4</v>
      </c>
      <c r="H78" s="664">
        <v>44642</v>
      </c>
      <c r="I78" s="1998"/>
      <c r="J78" s="1919"/>
      <c r="K78" s="1962"/>
      <c r="L78" s="2005"/>
      <c r="M78"/>
    </row>
    <row r="79" spans="1:13" s="168" customFormat="1" ht="15">
      <c r="A79" s="668">
        <v>44642</v>
      </c>
      <c r="B79" s="1124" t="s">
        <v>521</v>
      </c>
      <c r="C79" s="1124" t="s">
        <v>4394</v>
      </c>
      <c r="D79" s="669" t="s">
        <v>1767</v>
      </c>
      <c r="E79" s="613">
        <v>2429.5300000000002</v>
      </c>
      <c r="F79" s="633">
        <v>0</v>
      </c>
      <c r="G79" s="639">
        <v>2429.5300000000002</v>
      </c>
      <c r="H79" s="664">
        <v>44642</v>
      </c>
      <c r="I79" s="1998"/>
      <c r="J79" s="1919"/>
      <c r="K79" s="1962"/>
      <c r="L79" s="2005"/>
      <c r="M79"/>
    </row>
    <row r="80" spans="1:13" ht="15">
      <c r="A80" s="668">
        <v>44642</v>
      </c>
      <c r="B80" s="1124" t="s">
        <v>521</v>
      </c>
      <c r="C80" s="1124" t="s">
        <v>4394</v>
      </c>
      <c r="D80" s="669" t="s">
        <v>1768</v>
      </c>
      <c r="E80" s="613">
        <v>-250.49</v>
      </c>
      <c r="F80" s="633">
        <v>0</v>
      </c>
      <c r="G80" s="639">
        <v>-250.49</v>
      </c>
      <c r="H80" s="664" t="s">
        <v>1529</v>
      </c>
      <c r="I80" s="1998"/>
      <c r="J80" s="1919"/>
      <c r="K80" s="1962"/>
      <c r="L80" s="2005"/>
      <c r="M80"/>
    </row>
    <row r="81" spans="1:13" s="168" customFormat="1" ht="15">
      <c r="A81" s="668">
        <v>44642</v>
      </c>
      <c r="B81" s="1124" t="s">
        <v>521</v>
      </c>
      <c r="C81" s="1124" t="s">
        <v>4394</v>
      </c>
      <c r="D81" s="669" t="s">
        <v>1769</v>
      </c>
      <c r="E81" s="613">
        <v>-11.83</v>
      </c>
      <c r="F81" s="633">
        <v>0</v>
      </c>
      <c r="G81" s="639">
        <v>-11.83</v>
      </c>
      <c r="H81" s="664" t="s">
        <v>1529</v>
      </c>
      <c r="I81" s="1999"/>
      <c r="J81" s="1920"/>
      <c r="K81" s="1957"/>
      <c r="L81" s="2006"/>
      <c r="M81"/>
    </row>
    <row r="82" spans="1:13" s="168" customFormat="1" ht="15">
      <c r="A82" s="668"/>
      <c r="B82" s="1124"/>
      <c r="C82" s="1124"/>
      <c r="D82" s="669"/>
      <c r="E82" s="613"/>
      <c r="F82" s="633" t="s">
        <v>3093</v>
      </c>
      <c r="G82" s="639">
        <f>SUM(G77:G81)-I77</f>
        <v>1998.5500000000011</v>
      </c>
      <c r="H82" s="664"/>
      <c r="I82" s="1997">
        <v>7000</v>
      </c>
      <c r="J82" s="1918">
        <v>44677</v>
      </c>
      <c r="K82" s="1968" t="s">
        <v>1988</v>
      </c>
      <c r="L82" s="1968"/>
      <c r="M82"/>
    </row>
    <row r="83" spans="1:13" s="168" customFormat="1" ht="15">
      <c r="A83" s="668">
        <v>44649</v>
      </c>
      <c r="B83" s="1124" t="s">
        <v>521</v>
      </c>
      <c r="C83" s="1124" t="s">
        <v>4394</v>
      </c>
      <c r="D83" s="669" t="s">
        <v>1807</v>
      </c>
      <c r="E83" s="613">
        <v>1216.95</v>
      </c>
      <c r="F83" s="633">
        <v>0</v>
      </c>
      <c r="G83" s="639">
        <v>1216.95</v>
      </c>
      <c r="H83" s="664">
        <v>44649</v>
      </c>
      <c r="I83" s="1998"/>
      <c r="J83" s="1919"/>
      <c r="K83" s="1962"/>
      <c r="L83" s="1962"/>
      <c r="M83"/>
    </row>
    <row r="84" spans="1:13" s="168" customFormat="1" ht="15">
      <c r="A84" s="668">
        <v>44652</v>
      </c>
      <c r="B84" s="1124" t="s">
        <v>521</v>
      </c>
      <c r="C84" s="1124" t="s">
        <v>4394</v>
      </c>
      <c r="D84" s="669" t="s">
        <v>1829</v>
      </c>
      <c r="E84" s="613">
        <v>-1771.14</v>
      </c>
      <c r="F84" s="633">
        <v>0</v>
      </c>
      <c r="G84" s="639">
        <v>-1771.14</v>
      </c>
      <c r="H84" s="664"/>
      <c r="I84" s="1998"/>
      <c r="J84" s="1919"/>
      <c r="K84" s="1962"/>
      <c r="L84" s="1962"/>
      <c r="M84"/>
    </row>
    <row r="85" spans="1:13" s="168" customFormat="1" ht="15">
      <c r="A85" s="668">
        <v>44656</v>
      </c>
      <c r="B85" s="1124" t="s">
        <v>521</v>
      </c>
      <c r="C85" s="1124" t="s">
        <v>4394</v>
      </c>
      <c r="D85" s="669" t="s">
        <v>1831</v>
      </c>
      <c r="E85" s="613">
        <v>-364.39</v>
      </c>
      <c r="F85" s="633">
        <v>0</v>
      </c>
      <c r="G85" s="639">
        <v>-364.39</v>
      </c>
      <c r="H85" s="664"/>
      <c r="I85" s="1998"/>
      <c r="J85" s="1919"/>
      <c r="K85" s="1962"/>
      <c r="L85" s="1962"/>
      <c r="M85"/>
    </row>
    <row r="86" spans="1:13" s="168" customFormat="1" ht="15">
      <c r="A86" s="668">
        <v>44657</v>
      </c>
      <c r="B86" s="1124" t="s">
        <v>521</v>
      </c>
      <c r="C86" s="1124" t="s">
        <v>4394</v>
      </c>
      <c r="D86" s="669" t="s">
        <v>1832</v>
      </c>
      <c r="E86" s="613">
        <v>1532.2</v>
      </c>
      <c r="F86" s="633">
        <v>0</v>
      </c>
      <c r="G86" s="639">
        <v>1532.2</v>
      </c>
      <c r="H86" s="668">
        <v>44657</v>
      </c>
      <c r="I86" s="1998"/>
      <c r="J86" s="1919"/>
      <c r="K86" s="1962"/>
      <c r="L86" s="1962"/>
      <c r="M86"/>
    </row>
    <row r="87" spans="1:13" s="168" customFormat="1" ht="15">
      <c r="A87" s="668">
        <v>44658</v>
      </c>
      <c r="B87" s="1124" t="s">
        <v>521</v>
      </c>
      <c r="C87" s="1124" t="s">
        <v>4394</v>
      </c>
      <c r="D87" s="669" t="s">
        <v>1833</v>
      </c>
      <c r="E87" s="613">
        <v>-84.67</v>
      </c>
      <c r="F87" s="633">
        <v>0</v>
      </c>
      <c r="G87" s="639">
        <v>-84.67</v>
      </c>
      <c r="H87" s="664"/>
      <c r="I87" s="1998"/>
      <c r="J87" s="1919"/>
      <c r="K87" s="1962"/>
      <c r="L87" s="1962"/>
      <c r="M87"/>
    </row>
    <row r="88" spans="1:13" s="168" customFormat="1" ht="15">
      <c r="A88" s="668">
        <v>44658</v>
      </c>
      <c r="B88" s="1124" t="s">
        <v>521</v>
      </c>
      <c r="C88" s="1124" t="s">
        <v>4394</v>
      </c>
      <c r="D88" s="669" t="s">
        <v>1834</v>
      </c>
      <c r="E88" s="613">
        <v>-2.0699999999999998</v>
      </c>
      <c r="F88" s="633">
        <v>0</v>
      </c>
      <c r="G88" s="639">
        <v>-2.0699999999999998</v>
      </c>
      <c r="H88" s="664"/>
      <c r="I88" s="1998"/>
      <c r="J88" s="1919"/>
      <c r="K88" s="1962"/>
      <c r="L88" s="1962"/>
      <c r="M88"/>
    </row>
    <row r="89" spans="1:13" s="168" customFormat="1" ht="15">
      <c r="A89" s="668">
        <v>44658</v>
      </c>
      <c r="B89" s="1124" t="s">
        <v>521</v>
      </c>
      <c r="C89" s="1124" t="s">
        <v>4394</v>
      </c>
      <c r="D89" s="669" t="s">
        <v>1835</v>
      </c>
      <c r="E89" s="613">
        <v>-1115.0999999999999</v>
      </c>
      <c r="F89" s="633">
        <v>0</v>
      </c>
      <c r="G89" s="639">
        <v>-1115.0999999999999</v>
      </c>
      <c r="H89" s="664"/>
      <c r="I89" s="1998"/>
      <c r="J89" s="1919"/>
      <c r="K89" s="1962"/>
      <c r="L89" s="1962"/>
      <c r="M89"/>
    </row>
    <row r="90" spans="1:13" s="168" customFormat="1" ht="15">
      <c r="A90" s="668">
        <v>44662.000497685185</v>
      </c>
      <c r="B90" s="1124" t="s">
        <v>521</v>
      </c>
      <c r="C90" s="1124" t="s">
        <v>4394</v>
      </c>
      <c r="D90" s="669" t="s">
        <v>1918</v>
      </c>
      <c r="E90" s="613">
        <v>2954.63</v>
      </c>
      <c r="F90" s="633">
        <v>0</v>
      </c>
      <c r="G90" s="639">
        <v>2954.63</v>
      </c>
      <c r="H90" s="664">
        <v>44662.000497685185</v>
      </c>
      <c r="I90" s="1998"/>
      <c r="J90" s="1919"/>
      <c r="K90" s="1962"/>
      <c r="L90" s="1962"/>
      <c r="M90"/>
    </row>
    <row r="91" spans="1:13" s="168" customFormat="1" ht="15">
      <c r="A91" s="668">
        <v>44662.000497685185</v>
      </c>
      <c r="B91" s="1124" t="s">
        <v>521</v>
      </c>
      <c r="C91" s="1124" t="s">
        <v>4394</v>
      </c>
      <c r="D91" s="669" t="s">
        <v>1919</v>
      </c>
      <c r="E91" s="613">
        <v>172.9</v>
      </c>
      <c r="F91" s="633">
        <v>0</v>
      </c>
      <c r="G91" s="639">
        <v>172.9</v>
      </c>
      <c r="H91" s="664">
        <v>44662.000497685185</v>
      </c>
      <c r="I91" s="1998"/>
      <c r="J91" s="1919"/>
      <c r="K91" s="1962"/>
      <c r="L91" s="1962"/>
      <c r="M91"/>
    </row>
    <row r="92" spans="1:13" s="168" customFormat="1" ht="15">
      <c r="A92" s="668">
        <v>44663.000497685185</v>
      </c>
      <c r="B92" s="1124" t="s">
        <v>521</v>
      </c>
      <c r="C92" s="1124" t="s">
        <v>4394</v>
      </c>
      <c r="D92" s="669" t="s">
        <v>1920</v>
      </c>
      <c r="E92" s="613">
        <v>2510.31</v>
      </c>
      <c r="F92" s="633">
        <v>0</v>
      </c>
      <c r="G92" s="639">
        <v>2510.31</v>
      </c>
      <c r="H92" s="664">
        <v>44663.000497685185</v>
      </c>
      <c r="I92" s="1999"/>
      <c r="J92" s="1920"/>
      <c r="K92" s="1957"/>
      <c r="L92" s="1957"/>
      <c r="M92"/>
    </row>
    <row r="93" spans="1:13" s="168" customFormat="1" ht="15">
      <c r="A93" s="668"/>
      <c r="B93" s="1124"/>
      <c r="C93" s="1124"/>
      <c r="D93" s="669"/>
      <c r="E93" s="613"/>
      <c r="F93" s="633" t="s">
        <v>3093</v>
      </c>
      <c r="G93" s="639">
        <f>SUM(G82:G92)-I82</f>
        <v>48.170000000000073</v>
      </c>
      <c r="H93" s="664"/>
      <c r="I93" s="1997">
        <v>7542</v>
      </c>
      <c r="J93" s="1918">
        <v>44693</v>
      </c>
      <c r="K93" s="1968" t="s">
        <v>2084</v>
      </c>
      <c r="L93" s="1968"/>
      <c r="M93"/>
    </row>
    <row r="94" spans="1:13" s="168" customFormat="1" ht="15">
      <c r="A94" s="668">
        <v>44663.000497685185</v>
      </c>
      <c r="B94" s="1124" t="s">
        <v>521</v>
      </c>
      <c r="C94" s="1124" t="s">
        <v>4394</v>
      </c>
      <c r="D94" s="669" t="s">
        <v>1921</v>
      </c>
      <c r="E94" s="613">
        <v>5.15</v>
      </c>
      <c r="F94" s="633">
        <v>0</v>
      </c>
      <c r="G94" s="639">
        <v>5.15</v>
      </c>
      <c r="H94" s="664">
        <v>44663.000497685185</v>
      </c>
      <c r="I94" s="1998"/>
      <c r="J94" s="1919"/>
      <c r="K94" s="1962"/>
      <c r="L94" s="1962"/>
      <c r="M94"/>
    </row>
    <row r="95" spans="1:13" s="168" customFormat="1" ht="15">
      <c r="A95" s="668">
        <v>44664.000497685185</v>
      </c>
      <c r="B95" s="1124" t="s">
        <v>521</v>
      </c>
      <c r="C95" s="1124" t="s">
        <v>4394</v>
      </c>
      <c r="D95" s="669" t="s">
        <v>1922</v>
      </c>
      <c r="E95" s="613">
        <v>93.1</v>
      </c>
      <c r="F95" s="633">
        <v>0</v>
      </c>
      <c r="G95" s="639">
        <v>93.1</v>
      </c>
      <c r="H95" s="664">
        <v>44664.000497685185</v>
      </c>
      <c r="I95" s="1998"/>
      <c r="J95" s="1919"/>
      <c r="K95" s="1962"/>
      <c r="L95" s="1962"/>
      <c r="M95"/>
    </row>
    <row r="96" spans="1:13" s="168" customFormat="1" ht="15">
      <c r="A96" s="668">
        <v>44664.000497685185</v>
      </c>
      <c r="B96" s="1124" t="s">
        <v>521</v>
      </c>
      <c r="C96" s="1124" t="s">
        <v>4394</v>
      </c>
      <c r="D96" s="669" t="s">
        <v>1923</v>
      </c>
      <c r="E96" s="613">
        <v>812</v>
      </c>
      <c r="F96" s="633">
        <v>0</v>
      </c>
      <c r="G96" s="639">
        <v>812</v>
      </c>
      <c r="H96" s="664">
        <v>44664.000497685185</v>
      </c>
      <c r="I96" s="1998"/>
      <c r="J96" s="1919"/>
      <c r="K96" s="1962"/>
      <c r="L96" s="1962"/>
      <c r="M96"/>
    </row>
    <row r="97" spans="1:13" s="168" customFormat="1" ht="15">
      <c r="A97" s="668">
        <v>44664.000497685185</v>
      </c>
      <c r="B97" s="1124" t="s">
        <v>521</v>
      </c>
      <c r="C97" s="1124" t="s">
        <v>4394</v>
      </c>
      <c r="D97" s="669" t="s">
        <v>1924</v>
      </c>
      <c r="E97" s="613">
        <v>1403.77</v>
      </c>
      <c r="F97" s="633">
        <v>0</v>
      </c>
      <c r="G97" s="639">
        <v>1403.77</v>
      </c>
      <c r="H97" s="664">
        <v>44664.000497685185</v>
      </c>
      <c r="I97" s="1998"/>
      <c r="J97" s="1919"/>
      <c r="K97" s="1962"/>
      <c r="L97" s="1962"/>
      <c r="M97"/>
    </row>
    <row r="98" spans="1:13" s="168" customFormat="1" ht="15">
      <c r="A98" s="668">
        <v>44664.000497685185</v>
      </c>
      <c r="B98" s="1124" t="s">
        <v>521</v>
      </c>
      <c r="C98" s="1124" t="s">
        <v>4394</v>
      </c>
      <c r="D98" s="669" t="s">
        <v>1925</v>
      </c>
      <c r="E98" s="613">
        <v>1946.39</v>
      </c>
      <c r="F98" s="633">
        <v>0</v>
      </c>
      <c r="G98" s="639">
        <v>1946.39</v>
      </c>
      <c r="H98" s="664">
        <v>44664.000497685185</v>
      </c>
      <c r="I98" s="1998"/>
      <c r="J98" s="1919"/>
      <c r="K98" s="1962"/>
      <c r="L98" s="1962"/>
      <c r="M98"/>
    </row>
    <row r="99" spans="1:13" s="168" customFormat="1" ht="15">
      <c r="A99" s="668">
        <v>44669</v>
      </c>
      <c r="B99" s="1124" t="s">
        <v>521</v>
      </c>
      <c r="C99" s="1124" t="s">
        <v>4394</v>
      </c>
      <c r="D99" s="669" t="s">
        <v>1941</v>
      </c>
      <c r="E99" s="613">
        <v>363.02</v>
      </c>
      <c r="F99" s="633">
        <v>0</v>
      </c>
      <c r="G99" s="639">
        <v>363.02</v>
      </c>
      <c r="H99" s="664">
        <v>44669</v>
      </c>
      <c r="I99" s="1998"/>
      <c r="J99" s="1919"/>
      <c r="K99" s="1962"/>
      <c r="L99" s="1962"/>
      <c r="M99"/>
    </row>
    <row r="100" spans="1:13" s="168" customFormat="1" ht="15">
      <c r="A100" s="668">
        <v>44670</v>
      </c>
      <c r="B100" s="1124" t="s">
        <v>521</v>
      </c>
      <c r="C100" s="1124" t="s">
        <v>4394</v>
      </c>
      <c r="D100" s="669" t="s">
        <v>1942</v>
      </c>
      <c r="E100" s="613">
        <v>2508.4499999999998</v>
      </c>
      <c r="F100" s="633">
        <v>0</v>
      </c>
      <c r="G100" s="639">
        <v>2508.4499999999998</v>
      </c>
      <c r="H100" s="664">
        <v>44670</v>
      </c>
      <c r="I100" s="1998"/>
      <c r="J100" s="1919"/>
      <c r="K100" s="1962"/>
      <c r="L100" s="1962"/>
      <c r="M100"/>
    </row>
    <row r="101" spans="1:13" s="168" customFormat="1" ht="15">
      <c r="A101" s="668">
        <v>44671</v>
      </c>
      <c r="B101" s="1124" t="s">
        <v>521</v>
      </c>
      <c r="C101" s="1124" t="s">
        <v>4394</v>
      </c>
      <c r="D101" s="669" t="s">
        <v>1943</v>
      </c>
      <c r="E101" s="613">
        <v>164.5</v>
      </c>
      <c r="F101" s="633">
        <v>0</v>
      </c>
      <c r="G101" s="639">
        <v>164.5</v>
      </c>
      <c r="H101" s="664">
        <v>44671</v>
      </c>
      <c r="I101" s="1998"/>
      <c r="J101" s="1919"/>
      <c r="K101" s="1962"/>
      <c r="L101" s="1962"/>
      <c r="M101"/>
    </row>
    <row r="102" spans="1:13" s="168" customFormat="1" ht="15">
      <c r="A102" s="668">
        <v>44673</v>
      </c>
      <c r="B102" s="1124" t="s">
        <v>521</v>
      </c>
      <c r="C102" s="1124" t="s">
        <v>4394</v>
      </c>
      <c r="D102" s="669" t="s">
        <v>1945</v>
      </c>
      <c r="E102" s="613">
        <v>586.42999999999995</v>
      </c>
      <c r="F102" s="633">
        <v>0</v>
      </c>
      <c r="G102" s="639">
        <v>586.42999999999995</v>
      </c>
      <c r="H102" s="668">
        <v>44673</v>
      </c>
      <c r="I102" s="1999"/>
      <c r="J102" s="1920"/>
      <c r="K102" s="1957"/>
      <c r="L102" s="1957"/>
      <c r="M102"/>
    </row>
    <row r="103" spans="1:13" s="168" customFormat="1" ht="15">
      <c r="A103" s="668">
        <v>44676.000497685185</v>
      </c>
      <c r="B103" s="1124" t="s">
        <v>521</v>
      </c>
      <c r="C103" s="1124" t="s">
        <v>4394</v>
      </c>
      <c r="D103" s="669" t="s">
        <v>1982</v>
      </c>
      <c r="E103" s="613">
        <v>3340</v>
      </c>
      <c r="F103" s="633">
        <v>0</v>
      </c>
      <c r="G103" s="639">
        <v>3340</v>
      </c>
      <c r="H103" s="664">
        <v>44676.000497685185</v>
      </c>
      <c r="I103" s="1246">
        <v>3340</v>
      </c>
      <c r="J103" s="620">
        <v>44684</v>
      </c>
      <c r="K103" s="364" t="s">
        <v>2027</v>
      </c>
      <c r="L103" s="226" t="s">
        <v>2026</v>
      </c>
      <c r="M103"/>
    </row>
    <row r="104" spans="1:13" s="168" customFormat="1" ht="15">
      <c r="A104" s="668"/>
      <c r="B104" s="1124"/>
      <c r="C104" s="1124"/>
      <c r="D104" s="669"/>
      <c r="E104" s="613"/>
      <c r="F104" s="633" t="s">
        <v>3093</v>
      </c>
      <c r="G104" s="639">
        <f>SUM(G93:G103)-I93-I103</f>
        <v>388.97999999999956</v>
      </c>
      <c r="H104" s="664"/>
      <c r="I104" s="1997">
        <v>9200</v>
      </c>
      <c r="J104" s="1918">
        <v>44714</v>
      </c>
      <c r="K104" s="1968" t="s">
        <v>2212</v>
      </c>
      <c r="L104" s="1968"/>
      <c r="M104"/>
    </row>
    <row r="105" spans="1:13" s="168" customFormat="1" ht="15">
      <c r="A105" s="668">
        <v>44676.000497685185</v>
      </c>
      <c r="B105" s="1124" t="s">
        <v>521</v>
      </c>
      <c r="C105" s="1124" t="s">
        <v>4394</v>
      </c>
      <c r="D105" s="669" t="s">
        <v>1981</v>
      </c>
      <c r="E105" s="613">
        <v>1427.34</v>
      </c>
      <c r="F105" s="633">
        <v>0</v>
      </c>
      <c r="G105" s="639">
        <v>1427.34</v>
      </c>
      <c r="H105" s="664">
        <v>44676.000497685185</v>
      </c>
      <c r="I105" s="1998"/>
      <c r="J105" s="1919"/>
      <c r="K105" s="1962"/>
      <c r="L105" s="1962"/>
      <c r="M105"/>
    </row>
    <row r="106" spans="1:13" s="168" customFormat="1" ht="15">
      <c r="A106" s="668">
        <v>44676.000497685185</v>
      </c>
      <c r="B106" s="1124" t="s">
        <v>521</v>
      </c>
      <c r="C106" s="1124" t="s">
        <v>4394</v>
      </c>
      <c r="D106" s="669" t="s">
        <v>1983</v>
      </c>
      <c r="E106" s="613">
        <v>662.69</v>
      </c>
      <c r="F106" s="633">
        <v>0</v>
      </c>
      <c r="G106" s="639">
        <v>662.69</v>
      </c>
      <c r="H106" s="664">
        <v>44676.000497685185</v>
      </c>
      <c r="I106" s="1998"/>
      <c r="J106" s="1919"/>
      <c r="K106" s="1962"/>
      <c r="L106" s="1962"/>
      <c r="M106"/>
    </row>
    <row r="107" spans="1:13" s="168" customFormat="1" ht="15">
      <c r="A107" s="668">
        <v>44677.000497685185</v>
      </c>
      <c r="B107" s="1124" t="s">
        <v>521</v>
      </c>
      <c r="C107" s="1124" t="s">
        <v>4394</v>
      </c>
      <c r="D107" s="669" t="s">
        <v>1984</v>
      </c>
      <c r="E107" s="613">
        <v>2289.9699999999998</v>
      </c>
      <c r="F107" s="633">
        <v>0</v>
      </c>
      <c r="G107" s="639">
        <v>2289.9699999999998</v>
      </c>
      <c r="H107" s="664">
        <v>44677.000497685185</v>
      </c>
      <c r="I107" s="1998"/>
      <c r="J107" s="1919"/>
      <c r="K107" s="1962"/>
      <c r="L107" s="1962"/>
      <c r="M107"/>
    </row>
    <row r="108" spans="1:13" s="168" customFormat="1" ht="15">
      <c r="A108" s="668">
        <v>44677.000497685185</v>
      </c>
      <c r="B108" s="1124" t="s">
        <v>521</v>
      </c>
      <c r="C108" s="1124" t="s">
        <v>4394</v>
      </c>
      <c r="D108" s="669" t="s">
        <v>1985</v>
      </c>
      <c r="E108" s="613">
        <v>1379.21</v>
      </c>
      <c r="F108" s="633">
        <v>0</v>
      </c>
      <c r="G108" s="639">
        <v>1379.21</v>
      </c>
      <c r="H108" s="664">
        <v>44677.000497685185</v>
      </c>
      <c r="I108" s="1998"/>
      <c r="J108" s="1919"/>
      <c r="K108" s="1962"/>
      <c r="L108" s="1962"/>
      <c r="M108"/>
    </row>
    <row r="109" spans="1:13" s="168" customFormat="1" ht="15">
      <c r="A109" s="668">
        <v>44678.000497685185</v>
      </c>
      <c r="B109" s="1124" t="s">
        <v>521</v>
      </c>
      <c r="C109" s="1124" t="s">
        <v>4394</v>
      </c>
      <c r="D109" s="669" t="s">
        <v>1986</v>
      </c>
      <c r="E109" s="613">
        <v>913.15</v>
      </c>
      <c r="F109" s="633">
        <v>0</v>
      </c>
      <c r="G109" s="639">
        <v>913.15</v>
      </c>
      <c r="H109" s="664">
        <v>44678.000497685185</v>
      </c>
      <c r="I109" s="1998"/>
      <c r="J109" s="1919"/>
      <c r="K109" s="1962"/>
      <c r="L109" s="1962"/>
      <c r="M109"/>
    </row>
    <row r="110" spans="1:13" s="168" customFormat="1" ht="15">
      <c r="A110" s="668">
        <v>44679.000497685185</v>
      </c>
      <c r="B110" s="1124" t="s">
        <v>521</v>
      </c>
      <c r="C110" s="1124" t="s">
        <v>4394</v>
      </c>
      <c r="D110" s="669" t="s">
        <v>1987</v>
      </c>
      <c r="E110" s="613">
        <v>2118.31</v>
      </c>
      <c r="F110" s="633">
        <v>0</v>
      </c>
      <c r="G110" s="639">
        <v>2118.31</v>
      </c>
      <c r="H110" s="664">
        <v>44679.000497685185</v>
      </c>
      <c r="I110" s="1998"/>
      <c r="J110" s="1919"/>
      <c r="K110" s="1962"/>
      <c r="L110" s="1962"/>
      <c r="M110"/>
    </row>
    <row r="111" spans="1:13" s="168" customFormat="1" ht="15">
      <c r="A111" s="668">
        <v>44684</v>
      </c>
      <c r="B111" s="1124" t="s">
        <v>521</v>
      </c>
      <c r="C111" s="1124" t="s">
        <v>4394</v>
      </c>
      <c r="D111" s="669" t="s">
        <v>2023</v>
      </c>
      <c r="E111" s="613">
        <v>800.38</v>
      </c>
      <c r="F111" s="633">
        <v>0</v>
      </c>
      <c r="G111" s="639">
        <v>800.38</v>
      </c>
      <c r="H111" s="668">
        <v>44684</v>
      </c>
      <c r="I111" s="1999"/>
      <c r="J111" s="1920"/>
      <c r="K111" s="1957"/>
      <c r="L111" s="1957"/>
      <c r="M111"/>
    </row>
    <row r="112" spans="1:13" s="168" customFormat="1" ht="15">
      <c r="A112" s="668"/>
      <c r="B112" s="1124"/>
      <c r="C112" s="1124"/>
      <c r="D112" s="669"/>
      <c r="E112" s="613"/>
      <c r="F112" s="633" t="s">
        <v>3093</v>
      </c>
      <c r="G112" s="639">
        <f>SUM(G104:G111)-I104</f>
        <v>780.02999999999884</v>
      </c>
      <c r="H112" s="668"/>
      <c r="I112" s="1997">
        <v>16000</v>
      </c>
      <c r="J112" s="1918">
        <v>44722</v>
      </c>
      <c r="K112" s="1968" t="s">
        <v>2275</v>
      </c>
      <c r="L112" s="1968"/>
      <c r="M112"/>
    </row>
    <row r="113" spans="1:13" s="168" customFormat="1" ht="15">
      <c r="A113" s="668">
        <v>44684</v>
      </c>
      <c r="B113" s="1124" t="s">
        <v>521</v>
      </c>
      <c r="C113" s="1124" t="s">
        <v>4394</v>
      </c>
      <c r="D113" s="669" t="s">
        <v>2024</v>
      </c>
      <c r="E113" s="613">
        <v>446.85</v>
      </c>
      <c r="F113" s="633">
        <v>0</v>
      </c>
      <c r="G113" s="639">
        <v>446.85</v>
      </c>
      <c r="H113" s="668">
        <v>44684</v>
      </c>
      <c r="I113" s="1998"/>
      <c r="J113" s="1919"/>
      <c r="K113" s="1962"/>
      <c r="L113" s="1962"/>
      <c r="M113"/>
    </row>
    <row r="114" spans="1:13" s="168" customFormat="1" ht="15">
      <c r="A114" s="668">
        <v>44685</v>
      </c>
      <c r="B114" s="1124" t="s">
        <v>521</v>
      </c>
      <c r="C114" s="1124" t="s">
        <v>4394</v>
      </c>
      <c r="D114" s="669" t="s">
        <v>2025</v>
      </c>
      <c r="E114" s="613">
        <v>3879.68</v>
      </c>
      <c r="F114" s="633">
        <v>0</v>
      </c>
      <c r="G114" s="639">
        <v>3879.68</v>
      </c>
      <c r="H114" s="668">
        <v>44685</v>
      </c>
      <c r="I114" s="1998"/>
      <c r="J114" s="1919"/>
      <c r="K114" s="1962"/>
      <c r="L114" s="1962"/>
      <c r="M114"/>
    </row>
    <row r="115" spans="1:13" s="168" customFormat="1" ht="15">
      <c r="A115" s="668">
        <v>44690</v>
      </c>
      <c r="B115" s="1124" t="s">
        <v>521</v>
      </c>
      <c r="C115" s="1124" t="s">
        <v>4394</v>
      </c>
      <c r="D115" s="669" t="s">
        <v>2083</v>
      </c>
      <c r="E115" s="613">
        <v>-101.47</v>
      </c>
      <c r="F115" s="633">
        <v>0</v>
      </c>
      <c r="G115" s="639">
        <v>-101.47</v>
      </c>
      <c r="H115" s="664"/>
      <c r="I115" s="1998"/>
      <c r="J115" s="1919"/>
      <c r="K115" s="1962"/>
      <c r="L115" s="1962"/>
      <c r="M115"/>
    </row>
    <row r="116" spans="1:13" s="168" customFormat="1" ht="15">
      <c r="A116" s="668">
        <v>44697</v>
      </c>
      <c r="B116" s="1124" t="s">
        <v>521</v>
      </c>
      <c r="C116" s="1124" t="s">
        <v>4394</v>
      </c>
      <c r="D116" s="669" t="s">
        <v>2115</v>
      </c>
      <c r="E116" s="613">
        <v>5585.43</v>
      </c>
      <c r="F116" s="633">
        <v>0</v>
      </c>
      <c r="G116" s="639">
        <v>5585.43</v>
      </c>
      <c r="H116" s="668">
        <v>44697</v>
      </c>
      <c r="I116" s="1998"/>
      <c r="J116" s="1919"/>
      <c r="K116" s="1962"/>
      <c r="L116" s="1962"/>
      <c r="M116"/>
    </row>
    <row r="117" spans="1:13" s="168" customFormat="1" ht="15">
      <c r="A117" s="668">
        <v>44701</v>
      </c>
      <c r="B117" s="1124" t="s">
        <v>521</v>
      </c>
      <c r="C117" s="1124" t="s">
        <v>4394</v>
      </c>
      <c r="D117" s="669" t="s">
        <v>2116</v>
      </c>
      <c r="E117" s="613">
        <v>2202.9</v>
      </c>
      <c r="F117" s="633">
        <v>0</v>
      </c>
      <c r="G117" s="639">
        <v>2202.9</v>
      </c>
      <c r="H117" s="668">
        <v>44701</v>
      </c>
      <c r="I117" s="1998"/>
      <c r="J117" s="1919"/>
      <c r="K117" s="1962"/>
      <c r="L117" s="1962"/>
      <c r="M117"/>
    </row>
    <row r="118" spans="1:13" s="168" customFormat="1" ht="15">
      <c r="A118" s="668">
        <v>44701</v>
      </c>
      <c r="B118" s="1124" t="s">
        <v>521</v>
      </c>
      <c r="C118" s="1124" t="s">
        <v>4394</v>
      </c>
      <c r="D118" s="669" t="s">
        <v>2117</v>
      </c>
      <c r="E118" s="613">
        <v>134.4</v>
      </c>
      <c r="F118" s="633">
        <v>0</v>
      </c>
      <c r="G118" s="639">
        <v>134.4</v>
      </c>
      <c r="H118" s="668">
        <v>44701</v>
      </c>
      <c r="I118" s="1998"/>
      <c r="J118" s="1919"/>
      <c r="K118" s="1962"/>
      <c r="L118" s="1962"/>
      <c r="M118"/>
    </row>
    <row r="119" spans="1:13" s="168" customFormat="1" ht="15">
      <c r="A119" s="668">
        <v>44701</v>
      </c>
      <c r="B119" s="1124" t="s">
        <v>521</v>
      </c>
      <c r="C119" s="1124" t="s">
        <v>4394</v>
      </c>
      <c r="D119" s="669" t="s">
        <v>2118</v>
      </c>
      <c r="E119" s="613">
        <v>-134.4</v>
      </c>
      <c r="F119" s="633">
        <v>0</v>
      </c>
      <c r="G119" s="639">
        <v>-134.4</v>
      </c>
      <c r="H119" s="664"/>
      <c r="I119" s="1998"/>
      <c r="J119" s="1919"/>
      <c r="K119" s="1962"/>
      <c r="L119" s="1962"/>
      <c r="M119"/>
    </row>
    <row r="120" spans="1:13" s="168" customFormat="1" ht="15">
      <c r="A120" s="668">
        <v>44708</v>
      </c>
      <c r="B120" s="1124" t="s">
        <v>521</v>
      </c>
      <c r="C120" s="1124" t="s">
        <v>4394</v>
      </c>
      <c r="D120" s="669" t="s">
        <v>2161</v>
      </c>
      <c r="E120" s="613">
        <v>382.9</v>
      </c>
      <c r="F120" s="633">
        <v>0</v>
      </c>
      <c r="G120" s="639">
        <v>382.9</v>
      </c>
      <c r="H120" s="668">
        <v>44708</v>
      </c>
      <c r="I120" s="1998"/>
      <c r="J120" s="1919"/>
      <c r="K120" s="1962"/>
      <c r="L120" s="1962"/>
      <c r="M120"/>
    </row>
    <row r="121" spans="1:13" s="168" customFormat="1" ht="15">
      <c r="A121" s="668">
        <v>44708</v>
      </c>
      <c r="B121" s="1124" t="s">
        <v>521</v>
      </c>
      <c r="C121" s="1124" t="s">
        <v>4394</v>
      </c>
      <c r="D121" s="669" t="s">
        <v>2162</v>
      </c>
      <c r="E121" s="613">
        <v>0.1</v>
      </c>
      <c r="F121" s="633">
        <v>0</v>
      </c>
      <c r="G121" s="639">
        <v>0.1</v>
      </c>
      <c r="H121" s="668">
        <v>44708</v>
      </c>
      <c r="I121" s="1998"/>
      <c r="J121" s="1919"/>
      <c r="K121" s="1962"/>
      <c r="L121" s="1962"/>
      <c r="M121"/>
    </row>
    <row r="122" spans="1:13" s="168" customFormat="1" ht="15">
      <c r="A122" s="2000">
        <v>44712</v>
      </c>
      <c r="B122" s="1918" t="s">
        <v>521</v>
      </c>
      <c r="C122" s="1918" t="s">
        <v>4394</v>
      </c>
      <c r="D122" s="2026" t="s">
        <v>2201</v>
      </c>
      <c r="E122" s="1915">
        <v>6120.45</v>
      </c>
      <c r="F122" s="2002">
        <v>0</v>
      </c>
      <c r="G122" s="639">
        <f>6120.45-3296.87</f>
        <v>2823.58</v>
      </c>
      <c r="H122" s="674">
        <v>44712</v>
      </c>
      <c r="I122" s="1999"/>
      <c r="J122" s="1920"/>
      <c r="K122" s="1957"/>
      <c r="L122" s="1957"/>
      <c r="M122"/>
    </row>
    <row r="123" spans="1:13" s="168" customFormat="1" ht="15">
      <c r="A123" s="2001"/>
      <c r="B123" s="1920"/>
      <c r="C123" s="1920"/>
      <c r="D123" s="2027"/>
      <c r="E123" s="1917"/>
      <c r="F123" s="2003"/>
      <c r="G123" s="611">
        <v>3296.87</v>
      </c>
      <c r="H123" s="675">
        <v>44712</v>
      </c>
      <c r="I123" s="1997">
        <v>5335.96</v>
      </c>
      <c r="J123" s="1918">
        <v>44749</v>
      </c>
      <c r="K123" s="1968" t="s">
        <v>2424</v>
      </c>
      <c r="L123" s="1968"/>
      <c r="M123"/>
    </row>
    <row r="124" spans="1:13" s="168" customFormat="1" ht="15">
      <c r="A124" s="1983">
        <v>44712</v>
      </c>
      <c r="B124" s="1918" t="s">
        <v>521</v>
      </c>
      <c r="C124" s="1918" t="s">
        <v>4394</v>
      </c>
      <c r="D124" s="1988" t="s">
        <v>2202</v>
      </c>
      <c r="E124" s="1915">
        <v>3315.19</v>
      </c>
      <c r="F124" s="2002">
        <v>0</v>
      </c>
      <c r="G124" s="611">
        <v>2039.09</v>
      </c>
      <c r="H124" s="676">
        <v>44712</v>
      </c>
      <c r="I124" s="1999"/>
      <c r="J124" s="1920"/>
      <c r="K124" s="1957"/>
      <c r="L124" s="1957"/>
      <c r="M124"/>
    </row>
    <row r="125" spans="1:13" s="168" customFormat="1" ht="15">
      <c r="A125" s="1985"/>
      <c r="B125" s="1920"/>
      <c r="C125" s="1920"/>
      <c r="D125" s="1990"/>
      <c r="E125" s="1917"/>
      <c r="F125" s="2003"/>
      <c r="G125" s="611">
        <f>3315.19-2039.09</f>
        <v>1276.1000000000001</v>
      </c>
      <c r="H125" s="676">
        <v>44712</v>
      </c>
      <c r="I125" s="1997">
        <v>4643.3100000000004</v>
      </c>
      <c r="J125" s="1918">
        <v>44757</v>
      </c>
      <c r="K125" s="1968" t="s">
        <v>2449</v>
      </c>
      <c r="L125" s="226"/>
      <c r="M125"/>
    </row>
    <row r="126" spans="1:13" s="168" customFormat="1" ht="15">
      <c r="A126" s="676">
        <v>44712</v>
      </c>
      <c r="B126" s="1124" t="s">
        <v>521</v>
      </c>
      <c r="C126" s="1124" t="s">
        <v>4394</v>
      </c>
      <c r="D126" s="677" t="s">
        <v>2203</v>
      </c>
      <c r="E126" s="613">
        <v>142.80000000000001</v>
      </c>
      <c r="F126" s="633">
        <v>0</v>
      </c>
      <c r="G126" s="611">
        <v>142.80000000000001</v>
      </c>
      <c r="H126" s="676">
        <v>44712</v>
      </c>
      <c r="I126" s="1998"/>
      <c r="J126" s="1919"/>
      <c r="K126" s="1962"/>
      <c r="L126" s="226"/>
      <c r="M126"/>
    </row>
    <row r="127" spans="1:13" s="168" customFormat="1" ht="15">
      <c r="A127" s="676">
        <v>44712</v>
      </c>
      <c r="B127" s="1124" t="s">
        <v>521</v>
      </c>
      <c r="C127" s="1124" t="s">
        <v>4394</v>
      </c>
      <c r="D127" s="677" t="s">
        <v>2204</v>
      </c>
      <c r="E127" s="613">
        <v>-2141.75</v>
      </c>
      <c r="F127" s="633">
        <v>0</v>
      </c>
      <c r="G127" s="611">
        <v>-2141.75</v>
      </c>
      <c r="H127" s="676">
        <v>44712</v>
      </c>
      <c r="I127" s="1998"/>
      <c r="J127" s="1919"/>
      <c r="K127" s="1962"/>
      <c r="L127" s="226" t="s">
        <v>2209</v>
      </c>
      <c r="M127"/>
    </row>
    <row r="128" spans="1:13" s="168" customFormat="1" ht="15">
      <c r="A128" s="676">
        <v>44712</v>
      </c>
      <c r="B128" s="1124" t="s">
        <v>521</v>
      </c>
      <c r="C128" s="1124" t="s">
        <v>4394</v>
      </c>
      <c r="D128" s="677" t="s">
        <v>2205</v>
      </c>
      <c r="E128" s="613">
        <v>-500</v>
      </c>
      <c r="F128" s="633">
        <v>0</v>
      </c>
      <c r="G128" s="611">
        <v>-500</v>
      </c>
      <c r="H128" s="676">
        <v>44712</v>
      </c>
      <c r="I128" s="1998"/>
      <c r="J128" s="1919"/>
      <c r="K128" s="1962"/>
      <c r="L128" s="226" t="s">
        <v>2210</v>
      </c>
      <c r="M128"/>
    </row>
    <row r="129" spans="1:13" s="168" customFormat="1" ht="15">
      <c r="A129" s="676">
        <v>44713</v>
      </c>
      <c r="B129" s="1124" t="s">
        <v>521</v>
      </c>
      <c r="C129" s="1124" t="s">
        <v>4394</v>
      </c>
      <c r="D129" s="677" t="s">
        <v>2206</v>
      </c>
      <c r="E129" s="613">
        <v>160</v>
      </c>
      <c r="F129" s="633">
        <v>0</v>
      </c>
      <c r="G129" s="611">
        <v>160</v>
      </c>
      <c r="H129" s="676">
        <v>44773</v>
      </c>
      <c r="I129" s="1998"/>
      <c r="J129" s="1919"/>
      <c r="K129" s="1962"/>
      <c r="L129" s="226"/>
      <c r="M129"/>
    </row>
    <row r="130" spans="1:13" s="168" customFormat="1" ht="15">
      <c r="A130" s="676">
        <v>44713</v>
      </c>
      <c r="B130" s="1124" t="s">
        <v>521</v>
      </c>
      <c r="C130" s="1124" t="s">
        <v>4394</v>
      </c>
      <c r="D130" s="677" t="s">
        <v>2207</v>
      </c>
      <c r="E130" s="613">
        <v>-681.1</v>
      </c>
      <c r="F130" s="633">
        <v>0</v>
      </c>
      <c r="G130" s="611">
        <v>-681.1</v>
      </c>
      <c r="H130" s="676">
        <v>44713</v>
      </c>
      <c r="I130" s="1998"/>
      <c r="J130" s="1919"/>
      <c r="K130" s="1962"/>
      <c r="L130" s="226" t="s">
        <v>2211</v>
      </c>
      <c r="M130"/>
    </row>
    <row r="131" spans="1:13" s="168" customFormat="1" ht="15">
      <c r="A131" s="676">
        <v>44715</v>
      </c>
      <c r="B131" s="1124" t="s">
        <v>521</v>
      </c>
      <c r="C131" s="1124" t="s">
        <v>4394</v>
      </c>
      <c r="D131" s="677" t="s">
        <v>2208</v>
      </c>
      <c r="E131" s="613">
        <v>278.52999999999997</v>
      </c>
      <c r="F131" s="633">
        <v>0</v>
      </c>
      <c r="G131" s="611">
        <v>278.52999999999997</v>
      </c>
      <c r="H131" s="678">
        <v>44715</v>
      </c>
      <c r="I131" s="1998"/>
      <c r="J131" s="1919"/>
      <c r="K131" s="1962"/>
      <c r="L131" s="226"/>
      <c r="M131"/>
    </row>
    <row r="132" spans="1:13" s="168" customFormat="1" ht="15">
      <c r="A132" s="676">
        <v>44719</v>
      </c>
      <c r="B132" s="1124" t="s">
        <v>521</v>
      </c>
      <c r="C132" s="1124" t="s">
        <v>4394</v>
      </c>
      <c r="D132" s="677" t="s">
        <v>2274</v>
      </c>
      <c r="E132" s="613">
        <v>175</v>
      </c>
      <c r="F132" s="633">
        <v>0</v>
      </c>
      <c r="G132" s="611">
        <v>175</v>
      </c>
      <c r="H132" s="678">
        <v>44719</v>
      </c>
      <c r="I132" s="1998"/>
      <c r="J132" s="1919"/>
      <c r="K132" s="1962"/>
      <c r="L132" s="226"/>
      <c r="M132"/>
    </row>
    <row r="133" spans="1:13" s="168" customFormat="1" ht="15">
      <c r="A133" s="676">
        <v>44722</v>
      </c>
      <c r="B133" s="1124" t="s">
        <v>521</v>
      </c>
      <c r="C133" s="1124" t="s">
        <v>4394</v>
      </c>
      <c r="D133" s="677" t="s">
        <v>2355</v>
      </c>
      <c r="E133" s="613">
        <v>709.2</v>
      </c>
      <c r="F133" s="633">
        <v>0</v>
      </c>
      <c r="G133" s="611">
        <v>709.2</v>
      </c>
      <c r="H133" s="678">
        <v>44722</v>
      </c>
      <c r="I133" s="1998"/>
      <c r="J133" s="1919"/>
      <c r="K133" s="1962"/>
      <c r="L133" s="166" t="s">
        <v>2356</v>
      </c>
      <c r="M133"/>
    </row>
    <row r="134" spans="1:13" s="168" customFormat="1" ht="15">
      <c r="A134" s="676">
        <v>44726</v>
      </c>
      <c r="B134" s="1124" t="s">
        <v>521</v>
      </c>
      <c r="C134" s="1124" t="s">
        <v>4394</v>
      </c>
      <c r="D134" s="677" t="s">
        <v>2280</v>
      </c>
      <c r="E134" s="613">
        <v>1008</v>
      </c>
      <c r="F134" s="633">
        <v>0</v>
      </c>
      <c r="G134" s="611">
        <v>1008</v>
      </c>
      <c r="H134" s="678">
        <v>44726</v>
      </c>
      <c r="I134" s="1998"/>
      <c r="J134" s="1919"/>
      <c r="K134" s="1962"/>
      <c r="L134" s="226"/>
      <c r="M134"/>
    </row>
    <row r="135" spans="1:13" s="168" customFormat="1" ht="15">
      <c r="A135" s="676">
        <v>44735</v>
      </c>
      <c r="B135" s="1124" t="s">
        <v>521</v>
      </c>
      <c r="C135" s="1124" t="s">
        <v>4394</v>
      </c>
      <c r="D135" s="677" t="s">
        <v>2314</v>
      </c>
      <c r="E135" s="613">
        <v>3511</v>
      </c>
      <c r="F135" s="633">
        <v>0</v>
      </c>
      <c r="G135" s="611">
        <v>3511</v>
      </c>
      <c r="H135" s="678">
        <v>44735</v>
      </c>
      <c r="I135" s="1998"/>
      <c r="J135" s="1919"/>
      <c r="K135" s="1962"/>
      <c r="L135" s="226"/>
      <c r="M135"/>
    </row>
    <row r="136" spans="1:13" s="168" customFormat="1" ht="15">
      <c r="A136" s="1983">
        <v>44739</v>
      </c>
      <c r="B136" s="1918" t="s">
        <v>521</v>
      </c>
      <c r="C136" s="1918" t="s">
        <v>4394</v>
      </c>
      <c r="D136" s="1988" t="s">
        <v>2353</v>
      </c>
      <c r="E136" s="1915">
        <v>722.61</v>
      </c>
      <c r="F136" s="2002">
        <v>0</v>
      </c>
      <c r="G136" s="611">
        <v>705.53</v>
      </c>
      <c r="H136" s="678">
        <v>44739</v>
      </c>
      <c r="I136" s="1999"/>
      <c r="J136" s="1920"/>
      <c r="K136" s="1957"/>
      <c r="L136" s="226"/>
      <c r="M136"/>
    </row>
    <row r="137" spans="1:13" s="168" customFormat="1" ht="15">
      <c r="A137" s="1985"/>
      <c r="B137" s="1920"/>
      <c r="C137" s="1920"/>
      <c r="D137" s="1990"/>
      <c r="E137" s="1917"/>
      <c r="F137" s="2003"/>
      <c r="G137" s="611">
        <f>722.61-705.53</f>
        <v>17.080000000000041</v>
      </c>
      <c r="H137" s="678">
        <v>44739</v>
      </c>
      <c r="I137" s="1997">
        <v>14186.96</v>
      </c>
      <c r="J137" s="1918">
        <v>44769</v>
      </c>
      <c r="K137" s="1935" t="s">
        <v>2579</v>
      </c>
      <c r="L137" s="166"/>
      <c r="M137"/>
    </row>
    <row r="138" spans="1:13" s="168" customFormat="1" ht="15">
      <c r="A138" s="676">
        <v>44741</v>
      </c>
      <c r="B138" s="1124" t="s">
        <v>521</v>
      </c>
      <c r="C138" s="1124" t="s">
        <v>4394</v>
      </c>
      <c r="D138" s="677" t="s">
        <v>2354</v>
      </c>
      <c r="E138" s="613">
        <v>1123.22</v>
      </c>
      <c r="F138" s="633">
        <v>0</v>
      </c>
      <c r="G138" s="611">
        <v>1123.22</v>
      </c>
      <c r="H138" s="678">
        <v>44741</v>
      </c>
      <c r="I138" s="1998"/>
      <c r="J138" s="1919"/>
      <c r="K138" s="1950"/>
      <c r="L138" s="166"/>
      <c r="M138"/>
    </row>
    <row r="139" spans="1:13" s="168" customFormat="1" ht="15">
      <c r="A139" s="676">
        <v>44742</v>
      </c>
      <c r="B139" s="1124" t="s">
        <v>521</v>
      </c>
      <c r="C139" s="1124" t="s">
        <v>4394</v>
      </c>
      <c r="D139" s="677" t="s">
        <v>2358</v>
      </c>
      <c r="E139" s="613">
        <v>-709.2</v>
      </c>
      <c r="F139" s="633">
        <v>0</v>
      </c>
      <c r="G139" s="611">
        <v>-709.2</v>
      </c>
      <c r="H139" s="678">
        <v>44742</v>
      </c>
      <c r="I139" s="1998"/>
      <c r="J139" s="1919"/>
      <c r="K139" s="1950"/>
      <c r="L139" s="166" t="s">
        <v>2357</v>
      </c>
      <c r="M139"/>
    </row>
    <row r="140" spans="1:13" s="168" customFormat="1" ht="15">
      <c r="A140" s="676">
        <v>44755</v>
      </c>
      <c r="B140" s="1124" t="s">
        <v>521</v>
      </c>
      <c r="C140" s="1124" t="s">
        <v>4394</v>
      </c>
      <c r="D140" s="677" t="s">
        <v>2455</v>
      </c>
      <c r="E140" s="613">
        <v>3935.82</v>
      </c>
      <c r="F140" s="633">
        <v>0</v>
      </c>
      <c r="G140" s="611">
        <v>3935.82</v>
      </c>
      <c r="H140" s="678">
        <v>44755</v>
      </c>
      <c r="I140" s="1998"/>
      <c r="J140" s="1919"/>
      <c r="K140" s="1950"/>
      <c r="L140" s="166"/>
      <c r="M140"/>
    </row>
    <row r="141" spans="1:13" s="168" customFormat="1" ht="15">
      <c r="A141" s="676">
        <v>44756</v>
      </c>
      <c r="B141" s="1124" t="s">
        <v>521</v>
      </c>
      <c r="C141" s="1124" t="s">
        <v>4394</v>
      </c>
      <c r="D141" s="677" t="s">
        <v>2434</v>
      </c>
      <c r="E141" s="613">
        <v>6594</v>
      </c>
      <c r="F141" s="633">
        <v>0</v>
      </c>
      <c r="G141" s="611">
        <v>6594</v>
      </c>
      <c r="H141" s="678">
        <v>44756</v>
      </c>
      <c r="I141" s="1998"/>
      <c r="J141" s="1919"/>
      <c r="K141" s="1950"/>
      <c r="L141" s="166" t="s">
        <v>2433</v>
      </c>
      <c r="M141"/>
    </row>
    <row r="142" spans="1:13" s="168" customFormat="1" ht="15">
      <c r="A142" s="676">
        <v>44761.000497685185</v>
      </c>
      <c r="B142" s="1124" t="s">
        <v>521</v>
      </c>
      <c r="C142" s="1124" t="s">
        <v>4394</v>
      </c>
      <c r="D142" s="677" t="s">
        <v>2463</v>
      </c>
      <c r="E142" s="613">
        <v>-500</v>
      </c>
      <c r="F142" s="633">
        <v>0</v>
      </c>
      <c r="G142" s="611">
        <v>-500</v>
      </c>
      <c r="H142" s="678">
        <v>44761</v>
      </c>
      <c r="I142" s="1998"/>
      <c r="J142" s="1919"/>
      <c r="K142" s="1950"/>
      <c r="L142" s="166" t="s">
        <v>2468</v>
      </c>
      <c r="M142"/>
    </row>
    <row r="143" spans="1:13" s="168" customFormat="1" ht="15">
      <c r="A143" s="676">
        <v>44761.000497685185</v>
      </c>
      <c r="B143" s="1124" t="s">
        <v>521</v>
      </c>
      <c r="C143" s="1124" t="s">
        <v>4394</v>
      </c>
      <c r="D143" s="677" t="s">
        <v>2464</v>
      </c>
      <c r="E143" s="613">
        <v>-500</v>
      </c>
      <c r="F143" s="633">
        <v>0</v>
      </c>
      <c r="G143" s="611">
        <v>-500</v>
      </c>
      <c r="H143" s="678">
        <v>44761</v>
      </c>
      <c r="I143" s="1998"/>
      <c r="J143" s="1919"/>
      <c r="K143" s="1950"/>
      <c r="L143" s="166" t="s">
        <v>2469</v>
      </c>
      <c r="M143"/>
    </row>
    <row r="144" spans="1:13" s="168" customFormat="1" ht="15">
      <c r="A144" s="676">
        <v>44762.000497685185</v>
      </c>
      <c r="B144" s="1124" t="s">
        <v>521</v>
      </c>
      <c r="C144" s="1124" t="s">
        <v>4394</v>
      </c>
      <c r="D144" s="677" t="s">
        <v>2465</v>
      </c>
      <c r="E144" s="613">
        <v>-70.91</v>
      </c>
      <c r="F144" s="633">
        <v>0</v>
      </c>
      <c r="G144" s="611">
        <v>-70.91</v>
      </c>
      <c r="H144" s="678"/>
      <c r="I144" s="1998"/>
      <c r="J144" s="1919"/>
      <c r="K144" s="1950"/>
      <c r="L144" s="166"/>
      <c r="M144"/>
    </row>
    <row r="145" spans="1:13" s="168" customFormat="1" ht="15">
      <c r="A145" s="676">
        <v>44762.000497685185</v>
      </c>
      <c r="B145" s="1124" t="s">
        <v>521</v>
      </c>
      <c r="C145" s="1124" t="s">
        <v>4394</v>
      </c>
      <c r="D145" s="677" t="s">
        <v>2466</v>
      </c>
      <c r="E145" s="613">
        <v>1155</v>
      </c>
      <c r="F145" s="633">
        <v>0</v>
      </c>
      <c r="G145" s="611">
        <v>1155</v>
      </c>
      <c r="H145" s="678">
        <v>44762</v>
      </c>
      <c r="I145" s="1998"/>
      <c r="J145" s="1919"/>
      <c r="K145" s="1950"/>
      <c r="L145" s="166"/>
      <c r="M145"/>
    </row>
    <row r="146" spans="1:13" s="168" customFormat="1" ht="15">
      <c r="A146" s="676">
        <v>44763.000497685185</v>
      </c>
      <c r="B146" s="1124" t="s">
        <v>521</v>
      </c>
      <c r="C146" s="1124" t="s">
        <v>4394</v>
      </c>
      <c r="D146" s="677" t="s">
        <v>2467</v>
      </c>
      <c r="E146" s="613">
        <v>3141.95</v>
      </c>
      <c r="F146" s="633">
        <v>0</v>
      </c>
      <c r="G146" s="611">
        <v>3141.95</v>
      </c>
      <c r="H146" s="678">
        <v>44763</v>
      </c>
      <c r="I146" s="1999"/>
      <c r="J146" s="1920"/>
      <c r="K146" s="1947"/>
      <c r="L146" s="166"/>
      <c r="M146"/>
    </row>
    <row r="147" spans="1:13" s="168" customFormat="1" ht="15">
      <c r="A147" s="676">
        <v>44769</v>
      </c>
      <c r="B147" s="1124" t="s">
        <v>521</v>
      </c>
      <c r="C147" s="1124" t="s">
        <v>4394</v>
      </c>
      <c r="D147" s="677" t="s">
        <v>2524</v>
      </c>
      <c r="E147" s="609">
        <v>7</v>
      </c>
      <c r="F147" s="649">
        <v>0</v>
      </c>
      <c r="G147" s="611">
        <v>7</v>
      </c>
      <c r="H147" s="678">
        <v>44769</v>
      </c>
      <c r="I147" s="2023">
        <v>5813.04</v>
      </c>
      <c r="J147" s="1903">
        <v>44797</v>
      </c>
      <c r="K147" s="1968" t="s">
        <v>2882</v>
      </c>
      <c r="L147" s="226"/>
      <c r="M147"/>
    </row>
    <row r="148" spans="1:13" s="168" customFormat="1" ht="15">
      <c r="A148" s="676">
        <v>44771</v>
      </c>
      <c r="B148" s="1124" t="s">
        <v>521</v>
      </c>
      <c r="C148" s="1124" t="s">
        <v>4394</v>
      </c>
      <c r="D148" s="677" t="s">
        <v>2525</v>
      </c>
      <c r="E148" s="609">
        <v>-227.64</v>
      </c>
      <c r="F148" s="649">
        <v>0</v>
      </c>
      <c r="G148" s="611">
        <v>-227.64</v>
      </c>
      <c r="H148" s="678"/>
      <c r="I148" s="2024"/>
      <c r="J148" s="1904"/>
      <c r="K148" s="1962"/>
      <c r="L148" s="226"/>
      <c r="M148"/>
    </row>
    <row r="149" spans="1:13" s="168" customFormat="1" ht="15">
      <c r="A149" s="676">
        <v>44771</v>
      </c>
      <c r="B149" s="1124" t="s">
        <v>521</v>
      </c>
      <c r="C149" s="1124" t="s">
        <v>4394</v>
      </c>
      <c r="D149" s="677" t="s">
        <v>2526</v>
      </c>
      <c r="E149" s="609">
        <v>2364.3200000000002</v>
      </c>
      <c r="F149" s="649">
        <v>0</v>
      </c>
      <c r="G149" s="611">
        <v>2364.3200000000002</v>
      </c>
      <c r="H149" s="678">
        <v>44771</v>
      </c>
      <c r="I149" s="2024"/>
      <c r="J149" s="1904"/>
      <c r="K149" s="1962"/>
      <c r="L149" s="226"/>
      <c r="M149"/>
    </row>
    <row r="150" spans="1:13" s="168" customFormat="1" ht="15">
      <c r="A150" s="676">
        <v>44776</v>
      </c>
      <c r="B150" s="1124" t="s">
        <v>521</v>
      </c>
      <c r="C150" s="1124" t="s">
        <v>4394</v>
      </c>
      <c r="D150" s="677" t="s">
        <v>2591</v>
      </c>
      <c r="E150" s="609">
        <v>1628.41</v>
      </c>
      <c r="F150" s="649">
        <v>0</v>
      </c>
      <c r="G150" s="611">
        <v>1628.41</v>
      </c>
      <c r="H150" s="678">
        <v>44777</v>
      </c>
      <c r="I150" s="2024"/>
      <c r="J150" s="1904"/>
      <c r="K150" s="1962"/>
      <c r="L150" s="226"/>
      <c r="M150"/>
    </row>
    <row r="151" spans="1:13" s="168" customFormat="1" ht="15">
      <c r="A151" s="676">
        <v>44781.000497685185</v>
      </c>
      <c r="B151" s="1124" t="s">
        <v>521</v>
      </c>
      <c r="C151" s="1124" t="s">
        <v>4394</v>
      </c>
      <c r="D151" s="677" t="s">
        <v>2649</v>
      </c>
      <c r="E151" s="609">
        <v>1108.8</v>
      </c>
      <c r="F151" s="649">
        <v>0</v>
      </c>
      <c r="G151" s="611">
        <v>1108.8</v>
      </c>
      <c r="H151" s="678">
        <v>44782.000497685185</v>
      </c>
      <c r="I151" s="2024"/>
      <c r="J151" s="1904"/>
      <c r="K151" s="1962"/>
      <c r="L151" s="226"/>
      <c r="M151"/>
    </row>
    <row r="152" spans="1:13" s="168" customFormat="1" ht="15">
      <c r="A152" s="676">
        <v>44790.000497685185</v>
      </c>
      <c r="B152" s="1124" t="s">
        <v>521</v>
      </c>
      <c r="C152" s="1124" t="s">
        <v>4394</v>
      </c>
      <c r="D152" s="677" t="s">
        <v>2759</v>
      </c>
      <c r="E152" s="609">
        <v>-194.74</v>
      </c>
      <c r="F152" s="649">
        <v>0</v>
      </c>
      <c r="G152" s="611">
        <v>-194.74</v>
      </c>
      <c r="H152" s="678" t="s">
        <v>1529</v>
      </c>
      <c r="I152" s="2024"/>
      <c r="J152" s="1904"/>
      <c r="K152" s="1962"/>
      <c r="L152" s="226"/>
      <c r="M152"/>
    </row>
    <row r="153" spans="1:13" s="168" customFormat="1" ht="15">
      <c r="A153" s="676">
        <v>44790.000497685185</v>
      </c>
      <c r="B153" s="1124" t="s">
        <v>521</v>
      </c>
      <c r="C153" s="1124" t="s">
        <v>4394</v>
      </c>
      <c r="D153" s="677" t="s">
        <v>2760</v>
      </c>
      <c r="E153" s="609">
        <v>-154.49</v>
      </c>
      <c r="F153" s="649">
        <v>0</v>
      </c>
      <c r="G153" s="611">
        <v>-154.49</v>
      </c>
      <c r="H153" s="678" t="s">
        <v>1529</v>
      </c>
      <c r="I153" s="2024"/>
      <c r="J153" s="1904"/>
      <c r="K153" s="1962"/>
      <c r="L153" s="226"/>
      <c r="M153"/>
    </row>
    <row r="154" spans="1:13" s="168" customFormat="1" ht="15">
      <c r="A154" s="676">
        <v>44790.000497685185</v>
      </c>
      <c r="B154" s="1124" t="s">
        <v>521</v>
      </c>
      <c r="C154" s="1124" t="s">
        <v>4394</v>
      </c>
      <c r="D154" s="677" t="s">
        <v>2761</v>
      </c>
      <c r="E154" s="609">
        <v>-230.09</v>
      </c>
      <c r="F154" s="649">
        <v>0</v>
      </c>
      <c r="G154" s="611">
        <v>-230.09</v>
      </c>
      <c r="H154" s="678" t="s">
        <v>1529</v>
      </c>
      <c r="I154" s="2024"/>
      <c r="J154" s="1904"/>
      <c r="K154" s="1962"/>
      <c r="L154" s="226"/>
      <c r="M154"/>
    </row>
    <row r="155" spans="1:13" s="168" customFormat="1" ht="15">
      <c r="A155" s="676">
        <v>44790.000497685185</v>
      </c>
      <c r="B155" s="1124" t="s">
        <v>521</v>
      </c>
      <c r="C155" s="1124" t="s">
        <v>4394</v>
      </c>
      <c r="D155" s="677" t="s">
        <v>2762</v>
      </c>
      <c r="E155" s="609">
        <v>-127.75</v>
      </c>
      <c r="F155" s="649">
        <v>0</v>
      </c>
      <c r="G155" s="611">
        <v>-127.75</v>
      </c>
      <c r="H155" s="678" t="s">
        <v>1529</v>
      </c>
      <c r="I155" s="2024"/>
      <c r="J155" s="1904"/>
      <c r="K155" s="1962"/>
      <c r="L155" s="226"/>
      <c r="M155"/>
    </row>
    <row r="156" spans="1:13" s="168" customFormat="1" ht="15">
      <c r="A156" s="1983">
        <v>44781.000497685185</v>
      </c>
      <c r="B156" s="1918" t="s">
        <v>521</v>
      </c>
      <c r="C156" s="1918" t="s">
        <v>4394</v>
      </c>
      <c r="D156" s="1988" t="s">
        <v>2650</v>
      </c>
      <c r="E156" s="1923">
        <v>2977.31</v>
      </c>
      <c r="F156" s="1927">
        <v>0</v>
      </c>
      <c r="G156" s="611">
        <v>1639.22</v>
      </c>
      <c r="H156" s="678">
        <v>44782.000497685185</v>
      </c>
      <c r="I156" s="2025"/>
      <c r="J156" s="1905"/>
      <c r="K156" s="1957"/>
      <c r="L156" s="226"/>
      <c r="M156"/>
    </row>
    <row r="157" spans="1:13" s="168" customFormat="1" ht="15">
      <c r="A157" s="1985"/>
      <c r="B157" s="1920"/>
      <c r="C157" s="1920"/>
      <c r="D157" s="1990"/>
      <c r="E157" s="1924"/>
      <c r="F157" s="1928"/>
      <c r="G157" s="611">
        <f>2977.31-1639.22</f>
        <v>1338.09</v>
      </c>
      <c r="H157" s="678">
        <v>44782.000497685185</v>
      </c>
      <c r="I157" s="2023">
        <v>6594</v>
      </c>
      <c r="J157" s="1903">
        <v>44804</v>
      </c>
      <c r="K157" s="1935" t="s">
        <v>2937</v>
      </c>
      <c r="L157" s="1956" t="s">
        <v>2938</v>
      </c>
      <c r="M157"/>
    </row>
    <row r="158" spans="1:13" s="168" customFormat="1" ht="15">
      <c r="A158" s="676">
        <v>44789.000497685185</v>
      </c>
      <c r="B158" s="1124" t="s">
        <v>521</v>
      </c>
      <c r="C158" s="1124" t="s">
        <v>4394</v>
      </c>
      <c r="D158" s="677" t="s">
        <v>2757</v>
      </c>
      <c r="E158" s="609">
        <v>1275.75</v>
      </c>
      <c r="F158" s="649">
        <v>0</v>
      </c>
      <c r="G158" s="611">
        <v>1275.75</v>
      </c>
      <c r="H158" s="678">
        <v>44790.000497685185</v>
      </c>
      <c r="I158" s="2024"/>
      <c r="J158" s="1904"/>
      <c r="K158" s="1950"/>
      <c r="L158" s="2028"/>
      <c r="M158"/>
    </row>
    <row r="159" spans="1:13" s="168" customFormat="1" ht="15">
      <c r="A159" s="676">
        <v>44789.000497685185</v>
      </c>
      <c r="B159" s="1124" t="s">
        <v>521</v>
      </c>
      <c r="C159" s="1124" t="s">
        <v>4394</v>
      </c>
      <c r="D159" s="677" t="s">
        <v>2758</v>
      </c>
      <c r="E159" s="609">
        <v>1670.9</v>
      </c>
      <c r="F159" s="649">
        <v>0</v>
      </c>
      <c r="G159" s="611">
        <v>1670.9</v>
      </c>
      <c r="H159" s="678">
        <v>44790.000497685185</v>
      </c>
      <c r="I159" s="2024"/>
      <c r="J159" s="1904"/>
      <c r="K159" s="1950"/>
      <c r="L159" s="2028"/>
      <c r="M159"/>
    </row>
    <row r="160" spans="1:13" s="168" customFormat="1" ht="15">
      <c r="A160" s="1983">
        <v>44792.000497685185</v>
      </c>
      <c r="B160" s="1918" t="s">
        <v>521</v>
      </c>
      <c r="C160" s="1918" t="s">
        <v>4394</v>
      </c>
      <c r="D160" s="1988" t="s">
        <v>2763</v>
      </c>
      <c r="E160" s="1923">
        <v>4227.6899999999996</v>
      </c>
      <c r="F160" s="1927">
        <v>0</v>
      </c>
      <c r="G160" s="611">
        <v>2309.2600000000002</v>
      </c>
      <c r="H160" s="678">
        <v>44793.000497685185</v>
      </c>
      <c r="I160" s="2025"/>
      <c r="J160" s="1905"/>
      <c r="K160" s="1947"/>
      <c r="L160" s="2029"/>
      <c r="M160"/>
    </row>
    <row r="161" spans="1:13" s="168" customFormat="1" ht="15">
      <c r="A161" s="1985"/>
      <c r="B161" s="1920"/>
      <c r="C161" s="1920"/>
      <c r="D161" s="1990"/>
      <c r="E161" s="1924"/>
      <c r="F161" s="1928"/>
      <c r="G161" s="611">
        <f>4227.69-2309.26</f>
        <v>1918.4299999999994</v>
      </c>
      <c r="H161" s="678">
        <v>44793.000497685185</v>
      </c>
      <c r="I161" s="1994">
        <v>13835.99</v>
      </c>
      <c r="J161" s="1918">
        <v>44832</v>
      </c>
      <c r="K161" s="1968" t="s">
        <v>3200</v>
      </c>
      <c r="L161" s="1968"/>
      <c r="M161"/>
    </row>
    <row r="162" spans="1:13" s="168" customFormat="1" ht="15">
      <c r="A162" s="676">
        <v>44796</v>
      </c>
      <c r="B162" s="1124" t="s">
        <v>521</v>
      </c>
      <c r="C162" s="1124" t="s">
        <v>4394</v>
      </c>
      <c r="D162" s="677" t="s">
        <v>2829</v>
      </c>
      <c r="E162" s="822">
        <v>-95.2</v>
      </c>
      <c r="F162" s="649">
        <v>0</v>
      </c>
      <c r="G162" s="611">
        <v>-95.2</v>
      </c>
      <c r="H162" s="678"/>
      <c r="I162" s="1995"/>
      <c r="J162" s="1919"/>
      <c r="K162" s="1962"/>
      <c r="L162" s="1962"/>
      <c r="M162"/>
    </row>
    <row r="163" spans="1:13" s="168" customFormat="1" ht="15">
      <c r="A163" s="676">
        <v>44799</v>
      </c>
      <c r="B163" s="1124" t="s">
        <v>521</v>
      </c>
      <c r="C163" s="1124" t="s">
        <v>4394</v>
      </c>
      <c r="D163" s="677" t="s">
        <v>2830</v>
      </c>
      <c r="E163" s="822">
        <v>2184</v>
      </c>
      <c r="F163" s="649">
        <v>0</v>
      </c>
      <c r="G163" s="611">
        <v>2184</v>
      </c>
      <c r="H163" s="678">
        <v>44800</v>
      </c>
      <c r="I163" s="1995"/>
      <c r="J163" s="1919"/>
      <c r="K163" s="1962"/>
      <c r="L163" s="1962"/>
      <c r="M163"/>
    </row>
    <row r="164" spans="1:13" s="168" customFormat="1" ht="15">
      <c r="A164" s="676">
        <v>44811</v>
      </c>
      <c r="B164" s="1124" t="s">
        <v>521</v>
      </c>
      <c r="C164" s="1124" t="s">
        <v>4394</v>
      </c>
      <c r="D164" s="677" t="s">
        <v>2950</v>
      </c>
      <c r="E164" s="822">
        <v>1460.13</v>
      </c>
      <c r="F164" s="649">
        <v>0</v>
      </c>
      <c r="G164" s="611">
        <v>1460.13</v>
      </c>
      <c r="H164" s="678">
        <v>44812</v>
      </c>
      <c r="I164" s="1995"/>
      <c r="J164" s="1919"/>
      <c r="K164" s="1962"/>
      <c r="L164" s="1962"/>
      <c r="M164"/>
    </row>
    <row r="165" spans="1:13" s="168" customFormat="1" ht="15">
      <c r="A165" s="676">
        <v>44812</v>
      </c>
      <c r="B165" s="1124" t="s">
        <v>521</v>
      </c>
      <c r="C165" s="1124" t="s">
        <v>4394</v>
      </c>
      <c r="D165" s="677" t="s">
        <v>2951</v>
      </c>
      <c r="E165" s="822">
        <v>-5.92</v>
      </c>
      <c r="F165" s="649">
        <v>0</v>
      </c>
      <c r="G165" s="611">
        <v>-5.92</v>
      </c>
      <c r="H165" s="678"/>
      <c r="I165" s="1995"/>
      <c r="J165" s="1919"/>
      <c r="K165" s="1962"/>
      <c r="L165" s="1962"/>
      <c r="M165"/>
    </row>
    <row r="166" spans="1:13" s="168" customFormat="1" ht="15">
      <c r="A166" s="676">
        <v>44817</v>
      </c>
      <c r="B166" s="1124" t="s">
        <v>521</v>
      </c>
      <c r="C166" s="1124" t="s">
        <v>4394</v>
      </c>
      <c r="D166" s="677" t="s">
        <v>2989</v>
      </c>
      <c r="E166" s="822">
        <v>-605.5</v>
      </c>
      <c r="F166" s="649">
        <v>0</v>
      </c>
      <c r="G166" s="611">
        <v>-605.5</v>
      </c>
      <c r="H166" s="678"/>
      <c r="I166" s="1995"/>
      <c r="J166" s="1919"/>
      <c r="K166" s="1962"/>
      <c r="L166" s="1962"/>
      <c r="M166"/>
    </row>
    <row r="167" spans="1:13" s="168" customFormat="1" ht="15">
      <c r="A167" s="676">
        <v>44817</v>
      </c>
      <c r="B167" s="1124" t="s">
        <v>521</v>
      </c>
      <c r="C167" s="1124" t="s">
        <v>4394</v>
      </c>
      <c r="D167" s="677" t="s">
        <v>2990</v>
      </c>
      <c r="E167" s="822">
        <v>2772</v>
      </c>
      <c r="F167" s="649">
        <v>0</v>
      </c>
      <c r="G167" s="611">
        <v>2772</v>
      </c>
      <c r="H167" s="678">
        <v>44818</v>
      </c>
      <c r="I167" s="1995"/>
      <c r="J167" s="1919"/>
      <c r="K167" s="1962"/>
      <c r="L167" s="1962"/>
      <c r="M167"/>
    </row>
    <row r="168" spans="1:13" s="168" customFormat="1" ht="15">
      <c r="A168" s="676">
        <v>44818</v>
      </c>
      <c r="B168" s="1124" t="s">
        <v>521</v>
      </c>
      <c r="C168" s="1124" t="s">
        <v>4394</v>
      </c>
      <c r="D168" s="677" t="s">
        <v>2991</v>
      </c>
      <c r="E168" s="822">
        <v>6454.21</v>
      </c>
      <c r="F168" s="649">
        <v>0</v>
      </c>
      <c r="G168" s="611">
        <v>6454.21</v>
      </c>
      <c r="H168" s="678">
        <v>44819</v>
      </c>
      <c r="I168" s="1995"/>
      <c r="J168" s="1919"/>
      <c r="K168" s="1962"/>
      <c r="L168" s="1962"/>
      <c r="M168"/>
    </row>
    <row r="169" spans="1:13" s="168" customFormat="1" ht="15">
      <c r="A169" s="676">
        <v>44819</v>
      </c>
      <c r="B169" s="1124" t="s">
        <v>521</v>
      </c>
      <c r="C169" s="1124" t="s">
        <v>4394</v>
      </c>
      <c r="D169" s="677" t="s">
        <v>2992</v>
      </c>
      <c r="E169" s="822">
        <v>-223.2</v>
      </c>
      <c r="F169" s="649">
        <v>0</v>
      </c>
      <c r="G169" s="611">
        <v>-223.2</v>
      </c>
      <c r="H169" s="678"/>
      <c r="I169" s="1995"/>
      <c r="J169" s="1919"/>
      <c r="K169" s="1962"/>
      <c r="L169" s="1962"/>
      <c r="M169"/>
    </row>
    <row r="170" spans="1:13" s="168" customFormat="1" ht="15">
      <c r="A170" s="676">
        <v>44819</v>
      </c>
      <c r="B170" s="1124" t="s">
        <v>521</v>
      </c>
      <c r="C170" s="1124" t="s">
        <v>4394</v>
      </c>
      <c r="D170" s="677" t="s">
        <v>2993</v>
      </c>
      <c r="E170" s="822">
        <v>-28.56</v>
      </c>
      <c r="F170" s="649">
        <v>0</v>
      </c>
      <c r="G170" s="611">
        <v>-28.56</v>
      </c>
      <c r="H170" s="678"/>
      <c r="I170" s="1995"/>
      <c r="J170" s="1919"/>
      <c r="K170" s="1962"/>
      <c r="L170" s="1962"/>
      <c r="M170"/>
    </row>
    <row r="171" spans="1:13" s="168" customFormat="1" ht="15">
      <c r="A171" s="676">
        <v>44819</v>
      </c>
      <c r="B171" s="1124" t="s">
        <v>521</v>
      </c>
      <c r="C171" s="1124" t="s">
        <v>4394</v>
      </c>
      <c r="D171" s="677" t="s">
        <v>2994</v>
      </c>
      <c r="E171" s="822">
        <v>-263.55</v>
      </c>
      <c r="F171" s="649">
        <v>0</v>
      </c>
      <c r="G171" s="611">
        <v>-263.55</v>
      </c>
      <c r="H171" s="678"/>
      <c r="I171" s="1995"/>
      <c r="J171" s="1919"/>
      <c r="K171" s="1962"/>
      <c r="L171" s="1962"/>
      <c r="M171"/>
    </row>
    <row r="172" spans="1:13" s="168" customFormat="1" ht="15">
      <c r="A172" s="676">
        <v>44820</v>
      </c>
      <c r="B172" s="1124" t="s">
        <v>521</v>
      </c>
      <c r="C172" s="1124" t="s">
        <v>4394</v>
      </c>
      <c r="D172" s="677" t="s">
        <v>2995</v>
      </c>
      <c r="E172" s="822">
        <v>-85.79</v>
      </c>
      <c r="F172" s="649">
        <v>0</v>
      </c>
      <c r="G172" s="611">
        <v>-85.79</v>
      </c>
      <c r="H172" s="678"/>
      <c r="I172" s="1995"/>
      <c r="J172" s="1919"/>
      <c r="K172" s="1962"/>
      <c r="L172" s="1962"/>
      <c r="M172"/>
    </row>
    <row r="173" spans="1:13" s="168" customFormat="1" ht="15">
      <c r="A173" s="676">
        <v>44823</v>
      </c>
      <c r="B173" s="1124" t="s">
        <v>521</v>
      </c>
      <c r="C173" s="1124" t="s">
        <v>4394</v>
      </c>
      <c r="D173" s="677" t="s">
        <v>3047</v>
      </c>
      <c r="E173" s="822">
        <v>-86.8</v>
      </c>
      <c r="F173" s="649">
        <v>0</v>
      </c>
      <c r="G173" s="611">
        <v>-86.8</v>
      </c>
      <c r="H173" s="678"/>
      <c r="I173" s="1995"/>
      <c r="J173" s="1919"/>
      <c r="K173" s="1962"/>
      <c r="L173" s="1962"/>
      <c r="M173"/>
    </row>
    <row r="174" spans="1:13" s="168" customFormat="1" ht="15">
      <c r="A174" s="676">
        <v>44823</v>
      </c>
      <c r="B174" s="1124" t="s">
        <v>521</v>
      </c>
      <c r="C174" s="1124" t="s">
        <v>4394</v>
      </c>
      <c r="D174" s="677" t="s">
        <v>3048</v>
      </c>
      <c r="E174" s="822">
        <v>-126.25</v>
      </c>
      <c r="F174" s="649">
        <v>0</v>
      </c>
      <c r="G174" s="611">
        <v>-126.25</v>
      </c>
      <c r="H174" s="678"/>
      <c r="I174" s="1995"/>
      <c r="J174" s="1919"/>
      <c r="K174" s="1962"/>
      <c r="L174" s="1962"/>
      <c r="M174"/>
    </row>
    <row r="175" spans="1:13" s="168" customFormat="1" ht="15">
      <c r="A175" s="676">
        <v>44825</v>
      </c>
      <c r="B175" s="1124" t="s">
        <v>521</v>
      </c>
      <c r="C175" s="1124" t="s">
        <v>4394</v>
      </c>
      <c r="D175" s="677" t="s">
        <v>3049</v>
      </c>
      <c r="E175" s="822">
        <v>756.98</v>
      </c>
      <c r="F175" s="649">
        <v>0</v>
      </c>
      <c r="G175" s="611">
        <v>756.98</v>
      </c>
      <c r="H175" s="678">
        <v>44826</v>
      </c>
      <c r="I175" s="1995"/>
      <c r="J175" s="1919"/>
      <c r="K175" s="1962"/>
      <c r="L175" s="1962"/>
      <c r="M175"/>
    </row>
    <row r="176" spans="1:13" s="168" customFormat="1" ht="15">
      <c r="A176" s="676">
        <v>44826</v>
      </c>
      <c r="B176" s="1124" t="s">
        <v>521</v>
      </c>
      <c r="C176" s="1124" t="s">
        <v>4394</v>
      </c>
      <c r="D176" s="677" t="s">
        <v>3050</v>
      </c>
      <c r="E176" s="822">
        <v>-188.99</v>
      </c>
      <c r="F176" s="649">
        <v>0</v>
      </c>
      <c r="G176" s="611">
        <v>-188.99</v>
      </c>
      <c r="H176" s="678"/>
      <c r="I176" s="1996"/>
      <c r="J176" s="1920"/>
      <c r="K176" s="1957"/>
      <c r="L176" s="1957"/>
      <c r="M176"/>
    </row>
    <row r="177" spans="1:13" s="168" customFormat="1" ht="15">
      <c r="A177" s="676">
        <v>44831</v>
      </c>
      <c r="B177" s="1124" t="s">
        <v>521</v>
      </c>
      <c r="C177" s="1124" t="s">
        <v>4394</v>
      </c>
      <c r="D177" s="677" t="s">
        <v>3144</v>
      </c>
      <c r="E177" s="849">
        <v>-105.6</v>
      </c>
      <c r="F177" s="649">
        <v>0</v>
      </c>
      <c r="G177" s="611">
        <v>-105.6</v>
      </c>
      <c r="H177" s="678" t="s">
        <v>1529</v>
      </c>
      <c r="I177" s="1991">
        <v>16359.38</v>
      </c>
      <c r="J177" s="1918">
        <v>44851</v>
      </c>
      <c r="K177" s="1968" t="s">
        <v>3329</v>
      </c>
      <c r="L177" s="1968"/>
      <c r="M177"/>
    </row>
    <row r="178" spans="1:13" s="168" customFormat="1" ht="15">
      <c r="A178" s="676">
        <v>44833</v>
      </c>
      <c r="B178" s="1124" t="s">
        <v>521</v>
      </c>
      <c r="C178" s="1124" t="s">
        <v>4394</v>
      </c>
      <c r="D178" s="677" t="s">
        <v>3145</v>
      </c>
      <c r="E178" s="849">
        <v>7666.65</v>
      </c>
      <c r="F178" s="649">
        <v>0</v>
      </c>
      <c r="G178" s="611">
        <v>7666.65</v>
      </c>
      <c r="H178" s="678">
        <v>44834.000497685185</v>
      </c>
      <c r="I178" s="1992"/>
      <c r="J178" s="1919"/>
      <c r="K178" s="1962"/>
      <c r="L178" s="1962"/>
      <c r="M178"/>
    </row>
    <row r="179" spans="1:13" s="168" customFormat="1" ht="15">
      <c r="A179" s="676">
        <v>44834</v>
      </c>
      <c r="B179" s="1124" t="s">
        <v>521</v>
      </c>
      <c r="C179" s="1124" t="s">
        <v>4394</v>
      </c>
      <c r="D179" s="677" t="s">
        <v>3146</v>
      </c>
      <c r="E179" s="849">
        <v>770</v>
      </c>
      <c r="F179" s="649">
        <v>0</v>
      </c>
      <c r="G179" s="611">
        <v>770</v>
      </c>
      <c r="H179" s="678">
        <v>44835.000497685185</v>
      </c>
      <c r="I179" s="1992"/>
      <c r="J179" s="1919"/>
      <c r="K179" s="1962"/>
      <c r="L179" s="1962"/>
      <c r="M179"/>
    </row>
    <row r="180" spans="1:13" s="168" customFormat="1" ht="15">
      <c r="A180" s="676">
        <v>44834</v>
      </c>
      <c r="B180" s="1124" t="s">
        <v>521</v>
      </c>
      <c r="C180" s="1124" t="s">
        <v>4394</v>
      </c>
      <c r="D180" s="677" t="s">
        <v>3147</v>
      </c>
      <c r="E180" s="849">
        <v>2093</v>
      </c>
      <c r="F180" s="649">
        <v>0</v>
      </c>
      <c r="G180" s="611">
        <v>2093</v>
      </c>
      <c r="H180" s="678">
        <v>44835.000497685185</v>
      </c>
      <c r="I180" s="1992"/>
      <c r="J180" s="1919"/>
      <c r="K180" s="1962"/>
      <c r="L180" s="1962"/>
      <c r="M180"/>
    </row>
    <row r="181" spans="1:13" s="168" customFormat="1" ht="15">
      <c r="A181" s="676">
        <v>44834</v>
      </c>
      <c r="B181" s="1124" t="s">
        <v>521</v>
      </c>
      <c r="C181" s="1124" t="s">
        <v>4394</v>
      </c>
      <c r="D181" s="677" t="s">
        <v>3148</v>
      </c>
      <c r="E181" s="849">
        <v>-12.53</v>
      </c>
      <c r="F181" s="649">
        <v>0</v>
      </c>
      <c r="G181" s="611">
        <v>-12.53</v>
      </c>
      <c r="H181" s="678" t="s">
        <v>1529</v>
      </c>
      <c r="I181" s="1992"/>
      <c r="J181" s="1919"/>
      <c r="K181" s="1962"/>
      <c r="L181" s="1962"/>
      <c r="M181"/>
    </row>
    <row r="182" spans="1:13" s="168" customFormat="1" ht="15">
      <c r="A182" s="676">
        <v>44838</v>
      </c>
      <c r="B182" s="1124" t="s">
        <v>521</v>
      </c>
      <c r="C182" s="1124" t="s">
        <v>4394</v>
      </c>
      <c r="D182" s="677" t="s">
        <v>3212</v>
      </c>
      <c r="E182" s="849">
        <v>866.46</v>
      </c>
      <c r="F182" s="649">
        <v>0</v>
      </c>
      <c r="G182" s="611">
        <v>866.46</v>
      </c>
      <c r="H182" s="678">
        <v>44839</v>
      </c>
      <c r="I182" s="1992"/>
      <c r="J182" s="1919"/>
      <c r="K182" s="1962"/>
      <c r="L182" s="1962"/>
      <c r="M182"/>
    </row>
    <row r="183" spans="1:13" s="168" customFormat="1" ht="15">
      <c r="A183" s="676">
        <v>44838</v>
      </c>
      <c r="B183" s="1124" t="s">
        <v>521</v>
      </c>
      <c r="C183" s="1124" t="s">
        <v>4394</v>
      </c>
      <c r="D183" s="677" t="s">
        <v>3213</v>
      </c>
      <c r="E183" s="849">
        <v>138</v>
      </c>
      <c r="F183" s="649">
        <v>0</v>
      </c>
      <c r="G183" s="611">
        <v>138</v>
      </c>
      <c r="H183" s="678">
        <v>44839</v>
      </c>
      <c r="I183" s="1992"/>
      <c r="J183" s="1919"/>
      <c r="K183" s="1962"/>
      <c r="L183" s="1962"/>
      <c r="M183"/>
    </row>
    <row r="184" spans="1:13" s="168" customFormat="1" ht="15">
      <c r="A184" s="676">
        <v>44841</v>
      </c>
      <c r="B184" s="1124" t="s">
        <v>521</v>
      </c>
      <c r="C184" s="1124" t="s">
        <v>4394</v>
      </c>
      <c r="D184" s="677" t="s">
        <v>3239</v>
      </c>
      <c r="E184" s="849">
        <v>-1.75</v>
      </c>
      <c r="F184" s="649">
        <v>0</v>
      </c>
      <c r="G184" s="611">
        <v>-1.75</v>
      </c>
      <c r="H184" s="678"/>
      <c r="I184" s="1992"/>
      <c r="J184" s="1919"/>
      <c r="K184" s="1962"/>
      <c r="L184" s="1962"/>
      <c r="M184"/>
    </row>
    <row r="185" spans="1:13" s="168" customFormat="1" ht="15">
      <c r="A185" s="676">
        <v>44848</v>
      </c>
      <c r="B185" s="1124" t="s">
        <v>521</v>
      </c>
      <c r="C185" s="1124" t="s">
        <v>4394</v>
      </c>
      <c r="D185" s="677" t="s">
        <v>3248</v>
      </c>
      <c r="E185" s="849">
        <v>4945.1499999999996</v>
      </c>
      <c r="F185" s="649">
        <v>0</v>
      </c>
      <c r="G185" s="611">
        <v>4945.1499999999996</v>
      </c>
      <c r="H185" s="678">
        <v>44849</v>
      </c>
      <c r="I185" s="1993"/>
      <c r="J185" s="1920"/>
      <c r="K185" s="1957"/>
      <c r="L185" s="1957"/>
      <c r="M185"/>
    </row>
    <row r="186" spans="1:13" s="168" customFormat="1" ht="15">
      <c r="A186" s="676">
        <v>44851.000497685185</v>
      </c>
      <c r="B186" s="1124" t="s">
        <v>521</v>
      </c>
      <c r="C186" s="1124" t="s">
        <v>4394</v>
      </c>
      <c r="D186" s="677" t="s">
        <v>3285</v>
      </c>
      <c r="E186" s="950">
        <v>-94.5</v>
      </c>
      <c r="F186" s="649">
        <v>0</v>
      </c>
      <c r="G186" s="611">
        <v>-94.5</v>
      </c>
      <c r="H186" s="678">
        <v>44852.000497685185</v>
      </c>
      <c r="I186" s="1997">
        <v>4804.63</v>
      </c>
      <c r="J186" s="1918">
        <v>44893</v>
      </c>
      <c r="K186" s="1968" t="s">
        <v>3636</v>
      </c>
      <c r="L186" s="226" t="s">
        <v>3290</v>
      </c>
      <c r="M186"/>
    </row>
    <row r="187" spans="1:13" s="168" customFormat="1" ht="15">
      <c r="A187" s="676">
        <v>44852.000497685185</v>
      </c>
      <c r="B187" s="1124" t="s">
        <v>521</v>
      </c>
      <c r="C187" s="1124" t="s">
        <v>4394</v>
      </c>
      <c r="D187" s="677" t="s">
        <v>3286</v>
      </c>
      <c r="E187" s="950">
        <v>463.82</v>
      </c>
      <c r="F187" s="649">
        <v>0</v>
      </c>
      <c r="G187" s="611">
        <v>463.82</v>
      </c>
      <c r="H187" s="678">
        <v>44853.000497685185</v>
      </c>
      <c r="I187" s="1998"/>
      <c r="J187" s="1919"/>
      <c r="K187" s="1962"/>
      <c r="L187" s="226"/>
      <c r="M187"/>
    </row>
    <row r="188" spans="1:13" s="168" customFormat="1" ht="15">
      <c r="A188" s="676">
        <v>44852.000497685185</v>
      </c>
      <c r="B188" s="1124" t="s">
        <v>521</v>
      </c>
      <c r="C188" s="1124" t="s">
        <v>4394</v>
      </c>
      <c r="D188" s="677" t="s">
        <v>3287</v>
      </c>
      <c r="E188" s="950">
        <v>-12.81</v>
      </c>
      <c r="F188" s="649">
        <v>0</v>
      </c>
      <c r="G188" s="611">
        <v>-12.81</v>
      </c>
      <c r="H188" s="678" t="s">
        <v>1529</v>
      </c>
      <c r="I188" s="1998"/>
      <c r="J188" s="1919"/>
      <c r="K188" s="1962"/>
      <c r="L188" s="226"/>
      <c r="M188"/>
    </row>
    <row r="189" spans="1:13" s="168" customFormat="1" ht="15">
      <c r="A189" s="676">
        <v>44852.000497685185</v>
      </c>
      <c r="B189" s="1124" t="s">
        <v>521</v>
      </c>
      <c r="C189" s="1124" t="s">
        <v>4394</v>
      </c>
      <c r="D189" s="677" t="s">
        <v>3288</v>
      </c>
      <c r="E189" s="950">
        <v>-73.569999999999993</v>
      </c>
      <c r="F189" s="649">
        <v>0</v>
      </c>
      <c r="G189" s="611">
        <v>-73.569999999999993</v>
      </c>
      <c r="H189" s="678" t="s">
        <v>1529</v>
      </c>
      <c r="I189" s="1998"/>
      <c r="J189" s="1919"/>
      <c r="K189" s="1962"/>
      <c r="L189" s="226"/>
      <c r="M189"/>
    </row>
    <row r="190" spans="1:13" s="168" customFormat="1" ht="15">
      <c r="A190" s="676">
        <v>44855.000497685185</v>
      </c>
      <c r="B190" s="1124" t="s">
        <v>521</v>
      </c>
      <c r="C190" s="1124" t="s">
        <v>4394</v>
      </c>
      <c r="D190" s="677" t="s">
        <v>3289</v>
      </c>
      <c r="E190" s="950">
        <v>-693</v>
      </c>
      <c r="F190" s="649">
        <v>0</v>
      </c>
      <c r="G190" s="611">
        <v>-693</v>
      </c>
      <c r="H190" s="678" t="s">
        <v>1529</v>
      </c>
      <c r="I190" s="1998"/>
      <c r="J190" s="1919"/>
      <c r="K190" s="1962"/>
      <c r="L190" s="226"/>
      <c r="M190"/>
    </row>
    <row r="191" spans="1:13" s="168" customFormat="1" ht="15">
      <c r="A191" s="676">
        <v>44858</v>
      </c>
      <c r="B191" s="1124" t="s">
        <v>521</v>
      </c>
      <c r="C191" s="1124" t="s">
        <v>4394</v>
      </c>
      <c r="D191" s="677" t="s">
        <v>3335</v>
      </c>
      <c r="E191" s="950">
        <v>238.8</v>
      </c>
      <c r="F191" s="649">
        <v>0</v>
      </c>
      <c r="G191" s="611">
        <v>238.8</v>
      </c>
      <c r="H191" s="678">
        <v>44859</v>
      </c>
      <c r="I191" s="1998"/>
      <c r="J191" s="1919"/>
      <c r="K191" s="1962"/>
      <c r="L191" s="226"/>
      <c r="M191"/>
    </row>
    <row r="192" spans="1:13" s="168" customFormat="1" ht="15">
      <c r="A192" s="676">
        <v>44869.000497685185</v>
      </c>
      <c r="B192" s="1124" t="s">
        <v>521</v>
      </c>
      <c r="C192" s="1124" t="s">
        <v>4394</v>
      </c>
      <c r="D192" s="677" t="s">
        <v>3407</v>
      </c>
      <c r="E192" s="950">
        <v>-90.79</v>
      </c>
      <c r="F192" s="649">
        <v>0</v>
      </c>
      <c r="G192" s="611">
        <v>-90.79</v>
      </c>
      <c r="H192" s="678" t="s">
        <v>1529</v>
      </c>
      <c r="I192" s="1998"/>
      <c r="J192" s="1919"/>
      <c r="K192" s="1962"/>
      <c r="L192" s="226"/>
      <c r="M192"/>
    </row>
    <row r="193" spans="1:13" s="168" customFormat="1" ht="15">
      <c r="A193" s="676">
        <v>44869.000497685185</v>
      </c>
      <c r="B193" s="1124" t="s">
        <v>521</v>
      </c>
      <c r="C193" s="1124" t="s">
        <v>4394</v>
      </c>
      <c r="D193" s="677" t="s">
        <v>3408</v>
      </c>
      <c r="E193" s="950">
        <v>-1265.05</v>
      </c>
      <c r="F193" s="649">
        <v>0</v>
      </c>
      <c r="G193" s="611">
        <v>-1265.05</v>
      </c>
      <c r="H193" s="678">
        <v>44870.000497685185</v>
      </c>
      <c r="I193" s="1998"/>
      <c r="J193" s="1919"/>
      <c r="K193" s="1962"/>
      <c r="L193" s="226"/>
      <c r="M193"/>
    </row>
    <row r="194" spans="1:13" s="168" customFormat="1" ht="15">
      <c r="A194" s="676">
        <v>44881</v>
      </c>
      <c r="B194" s="1124" t="s">
        <v>521</v>
      </c>
      <c r="C194" s="1124" t="s">
        <v>4394</v>
      </c>
      <c r="D194" s="677" t="s">
        <v>3476</v>
      </c>
      <c r="E194" s="950">
        <v>-150.15</v>
      </c>
      <c r="F194" s="649">
        <v>0</v>
      </c>
      <c r="G194" s="611">
        <v>-150.15</v>
      </c>
      <c r="H194" s="678"/>
      <c r="I194" s="1998"/>
      <c r="J194" s="1919"/>
      <c r="K194" s="1962"/>
      <c r="L194" s="226"/>
      <c r="M194"/>
    </row>
    <row r="195" spans="1:13" s="168" customFormat="1" ht="15">
      <c r="A195" s="676">
        <v>44888</v>
      </c>
      <c r="B195" s="1124" t="s">
        <v>521</v>
      </c>
      <c r="C195" s="1124" t="s">
        <v>4394</v>
      </c>
      <c r="D195" s="677" t="s">
        <v>3517</v>
      </c>
      <c r="E195" s="950">
        <v>-139.51</v>
      </c>
      <c r="F195" s="649">
        <v>0</v>
      </c>
      <c r="G195" s="611">
        <v>-139.51</v>
      </c>
      <c r="H195" s="678"/>
      <c r="I195" s="1998"/>
      <c r="J195" s="1919"/>
      <c r="K195" s="1962"/>
      <c r="L195" s="226"/>
      <c r="M195"/>
    </row>
    <row r="196" spans="1:13" s="168" customFormat="1" ht="15">
      <c r="A196" s="1983">
        <v>44860</v>
      </c>
      <c r="B196" s="1918" t="s">
        <v>521</v>
      </c>
      <c r="C196" s="1918" t="s">
        <v>4394</v>
      </c>
      <c r="D196" s="1988" t="s">
        <v>3336</v>
      </c>
      <c r="E196" s="1923">
        <v>7738.96</v>
      </c>
      <c r="F196" s="1927">
        <v>0</v>
      </c>
      <c r="G196" s="611">
        <v>6621.39</v>
      </c>
      <c r="H196" s="678">
        <v>44861</v>
      </c>
      <c r="I196" s="1999"/>
      <c r="J196" s="1920"/>
      <c r="K196" s="1957"/>
      <c r="L196" s="226"/>
      <c r="M196"/>
    </row>
    <row r="197" spans="1:13" s="168" customFormat="1" ht="15">
      <c r="A197" s="1985"/>
      <c r="B197" s="1920"/>
      <c r="C197" s="1920"/>
      <c r="D197" s="1990"/>
      <c r="E197" s="1924"/>
      <c r="F197" s="1928"/>
      <c r="G197" s="611">
        <f>7738.96-6621.39</f>
        <v>1117.5699999999997</v>
      </c>
      <c r="H197" s="678">
        <v>44861</v>
      </c>
      <c r="I197" s="1997">
        <v>10000</v>
      </c>
      <c r="J197" s="1918">
        <v>44902</v>
      </c>
      <c r="K197" s="1968" t="s">
        <v>3670</v>
      </c>
      <c r="L197" s="226"/>
      <c r="M197"/>
    </row>
    <row r="198" spans="1:13" s="168" customFormat="1" ht="15">
      <c r="A198" s="676">
        <v>44872</v>
      </c>
      <c r="B198" s="1124" t="s">
        <v>521</v>
      </c>
      <c r="C198" s="1124" t="s">
        <v>4394</v>
      </c>
      <c r="D198" s="677" t="s">
        <v>3428</v>
      </c>
      <c r="E198" s="984">
        <v>1895.46</v>
      </c>
      <c r="F198" s="649">
        <v>0</v>
      </c>
      <c r="G198" s="611">
        <v>1895.46</v>
      </c>
      <c r="H198" s="678">
        <v>44873</v>
      </c>
      <c r="I198" s="1998"/>
      <c r="J198" s="1919"/>
      <c r="K198" s="1962"/>
      <c r="L198" s="226"/>
      <c r="M198"/>
    </row>
    <row r="199" spans="1:13" s="168" customFormat="1" ht="15">
      <c r="A199" s="676">
        <v>44876</v>
      </c>
      <c r="B199" s="1124" t="s">
        <v>521</v>
      </c>
      <c r="C199" s="1124" t="s">
        <v>4394</v>
      </c>
      <c r="D199" s="677" t="s">
        <v>3429</v>
      </c>
      <c r="E199" s="984">
        <v>2276.86</v>
      </c>
      <c r="F199" s="649">
        <v>0</v>
      </c>
      <c r="G199" s="611">
        <v>2276.86</v>
      </c>
      <c r="H199" s="678">
        <v>44877</v>
      </c>
      <c r="I199" s="1998"/>
      <c r="J199" s="1919"/>
      <c r="K199" s="1962"/>
      <c r="L199" s="226"/>
      <c r="M199"/>
    </row>
    <row r="200" spans="1:13" s="168" customFormat="1" ht="15">
      <c r="A200" s="1983">
        <v>44881</v>
      </c>
      <c r="B200" s="1918" t="s">
        <v>521</v>
      </c>
      <c r="C200" s="1918" t="s">
        <v>4394</v>
      </c>
      <c r="D200" s="1988" t="s">
        <v>3475</v>
      </c>
      <c r="E200" s="1923">
        <v>6800.29</v>
      </c>
      <c r="F200" s="1927">
        <v>0</v>
      </c>
      <c r="G200" s="611">
        <v>4710.1099999999997</v>
      </c>
      <c r="H200" s="1085">
        <v>44882</v>
      </c>
      <c r="I200" s="1999"/>
      <c r="J200" s="1920"/>
      <c r="K200" s="1957"/>
      <c r="L200" s="226"/>
      <c r="M200"/>
    </row>
    <row r="201" spans="1:13" s="168" customFormat="1" ht="15">
      <c r="A201" s="1985"/>
      <c r="B201" s="1920"/>
      <c r="C201" s="1920"/>
      <c r="D201" s="1990"/>
      <c r="E201" s="1924"/>
      <c r="F201" s="1928"/>
      <c r="G201" s="611">
        <f>6800.29-4710.11</f>
        <v>2090.1800000000003</v>
      </c>
      <c r="H201" s="1085">
        <v>44882</v>
      </c>
      <c r="I201" s="1997">
        <v>5000</v>
      </c>
      <c r="J201" s="1918">
        <v>44949</v>
      </c>
      <c r="K201" s="1968" t="s">
        <v>3998</v>
      </c>
      <c r="L201" s="226"/>
      <c r="M201"/>
    </row>
    <row r="202" spans="1:13" s="168" customFormat="1" ht="15">
      <c r="A202" s="676">
        <v>44910</v>
      </c>
      <c r="B202" s="1124" t="s">
        <v>521</v>
      </c>
      <c r="C202" s="1124" t="s">
        <v>4394</v>
      </c>
      <c r="D202" s="677" t="s">
        <v>3681</v>
      </c>
      <c r="E202" s="1081">
        <v>-62.82</v>
      </c>
      <c r="F202" s="649">
        <v>0</v>
      </c>
      <c r="G202" s="611">
        <v>-62.82</v>
      </c>
      <c r="H202" s="1085"/>
      <c r="I202" s="1998"/>
      <c r="J202" s="1919"/>
      <c r="K202" s="1962"/>
      <c r="L202" s="226"/>
      <c r="M202"/>
    </row>
    <row r="203" spans="1:13" s="168" customFormat="1" ht="15">
      <c r="A203" s="676">
        <v>44910</v>
      </c>
      <c r="B203" s="1124" t="s">
        <v>521</v>
      </c>
      <c r="C203" s="1124" t="s">
        <v>4394</v>
      </c>
      <c r="D203" s="677" t="s">
        <v>3682</v>
      </c>
      <c r="E203" s="1081">
        <v>-89.21</v>
      </c>
      <c r="F203" s="649">
        <v>0</v>
      </c>
      <c r="G203" s="611">
        <v>-89.22</v>
      </c>
      <c r="H203" s="1085"/>
      <c r="I203" s="1998"/>
      <c r="J203" s="1919"/>
      <c r="K203" s="1962"/>
      <c r="L203" s="226"/>
      <c r="M203"/>
    </row>
    <row r="204" spans="1:13" s="168" customFormat="1" ht="15">
      <c r="A204" s="676">
        <v>44914</v>
      </c>
      <c r="B204" s="1124" t="s">
        <v>521</v>
      </c>
      <c r="C204" s="1124" t="s">
        <v>4394</v>
      </c>
      <c r="D204" s="677" t="s">
        <v>3741</v>
      </c>
      <c r="E204" s="1081">
        <v>-89.21</v>
      </c>
      <c r="F204" s="649">
        <v>0</v>
      </c>
      <c r="G204" s="611">
        <v>-89.22</v>
      </c>
      <c r="H204" s="1085"/>
      <c r="I204" s="1998"/>
      <c r="J204" s="1919"/>
      <c r="K204" s="1962"/>
      <c r="L204" s="226"/>
      <c r="M204"/>
    </row>
    <row r="205" spans="1:13" s="168" customFormat="1" ht="15">
      <c r="A205" s="676">
        <v>44924</v>
      </c>
      <c r="B205" s="1124" t="s">
        <v>521</v>
      </c>
      <c r="C205" s="1124" t="s">
        <v>4394</v>
      </c>
      <c r="D205" s="677" t="s">
        <v>3813</v>
      </c>
      <c r="E205" s="1081">
        <v>-99.82</v>
      </c>
      <c r="F205" s="649">
        <v>0</v>
      </c>
      <c r="G205" s="611">
        <v>-99.82</v>
      </c>
      <c r="H205" s="1085"/>
      <c r="I205" s="1998"/>
      <c r="J205" s="1919"/>
      <c r="K205" s="1962"/>
      <c r="L205" s="226"/>
      <c r="M205"/>
    </row>
    <row r="206" spans="1:13" s="168" customFormat="1" ht="15">
      <c r="A206" s="676">
        <v>44925</v>
      </c>
      <c r="B206" s="1124" t="s">
        <v>521</v>
      </c>
      <c r="C206" s="1124" t="s">
        <v>4394</v>
      </c>
      <c r="D206" s="677" t="s">
        <v>3814</v>
      </c>
      <c r="E206" s="1081">
        <v>-33.04</v>
      </c>
      <c r="F206" s="649">
        <v>0</v>
      </c>
      <c r="G206" s="611">
        <v>-33.04</v>
      </c>
      <c r="H206" s="1085"/>
      <c r="I206" s="1998"/>
      <c r="J206" s="1919"/>
      <c r="K206" s="1962"/>
      <c r="L206" s="226"/>
      <c r="M206"/>
    </row>
    <row r="207" spans="1:13" s="388" customFormat="1" ht="15">
      <c r="A207" s="676">
        <v>44928</v>
      </c>
      <c r="B207" s="1124" t="s">
        <v>2644</v>
      </c>
      <c r="C207" s="1124" t="s">
        <v>4394</v>
      </c>
      <c r="D207" s="677" t="s">
        <v>3853</v>
      </c>
      <c r="E207" s="1081">
        <v>-8.68</v>
      </c>
      <c r="F207" s="649">
        <v>0</v>
      </c>
      <c r="G207" s="611">
        <v>-8.68</v>
      </c>
      <c r="H207" s="1085"/>
      <c r="I207" s="1998"/>
      <c r="J207" s="1919"/>
      <c r="K207" s="1962"/>
      <c r="L207" s="166"/>
    </row>
    <row r="208" spans="1:13" s="168" customFormat="1" ht="15">
      <c r="A208" s="676">
        <v>44928</v>
      </c>
      <c r="B208" s="1124" t="s">
        <v>521</v>
      </c>
      <c r="C208" s="1124" t="s">
        <v>4394</v>
      </c>
      <c r="D208" s="677" t="s">
        <v>3854</v>
      </c>
      <c r="E208" s="1081">
        <v>-243.11</v>
      </c>
      <c r="F208" s="649">
        <v>0</v>
      </c>
      <c r="G208" s="611">
        <v>-243.11</v>
      </c>
      <c r="H208" s="1085"/>
      <c r="I208" s="1998"/>
      <c r="J208" s="1919"/>
      <c r="K208" s="1962"/>
      <c r="L208" s="226"/>
      <c r="M208"/>
    </row>
    <row r="209" spans="1:13" s="168" customFormat="1" ht="15">
      <c r="A209" s="676">
        <v>44929</v>
      </c>
      <c r="B209" s="1124" t="s">
        <v>521</v>
      </c>
      <c r="C209" s="1124" t="s">
        <v>4394</v>
      </c>
      <c r="D209" s="677" t="s">
        <v>3855</v>
      </c>
      <c r="E209" s="1081">
        <v>-618.83000000000004</v>
      </c>
      <c r="F209" s="649">
        <v>0</v>
      </c>
      <c r="G209" s="611">
        <v>-618.83000000000004</v>
      </c>
      <c r="H209" s="1085"/>
      <c r="I209" s="1998"/>
      <c r="J209" s="1919"/>
      <c r="K209" s="1962"/>
      <c r="L209" s="226"/>
      <c r="M209"/>
    </row>
    <row r="210" spans="1:13" s="168" customFormat="1" ht="15">
      <c r="A210" s="1983">
        <v>44890</v>
      </c>
      <c r="B210" s="1918" t="s">
        <v>521</v>
      </c>
      <c r="C210" s="1918" t="s">
        <v>4394</v>
      </c>
      <c r="D210" s="1988" t="s">
        <v>3518</v>
      </c>
      <c r="E210" s="1923">
        <v>4615.3100000000004</v>
      </c>
      <c r="F210" s="1927">
        <v>0</v>
      </c>
      <c r="G210" s="611">
        <v>4154.5600000000004</v>
      </c>
      <c r="H210" s="1085">
        <v>44891</v>
      </c>
      <c r="I210" s="1999"/>
      <c r="J210" s="1920"/>
      <c r="K210" s="1957"/>
      <c r="L210" s="226"/>
      <c r="M210"/>
    </row>
    <row r="211" spans="1:13" s="168" customFormat="1" ht="15">
      <c r="A211" s="1985"/>
      <c r="B211" s="1920"/>
      <c r="C211" s="1920"/>
      <c r="D211" s="1990"/>
      <c r="E211" s="1924"/>
      <c r="F211" s="1928"/>
      <c r="G211" s="611">
        <f>4615.31-4154.56</f>
        <v>460.75</v>
      </c>
      <c r="H211" s="1122">
        <v>44891</v>
      </c>
      <c r="I211" s="1994">
        <v>19960</v>
      </c>
      <c r="J211" s="1918">
        <v>44964</v>
      </c>
      <c r="K211" s="1968" t="s">
        <v>4072</v>
      </c>
      <c r="L211" s="226"/>
      <c r="M211"/>
    </row>
    <row r="212" spans="1:13" s="168" customFormat="1" ht="15">
      <c r="A212" s="676">
        <v>44894</v>
      </c>
      <c r="B212" s="1124" t="s">
        <v>521</v>
      </c>
      <c r="C212" s="1124" t="s">
        <v>4394</v>
      </c>
      <c r="D212" s="677" t="s">
        <v>3591</v>
      </c>
      <c r="E212" s="1119">
        <v>1863.54</v>
      </c>
      <c r="F212" s="649">
        <v>0</v>
      </c>
      <c r="G212" s="611">
        <v>1863.54</v>
      </c>
      <c r="H212" s="1122">
        <v>44895</v>
      </c>
      <c r="I212" s="1995"/>
      <c r="J212" s="1919"/>
      <c r="K212" s="1962"/>
      <c r="L212" s="226"/>
      <c r="M212"/>
    </row>
    <row r="213" spans="1:13" s="168" customFormat="1" ht="15">
      <c r="A213" s="676">
        <v>44902.000497685185</v>
      </c>
      <c r="B213" s="1124" t="s">
        <v>521</v>
      </c>
      <c r="C213" s="1124" t="s">
        <v>4394</v>
      </c>
      <c r="D213" s="677" t="s">
        <v>3655</v>
      </c>
      <c r="E213" s="1119">
        <v>3597.16</v>
      </c>
      <c r="F213" s="649">
        <v>0</v>
      </c>
      <c r="G213" s="611">
        <v>3597.16</v>
      </c>
      <c r="H213" s="1122">
        <v>44903</v>
      </c>
      <c r="I213" s="1995"/>
      <c r="J213" s="1919"/>
      <c r="K213" s="1962"/>
      <c r="L213" s="226"/>
      <c r="M213"/>
    </row>
    <row r="214" spans="1:13" s="168" customFormat="1" ht="15">
      <c r="A214" s="676">
        <v>44908</v>
      </c>
      <c r="B214" s="1124" t="s">
        <v>521</v>
      </c>
      <c r="C214" s="1124" t="s">
        <v>4394</v>
      </c>
      <c r="D214" s="677" t="s">
        <v>3680</v>
      </c>
      <c r="E214" s="1119">
        <v>2185.61</v>
      </c>
      <c r="F214" s="649">
        <v>0</v>
      </c>
      <c r="G214" s="611">
        <v>2185.61</v>
      </c>
      <c r="H214" s="1122">
        <v>44909</v>
      </c>
      <c r="I214" s="1995"/>
      <c r="J214" s="1919"/>
      <c r="K214" s="1962"/>
      <c r="L214" s="226"/>
      <c r="M214"/>
    </row>
    <row r="215" spans="1:13" s="168" customFormat="1" ht="15">
      <c r="A215" s="676">
        <v>44915</v>
      </c>
      <c r="B215" s="1124" t="s">
        <v>521</v>
      </c>
      <c r="C215" s="1124" t="s">
        <v>4394</v>
      </c>
      <c r="D215" s="677" t="s">
        <v>3742</v>
      </c>
      <c r="E215" s="1119">
        <v>6286.98</v>
      </c>
      <c r="F215" s="649">
        <v>0</v>
      </c>
      <c r="G215" s="611">
        <v>6286.98</v>
      </c>
      <c r="H215" s="1122">
        <v>44916</v>
      </c>
      <c r="I215" s="1995"/>
      <c r="J215" s="1919"/>
      <c r="K215" s="1962"/>
      <c r="L215" s="226"/>
      <c r="M215"/>
    </row>
    <row r="216" spans="1:13" s="168" customFormat="1" ht="15">
      <c r="A216" s="1983">
        <v>44923</v>
      </c>
      <c r="B216" s="1903" t="s">
        <v>521</v>
      </c>
      <c r="C216" s="1903" t="s">
        <v>4394</v>
      </c>
      <c r="D216" s="1988" t="s">
        <v>3812</v>
      </c>
      <c r="E216" s="1923">
        <v>7279.44</v>
      </c>
      <c r="F216" s="1927">
        <v>0</v>
      </c>
      <c r="G216" s="611">
        <v>5565.96</v>
      </c>
      <c r="H216" s="1122">
        <v>44924</v>
      </c>
      <c r="I216" s="1996"/>
      <c r="J216" s="1920"/>
      <c r="K216" s="1957"/>
      <c r="L216" s="226"/>
      <c r="M216"/>
    </row>
    <row r="217" spans="1:13" s="168" customFormat="1" ht="42.75">
      <c r="A217" s="1985"/>
      <c r="B217" s="1905"/>
      <c r="C217" s="1905"/>
      <c r="D217" s="1990"/>
      <c r="E217" s="1924"/>
      <c r="F217" s="1928"/>
      <c r="G217" s="611">
        <f>7279.44-5565.96</f>
        <v>1713.4799999999996</v>
      </c>
      <c r="H217" s="1243">
        <v>44924</v>
      </c>
      <c r="I217" s="1246">
        <v>1713.4799999999996</v>
      </c>
      <c r="J217" s="1112">
        <v>44998</v>
      </c>
      <c r="K217" s="1236" t="s">
        <v>4522</v>
      </c>
      <c r="L217" s="226"/>
      <c r="M217"/>
    </row>
    <row r="218" spans="1:13" s="168" customFormat="1" ht="28.5">
      <c r="A218" s="676">
        <v>44910</v>
      </c>
      <c r="B218" s="1235" t="s">
        <v>521</v>
      </c>
      <c r="C218" s="1235" t="s">
        <v>4394</v>
      </c>
      <c r="D218" s="677" t="s">
        <v>3683</v>
      </c>
      <c r="E218" s="1239">
        <v>7870.8</v>
      </c>
      <c r="F218" s="649">
        <v>0</v>
      </c>
      <c r="G218" s="611">
        <v>7870.8</v>
      </c>
      <c r="H218" s="1243">
        <v>44911</v>
      </c>
      <c r="I218" s="1012">
        <v>7870.8</v>
      </c>
      <c r="J218" s="1003">
        <v>44918</v>
      </c>
      <c r="K218" s="1002" t="s">
        <v>3806</v>
      </c>
      <c r="L218" s="366" t="s">
        <v>3684</v>
      </c>
      <c r="M218"/>
    </row>
    <row r="219" spans="1:13" s="168" customFormat="1" ht="15">
      <c r="A219" s="676">
        <v>44936</v>
      </c>
      <c r="B219" s="1456" t="s">
        <v>2644</v>
      </c>
      <c r="C219" s="1456" t="s">
        <v>4394</v>
      </c>
      <c r="D219" s="677" t="s">
        <v>3878</v>
      </c>
      <c r="E219" s="1464">
        <v>3070.2</v>
      </c>
      <c r="F219" s="649">
        <v>0</v>
      </c>
      <c r="G219" s="611">
        <v>3070.2</v>
      </c>
      <c r="H219" s="1469">
        <v>44996</v>
      </c>
      <c r="I219" s="1991">
        <v>8286.52</v>
      </c>
      <c r="J219" s="1903">
        <v>44998</v>
      </c>
      <c r="K219" s="1938" t="s">
        <v>4521</v>
      </c>
      <c r="L219" s="226"/>
      <c r="M219"/>
    </row>
    <row r="220" spans="1:13" s="168" customFormat="1" ht="15">
      <c r="A220" s="676">
        <v>44939</v>
      </c>
      <c r="B220" s="1456" t="s">
        <v>521</v>
      </c>
      <c r="C220" s="1456" t="s">
        <v>4394</v>
      </c>
      <c r="D220" s="677" t="s">
        <v>3880</v>
      </c>
      <c r="E220" s="1464">
        <v>3538.95</v>
      </c>
      <c r="F220" s="649">
        <v>0</v>
      </c>
      <c r="G220" s="611">
        <v>3538.95</v>
      </c>
      <c r="H220" s="1469">
        <v>44940</v>
      </c>
      <c r="I220" s="1992"/>
      <c r="J220" s="1904"/>
      <c r="K220" s="2030"/>
      <c r="L220" s="226"/>
      <c r="M220"/>
    </row>
    <row r="221" spans="1:13" s="168" customFormat="1" ht="15">
      <c r="A221" s="1983">
        <v>44938</v>
      </c>
      <c r="B221" s="1903" t="s">
        <v>2644</v>
      </c>
      <c r="C221" s="1903" t="s">
        <v>4394</v>
      </c>
      <c r="D221" s="1988" t="s">
        <v>3879</v>
      </c>
      <c r="E221" s="1923">
        <v>7067.34</v>
      </c>
      <c r="F221" s="1927">
        <v>0</v>
      </c>
      <c r="G221" s="611">
        <v>1677.37</v>
      </c>
      <c r="H221" s="1469">
        <v>44998</v>
      </c>
      <c r="I221" s="1993"/>
      <c r="J221" s="1905"/>
      <c r="K221" s="2031"/>
      <c r="L221" s="226"/>
      <c r="M221"/>
    </row>
    <row r="222" spans="1:13" s="168" customFormat="1" ht="15">
      <c r="A222" s="1985"/>
      <c r="B222" s="1905"/>
      <c r="C222" s="1905"/>
      <c r="D222" s="1990"/>
      <c r="E222" s="1924"/>
      <c r="F222" s="1928"/>
      <c r="G222" s="611">
        <f>7067.34-1677.37</f>
        <v>5389.97</v>
      </c>
      <c r="H222" s="1469">
        <v>44998</v>
      </c>
      <c r="I222" s="1991">
        <v>10000</v>
      </c>
      <c r="J222" s="1903">
        <v>45054</v>
      </c>
      <c r="K222" s="1938" t="s">
        <v>4997</v>
      </c>
      <c r="L222" s="226"/>
      <c r="M222"/>
    </row>
    <row r="223" spans="1:13" s="168" customFormat="1" ht="15">
      <c r="A223" s="676">
        <v>44945</v>
      </c>
      <c r="B223" s="1456" t="s">
        <v>2644</v>
      </c>
      <c r="C223" s="1456" t="s">
        <v>4394</v>
      </c>
      <c r="D223" s="677" t="s">
        <v>3940</v>
      </c>
      <c r="E223" s="1464">
        <v>4746.04</v>
      </c>
      <c r="F223" s="649">
        <v>0</v>
      </c>
      <c r="G223" s="611">
        <v>4746.04</v>
      </c>
      <c r="H223" s="1469">
        <v>45005</v>
      </c>
      <c r="I223" s="1992"/>
      <c r="J223" s="1904"/>
      <c r="K223" s="1950"/>
      <c r="L223" s="226"/>
      <c r="M223"/>
    </row>
    <row r="224" spans="1:13" s="168" customFormat="1" ht="15">
      <c r="A224" s="676">
        <v>44946</v>
      </c>
      <c r="B224" s="1456" t="s">
        <v>2644</v>
      </c>
      <c r="C224" s="1456" t="s">
        <v>4394</v>
      </c>
      <c r="D224" s="677" t="s">
        <v>3941</v>
      </c>
      <c r="E224" s="1464">
        <v>89.22</v>
      </c>
      <c r="F224" s="649">
        <v>0</v>
      </c>
      <c r="G224" s="611">
        <v>89.22</v>
      </c>
      <c r="H224" s="1469">
        <v>44947</v>
      </c>
      <c r="I224" s="1992"/>
      <c r="J224" s="1904"/>
      <c r="K224" s="1950"/>
      <c r="L224" s="226" t="s">
        <v>3945</v>
      </c>
      <c r="M224"/>
    </row>
    <row r="225" spans="1:13" s="168" customFormat="1" ht="15">
      <c r="A225" s="676">
        <v>44946</v>
      </c>
      <c r="B225" s="1456" t="s">
        <v>2644</v>
      </c>
      <c r="C225" s="1456" t="s">
        <v>4394</v>
      </c>
      <c r="D225" s="677" t="s">
        <v>3942</v>
      </c>
      <c r="E225" s="1464">
        <v>-0.46</v>
      </c>
      <c r="F225" s="649">
        <v>0</v>
      </c>
      <c r="G225" s="611">
        <v>-0.46</v>
      </c>
      <c r="H225" s="1469"/>
      <c r="I225" s="1992"/>
      <c r="J225" s="1904"/>
      <c r="K225" s="1950"/>
      <c r="L225" s="226"/>
      <c r="M225"/>
    </row>
    <row r="226" spans="1:13" s="168" customFormat="1" ht="15">
      <c r="A226" s="676">
        <v>44946</v>
      </c>
      <c r="B226" s="1456" t="s">
        <v>2644</v>
      </c>
      <c r="C226" s="1456" t="s">
        <v>4394</v>
      </c>
      <c r="D226" s="677" t="s">
        <v>3943</v>
      </c>
      <c r="E226" s="1464">
        <v>-1609.71</v>
      </c>
      <c r="F226" s="649">
        <v>0</v>
      </c>
      <c r="G226" s="611">
        <v>-1609.71</v>
      </c>
      <c r="H226" s="1469">
        <v>44947</v>
      </c>
      <c r="I226" s="1992"/>
      <c r="J226" s="1904"/>
      <c r="K226" s="1950"/>
      <c r="L226" s="226" t="s">
        <v>3946</v>
      </c>
      <c r="M226"/>
    </row>
    <row r="227" spans="1:13" s="168" customFormat="1" ht="15">
      <c r="A227" s="676">
        <v>44946</v>
      </c>
      <c r="B227" s="1456" t="s">
        <v>2644</v>
      </c>
      <c r="C227" s="1456" t="s">
        <v>4394</v>
      </c>
      <c r="D227" s="677" t="s">
        <v>3944</v>
      </c>
      <c r="E227" s="1464">
        <v>-157.22</v>
      </c>
      <c r="F227" s="649">
        <v>0</v>
      </c>
      <c r="G227" s="611">
        <v>-157.22</v>
      </c>
      <c r="H227" s="1469"/>
      <c r="I227" s="1992"/>
      <c r="J227" s="1904"/>
      <c r="K227" s="1950"/>
      <c r="L227" s="226"/>
      <c r="M227"/>
    </row>
    <row r="228" spans="1:13" s="168" customFormat="1" ht="15">
      <c r="A228" s="676">
        <v>44959.000497685185</v>
      </c>
      <c r="B228" s="1456" t="s">
        <v>2644</v>
      </c>
      <c r="C228" s="1456" t="s">
        <v>4394</v>
      </c>
      <c r="D228" s="677" t="s">
        <v>4022</v>
      </c>
      <c r="E228" s="1464">
        <v>2692.31</v>
      </c>
      <c r="F228" s="649">
        <v>0</v>
      </c>
      <c r="G228" s="611">
        <v>2692.31</v>
      </c>
      <c r="H228" s="1469">
        <v>45019</v>
      </c>
      <c r="I228" s="1992"/>
      <c r="J228" s="1904"/>
      <c r="K228" s="1950"/>
      <c r="L228" s="226"/>
      <c r="M228"/>
    </row>
    <row r="229" spans="1:13" s="168" customFormat="1" ht="15">
      <c r="A229" s="676">
        <v>44963.000497685185</v>
      </c>
      <c r="B229" s="1456" t="s">
        <v>2644</v>
      </c>
      <c r="C229" s="1456" t="s">
        <v>4394</v>
      </c>
      <c r="D229" s="677" t="s">
        <v>4073</v>
      </c>
      <c r="E229" s="1464">
        <v>-7</v>
      </c>
      <c r="F229" s="649">
        <v>0</v>
      </c>
      <c r="G229" s="611">
        <v>-7</v>
      </c>
      <c r="H229" s="1469"/>
      <c r="I229" s="1992"/>
      <c r="J229" s="1904"/>
      <c r="K229" s="1950"/>
      <c r="L229" s="226"/>
      <c r="M229"/>
    </row>
    <row r="230" spans="1:13" s="168" customFormat="1" ht="15">
      <c r="A230" s="676">
        <v>44963.000497685185</v>
      </c>
      <c r="B230" s="1456" t="s">
        <v>2644</v>
      </c>
      <c r="C230" s="1456" t="s">
        <v>4394</v>
      </c>
      <c r="D230" s="677" t="s">
        <v>4074</v>
      </c>
      <c r="E230" s="1464">
        <v>-356.44</v>
      </c>
      <c r="F230" s="649">
        <v>0</v>
      </c>
      <c r="G230" s="611">
        <v>-356.44</v>
      </c>
      <c r="H230" s="1469"/>
      <c r="I230" s="1992"/>
      <c r="J230" s="1904"/>
      <c r="K230" s="1950"/>
      <c r="L230" s="226"/>
      <c r="M230"/>
    </row>
    <row r="231" spans="1:13" s="168" customFormat="1" ht="15">
      <c r="A231" s="676">
        <v>44965.000497685185</v>
      </c>
      <c r="B231" s="1456" t="s">
        <v>2644</v>
      </c>
      <c r="C231" s="1456" t="s">
        <v>4394</v>
      </c>
      <c r="D231" s="677" t="s">
        <v>4052</v>
      </c>
      <c r="E231" s="1464">
        <v>-903</v>
      </c>
      <c r="F231" s="649">
        <v>0</v>
      </c>
      <c r="G231" s="611">
        <v>-903</v>
      </c>
      <c r="H231" s="1469"/>
      <c r="I231" s="1992"/>
      <c r="J231" s="1904"/>
      <c r="K231" s="1950"/>
      <c r="L231" s="226"/>
      <c r="M231"/>
    </row>
    <row r="232" spans="1:13" s="168" customFormat="1" ht="15">
      <c r="A232" s="676">
        <v>44970</v>
      </c>
      <c r="B232" s="1456" t="s">
        <v>2644</v>
      </c>
      <c r="C232" s="1456" t="s">
        <v>4394</v>
      </c>
      <c r="D232" s="677" t="s">
        <v>4151</v>
      </c>
      <c r="E232" s="1464">
        <v>-2000</v>
      </c>
      <c r="F232" s="649">
        <v>0</v>
      </c>
      <c r="G232" s="611">
        <v>-2000</v>
      </c>
      <c r="H232" s="1469">
        <v>44971</v>
      </c>
      <c r="I232" s="1992"/>
      <c r="J232" s="1904"/>
      <c r="K232" s="1950"/>
      <c r="L232" s="226" t="s">
        <v>4157</v>
      </c>
      <c r="M232"/>
    </row>
    <row r="233" spans="1:13" s="168" customFormat="1" ht="15">
      <c r="A233" s="676">
        <v>44971</v>
      </c>
      <c r="B233" s="1456" t="s">
        <v>2644</v>
      </c>
      <c r="C233" s="1456" t="s">
        <v>4394</v>
      </c>
      <c r="D233" s="677" t="s">
        <v>4152</v>
      </c>
      <c r="E233" s="1464">
        <v>289.8</v>
      </c>
      <c r="F233" s="649">
        <v>0</v>
      </c>
      <c r="G233" s="611">
        <v>289.8</v>
      </c>
      <c r="H233" s="1469">
        <v>45031</v>
      </c>
      <c r="I233" s="1992"/>
      <c r="J233" s="1904"/>
      <c r="K233" s="1950"/>
      <c r="L233" s="226"/>
      <c r="M233"/>
    </row>
    <row r="234" spans="1:13" s="168" customFormat="1" ht="15">
      <c r="A234" s="676">
        <v>44972</v>
      </c>
      <c r="B234" s="1456" t="s">
        <v>2644</v>
      </c>
      <c r="C234" s="1456" t="s">
        <v>4394</v>
      </c>
      <c r="D234" s="677" t="s">
        <v>4153</v>
      </c>
      <c r="E234" s="1464">
        <v>721.77</v>
      </c>
      <c r="F234" s="649">
        <v>0</v>
      </c>
      <c r="G234" s="611">
        <v>721.77</v>
      </c>
      <c r="H234" s="1469">
        <v>45017</v>
      </c>
      <c r="I234" s="1992"/>
      <c r="J234" s="1904"/>
      <c r="K234" s="1950"/>
      <c r="L234" s="226"/>
      <c r="M234"/>
    </row>
    <row r="235" spans="1:13" s="168" customFormat="1" ht="15">
      <c r="A235" s="676">
        <v>44974</v>
      </c>
      <c r="B235" s="676" t="s">
        <v>2644</v>
      </c>
      <c r="C235" s="676" t="s">
        <v>4394</v>
      </c>
      <c r="D235" s="677" t="s">
        <v>4154</v>
      </c>
      <c r="E235" s="1464">
        <v>-2.0699999999999998</v>
      </c>
      <c r="F235" s="649">
        <v>0</v>
      </c>
      <c r="G235" s="611">
        <v>-2.0699999999999998</v>
      </c>
      <c r="H235" s="1469"/>
      <c r="I235" s="1992"/>
      <c r="J235" s="1904"/>
      <c r="K235" s="1950"/>
      <c r="L235" s="226"/>
      <c r="M235"/>
    </row>
    <row r="236" spans="1:13" s="168" customFormat="1" ht="15">
      <c r="A236" s="676">
        <v>44974</v>
      </c>
      <c r="B236" s="676" t="s">
        <v>2644</v>
      </c>
      <c r="C236" s="676" t="s">
        <v>4394</v>
      </c>
      <c r="D236" s="677" t="s">
        <v>4155</v>
      </c>
      <c r="E236" s="1464">
        <v>-229.15</v>
      </c>
      <c r="F236" s="649">
        <v>0</v>
      </c>
      <c r="G236" s="611">
        <v>-229.15</v>
      </c>
      <c r="H236" s="1469"/>
      <c r="I236" s="1992"/>
      <c r="J236" s="1904"/>
      <c r="K236" s="1950"/>
      <c r="L236" s="226"/>
      <c r="M236"/>
    </row>
    <row r="237" spans="1:13" s="168" customFormat="1" ht="15">
      <c r="A237" s="676">
        <v>44974</v>
      </c>
      <c r="B237" s="676" t="s">
        <v>2644</v>
      </c>
      <c r="C237" s="676" t="s">
        <v>4394</v>
      </c>
      <c r="D237" s="677" t="s">
        <v>4156</v>
      </c>
      <c r="E237" s="1464">
        <v>1312.4</v>
      </c>
      <c r="F237" s="649">
        <v>0</v>
      </c>
      <c r="G237" s="611">
        <v>1312.4</v>
      </c>
      <c r="H237" s="1469">
        <v>45019</v>
      </c>
      <c r="I237" s="1992"/>
      <c r="J237" s="1904"/>
      <c r="K237" s="1950"/>
      <c r="L237" s="226"/>
      <c r="M237"/>
    </row>
    <row r="238" spans="1:13" s="168" customFormat="1" ht="15">
      <c r="A238" s="1983">
        <v>44979</v>
      </c>
      <c r="B238" s="1983" t="s">
        <v>2644</v>
      </c>
      <c r="C238" s="1983" t="s">
        <v>4394</v>
      </c>
      <c r="D238" s="1988" t="s">
        <v>4202</v>
      </c>
      <c r="E238" s="1923">
        <v>5734.12</v>
      </c>
      <c r="F238" s="1927">
        <v>0</v>
      </c>
      <c r="G238" s="611">
        <v>23.54</v>
      </c>
      <c r="H238" s="1469">
        <v>45039</v>
      </c>
      <c r="I238" s="1993"/>
      <c r="J238" s="1905"/>
      <c r="K238" s="1947"/>
      <c r="L238" s="226"/>
      <c r="M238"/>
    </row>
    <row r="239" spans="1:13" s="168" customFormat="1" ht="15">
      <c r="A239" s="1985"/>
      <c r="B239" s="1985"/>
      <c r="C239" s="1985"/>
      <c r="D239" s="1990"/>
      <c r="E239" s="1924"/>
      <c r="F239" s="1928"/>
      <c r="G239" s="611">
        <f>5734.12-23.54</f>
        <v>5710.58</v>
      </c>
      <c r="H239" s="1469">
        <v>45039</v>
      </c>
      <c r="I239" s="1991">
        <v>11677.86</v>
      </c>
      <c r="J239" s="1903">
        <v>45084</v>
      </c>
      <c r="K239" s="1935" t="s">
        <v>5345</v>
      </c>
      <c r="L239" s="226"/>
      <c r="M239"/>
    </row>
    <row r="240" spans="1:13" s="168" customFormat="1" ht="15">
      <c r="A240" s="676">
        <v>44985</v>
      </c>
      <c r="B240" s="676" t="s">
        <v>2644</v>
      </c>
      <c r="C240" s="676" t="s">
        <v>4394</v>
      </c>
      <c r="D240" s="677" t="s">
        <v>4339</v>
      </c>
      <c r="E240" s="1464">
        <v>5048.7</v>
      </c>
      <c r="F240" s="649">
        <v>0</v>
      </c>
      <c r="G240" s="611">
        <v>5048.7</v>
      </c>
      <c r="H240" s="1469">
        <v>45045</v>
      </c>
      <c r="I240" s="1992"/>
      <c r="J240" s="1904"/>
      <c r="K240" s="1950"/>
      <c r="L240" s="226"/>
      <c r="M240"/>
    </row>
    <row r="241" spans="1:13" s="168" customFormat="1" ht="15">
      <c r="A241" s="676">
        <v>44985</v>
      </c>
      <c r="B241" s="676" t="s">
        <v>2644</v>
      </c>
      <c r="C241" s="676" t="s">
        <v>4394</v>
      </c>
      <c r="D241" s="677" t="s">
        <v>4340</v>
      </c>
      <c r="E241" s="1464">
        <v>1194.48</v>
      </c>
      <c r="F241" s="649">
        <v>0</v>
      </c>
      <c r="G241" s="611">
        <v>1194.48</v>
      </c>
      <c r="H241" s="1469">
        <v>45045</v>
      </c>
      <c r="I241" s="1992"/>
      <c r="J241" s="1904"/>
      <c r="K241" s="1950"/>
      <c r="L241" s="226"/>
      <c r="M241"/>
    </row>
    <row r="242" spans="1:13" s="168" customFormat="1" ht="15">
      <c r="A242" s="676">
        <v>44987</v>
      </c>
      <c r="B242" s="676" t="s">
        <v>2644</v>
      </c>
      <c r="C242" s="676" t="s">
        <v>4394</v>
      </c>
      <c r="D242" s="677" t="s">
        <v>4341</v>
      </c>
      <c r="E242" s="1464">
        <v>-156.12</v>
      </c>
      <c r="F242" s="649">
        <v>0</v>
      </c>
      <c r="G242" s="611">
        <v>-156.12</v>
      </c>
      <c r="H242" s="1469"/>
      <c r="I242" s="1992"/>
      <c r="J242" s="1904"/>
      <c r="K242" s="1950"/>
      <c r="L242" s="226"/>
      <c r="M242"/>
    </row>
    <row r="243" spans="1:13" s="168" customFormat="1" ht="15">
      <c r="A243" s="676">
        <v>44987</v>
      </c>
      <c r="B243" s="676" t="s">
        <v>2644</v>
      </c>
      <c r="C243" s="676" t="s">
        <v>4394</v>
      </c>
      <c r="D243" s="677" t="s">
        <v>4342</v>
      </c>
      <c r="E243" s="1464">
        <v>-38.64</v>
      </c>
      <c r="F243" s="649">
        <v>0</v>
      </c>
      <c r="G243" s="611">
        <v>-38.64</v>
      </c>
      <c r="H243" s="1469"/>
      <c r="I243" s="1992"/>
      <c r="J243" s="1904"/>
      <c r="K243" s="1950"/>
      <c r="L243" s="226"/>
      <c r="M243"/>
    </row>
    <row r="244" spans="1:13" s="168" customFormat="1" ht="15">
      <c r="A244" s="676">
        <v>44988</v>
      </c>
      <c r="B244" s="676" t="s">
        <v>2644</v>
      </c>
      <c r="C244" s="676" t="s">
        <v>4394</v>
      </c>
      <c r="D244" s="677" t="s">
        <v>4343</v>
      </c>
      <c r="E244" s="1464">
        <v>-756.11</v>
      </c>
      <c r="F244" s="649">
        <v>0</v>
      </c>
      <c r="G244" s="611">
        <v>-756.11</v>
      </c>
      <c r="H244" s="1469"/>
      <c r="I244" s="1992"/>
      <c r="J244" s="1904"/>
      <c r="K244" s="1950"/>
      <c r="L244" s="226"/>
      <c r="M244"/>
    </row>
    <row r="245" spans="1:13" s="168" customFormat="1" ht="15">
      <c r="A245" s="676">
        <v>44988</v>
      </c>
      <c r="B245" s="676" t="s">
        <v>2644</v>
      </c>
      <c r="C245" s="676" t="s">
        <v>4394</v>
      </c>
      <c r="D245" s="677" t="s">
        <v>4344</v>
      </c>
      <c r="E245" s="1464">
        <v>-2644.6</v>
      </c>
      <c r="F245" s="649">
        <v>0</v>
      </c>
      <c r="G245" s="611">
        <v>-2644.6</v>
      </c>
      <c r="H245" s="1469"/>
      <c r="I245" s="1992"/>
      <c r="J245" s="1904"/>
      <c r="K245" s="1950"/>
      <c r="L245" s="226"/>
      <c r="M245"/>
    </row>
    <row r="246" spans="1:13" s="168" customFormat="1" ht="15">
      <c r="A246" s="1466">
        <v>44998</v>
      </c>
      <c r="B246" s="1466" t="s">
        <v>2644</v>
      </c>
      <c r="C246" s="1466" t="s">
        <v>4394</v>
      </c>
      <c r="D246" s="608" t="s">
        <v>4486</v>
      </c>
      <c r="E246" s="1464">
        <v>-96.11</v>
      </c>
      <c r="F246" s="649">
        <v>0</v>
      </c>
      <c r="G246" s="718">
        <v>-96.11</v>
      </c>
      <c r="H246" s="1456"/>
      <c r="I246" s="1992"/>
      <c r="J246" s="1904"/>
      <c r="K246" s="1950"/>
      <c r="L246" s="226"/>
      <c r="M246"/>
    </row>
    <row r="247" spans="1:13" s="168" customFormat="1" ht="15">
      <c r="A247" s="1466">
        <v>45001</v>
      </c>
      <c r="B247" s="1466" t="s">
        <v>2644</v>
      </c>
      <c r="C247" s="1466" t="s">
        <v>5346</v>
      </c>
      <c r="D247" s="608" t="s">
        <v>4487</v>
      </c>
      <c r="E247" s="1464">
        <v>165.9</v>
      </c>
      <c r="F247" s="649">
        <v>0</v>
      </c>
      <c r="G247" s="718">
        <v>165.9</v>
      </c>
      <c r="H247" s="1456">
        <v>45061</v>
      </c>
      <c r="I247" s="1992"/>
      <c r="J247" s="1904"/>
      <c r="K247" s="1950"/>
      <c r="L247" s="226"/>
      <c r="M247"/>
    </row>
    <row r="248" spans="1:13" s="168" customFormat="1" ht="15">
      <c r="A248" s="676">
        <v>45006</v>
      </c>
      <c r="B248" s="676" t="s">
        <v>2644</v>
      </c>
      <c r="C248" s="676" t="s">
        <v>4394</v>
      </c>
      <c r="D248" s="677" t="s">
        <v>4533</v>
      </c>
      <c r="E248" s="1464">
        <v>5028.8</v>
      </c>
      <c r="F248" s="649">
        <v>0</v>
      </c>
      <c r="G248" s="611">
        <v>5028.8</v>
      </c>
      <c r="H248" s="1469">
        <v>45066</v>
      </c>
      <c r="I248" s="1992"/>
      <c r="J248" s="1904"/>
      <c r="K248" s="1950"/>
      <c r="L248" s="226"/>
      <c r="M248"/>
    </row>
    <row r="249" spans="1:13" s="168" customFormat="1" ht="15">
      <c r="A249" s="676">
        <v>45006</v>
      </c>
      <c r="B249" s="676" t="s">
        <v>2644</v>
      </c>
      <c r="C249" s="676" t="s">
        <v>4394</v>
      </c>
      <c r="D249" s="677" t="s">
        <v>4534</v>
      </c>
      <c r="E249" s="1464">
        <v>222.6</v>
      </c>
      <c r="F249" s="649">
        <v>0</v>
      </c>
      <c r="G249" s="611">
        <v>222.6</v>
      </c>
      <c r="H249" s="1469">
        <v>45066</v>
      </c>
      <c r="I249" s="1992"/>
      <c r="J249" s="1904"/>
      <c r="K249" s="1950"/>
      <c r="L249" s="226"/>
      <c r="M249"/>
    </row>
    <row r="250" spans="1:13" s="168" customFormat="1" ht="15">
      <c r="A250" s="676">
        <v>45012</v>
      </c>
      <c r="B250" s="676" t="s">
        <v>2644</v>
      </c>
      <c r="C250" s="676" t="s">
        <v>4394</v>
      </c>
      <c r="D250" s="677" t="s">
        <v>4621</v>
      </c>
      <c r="E250" s="1464">
        <v>-151.44999999999999</v>
      </c>
      <c r="F250" s="649">
        <v>0</v>
      </c>
      <c r="G250" s="611">
        <v>-151.44999999999999</v>
      </c>
      <c r="H250" s="1469"/>
      <c r="I250" s="1992"/>
      <c r="J250" s="1904"/>
      <c r="K250" s="1950"/>
      <c r="L250" s="226"/>
      <c r="M250"/>
    </row>
    <row r="251" spans="1:13" s="168" customFormat="1" ht="15">
      <c r="A251" s="676">
        <v>45016</v>
      </c>
      <c r="B251" s="676" t="s">
        <v>2644</v>
      </c>
      <c r="C251" s="676" t="s">
        <v>4394</v>
      </c>
      <c r="D251" s="677" t="s">
        <v>4622</v>
      </c>
      <c r="E251" s="1464">
        <v>277.2</v>
      </c>
      <c r="F251" s="649">
        <v>0</v>
      </c>
      <c r="G251" s="611">
        <v>277.2</v>
      </c>
      <c r="H251" s="1469">
        <v>45076</v>
      </c>
      <c r="I251" s="1992"/>
      <c r="J251" s="1904"/>
      <c r="K251" s="1950"/>
      <c r="L251" s="226"/>
      <c r="M251"/>
    </row>
    <row r="252" spans="1:13" s="168" customFormat="1" ht="15">
      <c r="A252" s="676">
        <v>45019</v>
      </c>
      <c r="B252" s="676" t="s">
        <v>2644</v>
      </c>
      <c r="C252" s="676" t="s">
        <v>4394</v>
      </c>
      <c r="D252" s="677" t="s">
        <v>4669</v>
      </c>
      <c r="E252" s="1464">
        <v>2321.83</v>
      </c>
      <c r="F252" s="649">
        <v>0</v>
      </c>
      <c r="G252" s="611">
        <v>2321.83</v>
      </c>
      <c r="H252" s="1469">
        <v>45049</v>
      </c>
      <c r="I252" s="1992"/>
      <c r="J252" s="1904"/>
      <c r="K252" s="1950"/>
      <c r="L252" s="226"/>
      <c r="M252"/>
    </row>
    <row r="253" spans="1:13" s="168" customFormat="1" ht="15">
      <c r="A253" s="676">
        <v>45020</v>
      </c>
      <c r="B253" s="676" t="s">
        <v>2644</v>
      </c>
      <c r="C253" s="676" t="s">
        <v>4394</v>
      </c>
      <c r="D253" s="677" t="s">
        <v>4670</v>
      </c>
      <c r="E253" s="1464">
        <v>48.3</v>
      </c>
      <c r="F253" s="649">
        <v>0</v>
      </c>
      <c r="G253" s="611">
        <v>48.3</v>
      </c>
      <c r="H253" s="1469">
        <v>45080</v>
      </c>
      <c r="I253" s="1992"/>
      <c r="J253" s="1904"/>
      <c r="K253" s="1950"/>
      <c r="L253" s="226"/>
      <c r="M253"/>
    </row>
    <row r="254" spans="1:13" s="168" customFormat="1" ht="15">
      <c r="A254" s="676">
        <v>45021</v>
      </c>
      <c r="B254" s="676" t="s">
        <v>2644</v>
      </c>
      <c r="C254" s="676" t="s">
        <v>4394</v>
      </c>
      <c r="D254" s="677" t="s">
        <v>4671</v>
      </c>
      <c r="E254" s="1464">
        <v>-291.33999999999997</v>
      </c>
      <c r="F254" s="649">
        <v>0</v>
      </c>
      <c r="G254" s="611">
        <v>-291.33999999999997</v>
      </c>
      <c r="H254" s="1469"/>
      <c r="I254" s="1992"/>
      <c r="J254" s="1904"/>
      <c r="K254" s="1950"/>
      <c r="L254" s="226"/>
      <c r="M254"/>
    </row>
    <row r="255" spans="1:13" s="168" customFormat="1" ht="15">
      <c r="A255" s="676">
        <v>45027.000497685185</v>
      </c>
      <c r="B255" s="676" t="s">
        <v>2644</v>
      </c>
      <c r="C255" s="676" t="s">
        <v>4394</v>
      </c>
      <c r="D255" s="677" t="s">
        <v>4700</v>
      </c>
      <c r="E255" s="1464">
        <v>-64.16</v>
      </c>
      <c r="F255" s="649">
        <v>0</v>
      </c>
      <c r="G255" s="611">
        <v>-64.16</v>
      </c>
      <c r="H255" s="1469"/>
      <c r="I255" s="1992"/>
      <c r="J255" s="1904"/>
      <c r="K255" s="1950"/>
      <c r="L255" s="226"/>
      <c r="M255"/>
    </row>
    <row r="256" spans="1:13" s="168" customFormat="1" ht="15">
      <c r="A256" s="676">
        <v>45028.000497685185</v>
      </c>
      <c r="B256" s="676" t="s">
        <v>2644</v>
      </c>
      <c r="C256" s="676" t="s">
        <v>4394</v>
      </c>
      <c r="D256" s="677" t="s">
        <v>4701</v>
      </c>
      <c r="E256" s="1464">
        <v>1242.08</v>
      </c>
      <c r="F256" s="649">
        <v>0</v>
      </c>
      <c r="G256" s="611">
        <v>1242.08</v>
      </c>
      <c r="H256" s="1469">
        <v>45088</v>
      </c>
      <c r="I256" s="1992"/>
      <c r="J256" s="1904"/>
      <c r="K256" s="1950"/>
      <c r="L256" s="226"/>
      <c r="M256"/>
    </row>
    <row r="257" spans="1:13" s="168" customFormat="1" ht="15">
      <c r="A257" s="676">
        <v>45035</v>
      </c>
      <c r="B257" s="676" t="s">
        <v>2644</v>
      </c>
      <c r="C257" s="676" t="s">
        <v>4394</v>
      </c>
      <c r="D257" s="677" t="s">
        <v>4780</v>
      </c>
      <c r="E257" s="1464">
        <v>2215.29</v>
      </c>
      <c r="F257" s="649">
        <v>0</v>
      </c>
      <c r="G257" s="611">
        <v>2215.29</v>
      </c>
      <c r="H257" s="1469">
        <v>45095</v>
      </c>
      <c r="I257" s="1992"/>
      <c r="J257" s="1904"/>
      <c r="K257" s="1950"/>
      <c r="L257" s="226"/>
      <c r="M257"/>
    </row>
    <row r="258" spans="1:13" s="168" customFormat="1" ht="15">
      <c r="A258" s="676">
        <v>45036</v>
      </c>
      <c r="B258" s="676" t="s">
        <v>2644</v>
      </c>
      <c r="C258" s="676" t="s">
        <v>4394</v>
      </c>
      <c r="D258" s="677" t="s">
        <v>4781</v>
      </c>
      <c r="E258" s="1464">
        <v>-426.16</v>
      </c>
      <c r="F258" s="649">
        <v>0</v>
      </c>
      <c r="G258" s="611">
        <v>-426.16</v>
      </c>
      <c r="H258" s="1469"/>
      <c r="I258" s="1992"/>
      <c r="J258" s="1904"/>
      <c r="K258" s="1950"/>
      <c r="L258" s="226"/>
      <c r="M258"/>
    </row>
    <row r="259" spans="1:13" s="168" customFormat="1" ht="15">
      <c r="A259" s="676">
        <v>45036</v>
      </c>
      <c r="B259" s="676" t="s">
        <v>2644</v>
      </c>
      <c r="C259" s="676" t="s">
        <v>4394</v>
      </c>
      <c r="D259" s="677" t="s">
        <v>4782</v>
      </c>
      <c r="E259" s="1464">
        <v>-939.19</v>
      </c>
      <c r="F259" s="649">
        <v>0</v>
      </c>
      <c r="G259" s="611">
        <v>-939.19</v>
      </c>
      <c r="H259" s="1469"/>
      <c r="I259" s="1992"/>
      <c r="J259" s="1904"/>
      <c r="K259" s="1950"/>
      <c r="L259" s="226"/>
      <c r="M259"/>
    </row>
    <row r="260" spans="1:13" s="168" customFormat="1" ht="15">
      <c r="A260" s="676">
        <v>45036</v>
      </c>
      <c r="B260" s="676" t="s">
        <v>2644</v>
      </c>
      <c r="C260" s="676" t="s">
        <v>4394</v>
      </c>
      <c r="D260" s="677" t="s">
        <v>4783</v>
      </c>
      <c r="E260" s="1464">
        <v>-142.27000000000001</v>
      </c>
      <c r="F260" s="649">
        <v>0</v>
      </c>
      <c r="G260" s="611">
        <v>-142.27000000000001</v>
      </c>
      <c r="H260" s="1469"/>
      <c r="I260" s="1992"/>
      <c r="J260" s="1904"/>
      <c r="K260" s="1950"/>
      <c r="L260" s="226"/>
      <c r="M260"/>
    </row>
    <row r="261" spans="1:13" s="168" customFormat="1" ht="15">
      <c r="A261" s="676">
        <v>45036</v>
      </c>
      <c r="B261" s="676" t="s">
        <v>2644</v>
      </c>
      <c r="C261" s="676" t="s">
        <v>4394</v>
      </c>
      <c r="D261" s="677" t="s">
        <v>4784</v>
      </c>
      <c r="E261" s="1464">
        <v>-162.93</v>
      </c>
      <c r="F261" s="649">
        <v>0</v>
      </c>
      <c r="G261" s="611">
        <v>-162.93</v>
      </c>
      <c r="H261" s="1469"/>
      <c r="I261" s="1992"/>
      <c r="J261" s="1904"/>
      <c r="K261" s="1950"/>
      <c r="L261" s="226"/>
      <c r="M261"/>
    </row>
    <row r="262" spans="1:13" s="168" customFormat="1" ht="15">
      <c r="A262" s="676">
        <v>45041</v>
      </c>
      <c r="B262" s="676" t="s">
        <v>2644</v>
      </c>
      <c r="C262" s="676" t="s">
        <v>4394</v>
      </c>
      <c r="D262" s="677" t="s">
        <v>4859</v>
      </c>
      <c r="E262" s="1464">
        <v>-132.51</v>
      </c>
      <c r="F262" s="649">
        <v>0</v>
      </c>
      <c r="G262" s="611">
        <v>-132.51</v>
      </c>
      <c r="H262" s="1469"/>
      <c r="I262" s="1992"/>
      <c r="J262" s="1904"/>
      <c r="K262" s="1950"/>
      <c r="L262" s="226"/>
      <c r="M262"/>
    </row>
    <row r="263" spans="1:13" s="168" customFormat="1" ht="15">
      <c r="A263" s="676">
        <v>45041</v>
      </c>
      <c r="B263" s="676" t="s">
        <v>2644</v>
      </c>
      <c r="C263" s="676" t="s">
        <v>4394</v>
      </c>
      <c r="D263" s="677" t="s">
        <v>4860</v>
      </c>
      <c r="E263" s="1464">
        <v>56.28</v>
      </c>
      <c r="F263" s="649">
        <v>0</v>
      </c>
      <c r="G263" s="611">
        <v>56.28</v>
      </c>
      <c r="H263" s="1469">
        <v>45101</v>
      </c>
      <c r="I263" s="1992"/>
      <c r="J263" s="1904"/>
      <c r="K263" s="1950"/>
      <c r="L263" s="226"/>
      <c r="M263"/>
    </row>
    <row r="264" spans="1:13" s="168" customFormat="1" ht="15">
      <c r="A264" s="676">
        <v>45041</v>
      </c>
      <c r="B264" s="676" t="s">
        <v>2644</v>
      </c>
      <c r="C264" s="676" t="s">
        <v>4394</v>
      </c>
      <c r="D264" s="677" t="s">
        <v>4861</v>
      </c>
      <c r="E264" s="1464">
        <v>-9.0299999999999994</v>
      </c>
      <c r="F264" s="649">
        <v>0</v>
      </c>
      <c r="G264" s="611">
        <v>-9.0299999999999994</v>
      </c>
      <c r="H264" s="1469"/>
      <c r="I264" s="1992"/>
      <c r="J264" s="1904"/>
      <c r="K264" s="1950"/>
      <c r="L264" s="226" t="s">
        <v>4865</v>
      </c>
      <c r="M264"/>
    </row>
    <row r="265" spans="1:13" s="168" customFormat="1" ht="15">
      <c r="A265" s="676">
        <v>45041</v>
      </c>
      <c r="B265" s="676" t="s">
        <v>2644</v>
      </c>
      <c r="C265" s="676" t="s">
        <v>4394</v>
      </c>
      <c r="D265" s="677" t="s">
        <v>4862</v>
      </c>
      <c r="E265" s="1464">
        <v>-2.0699999999999998</v>
      </c>
      <c r="F265" s="649">
        <v>0</v>
      </c>
      <c r="G265" s="611">
        <v>-2.0699999999999998</v>
      </c>
      <c r="H265" s="1469"/>
      <c r="I265" s="1992"/>
      <c r="J265" s="1904"/>
      <c r="K265" s="1950"/>
      <c r="L265" s="226"/>
      <c r="M265"/>
    </row>
    <row r="266" spans="1:13" s="168" customFormat="1" ht="15">
      <c r="A266" s="676">
        <v>45041</v>
      </c>
      <c r="B266" s="676" t="s">
        <v>2644</v>
      </c>
      <c r="C266" s="676" t="s">
        <v>4394</v>
      </c>
      <c r="D266" s="677" t="s">
        <v>4863</v>
      </c>
      <c r="E266" s="1464">
        <v>-223.79</v>
      </c>
      <c r="F266" s="649">
        <v>0</v>
      </c>
      <c r="G266" s="611">
        <v>-223.79</v>
      </c>
      <c r="H266" s="1469"/>
      <c r="I266" s="1992"/>
      <c r="J266" s="1904"/>
      <c r="K266" s="1950"/>
      <c r="L266" s="226"/>
      <c r="M266"/>
    </row>
    <row r="267" spans="1:13" s="168" customFormat="1" ht="15">
      <c r="A267" s="676">
        <v>45041</v>
      </c>
      <c r="B267" s="676" t="s">
        <v>2644</v>
      </c>
      <c r="C267" s="676" t="s">
        <v>4394</v>
      </c>
      <c r="D267" s="677" t="s">
        <v>4864</v>
      </c>
      <c r="E267" s="1464">
        <v>1576.86</v>
      </c>
      <c r="F267" s="649">
        <v>0</v>
      </c>
      <c r="G267" s="611">
        <v>1576.86</v>
      </c>
      <c r="H267" s="1469">
        <v>45101</v>
      </c>
      <c r="I267" s="1992"/>
      <c r="J267" s="1904"/>
      <c r="K267" s="1950"/>
      <c r="L267" s="226"/>
      <c r="M267"/>
    </row>
    <row r="268" spans="1:13" s="168" customFormat="1" ht="15">
      <c r="A268" s="676">
        <v>45054</v>
      </c>
      <c r="B268" s="676" t="s">
        <v>2644</v>
      </c>
      <c r="C268" s="676" t="s">
        <v>4394</v>
      </c>
      <c r="D268" s="677" t="s">
        <v>4954</v>
      </c>
      <c r="E268" s="1464">
        <v>-166.39</v>
      </c>
      <c r="F268" s="649">
        <v>0</v>
      </c>
      <c r="G268" s="611">
        <v>-166.39</v>
      </c>
      <c r="H268" s="1469"/>
      <c r="I268" s="1992"/>
      <c r="J268" s="1904"/>
      <c r="K268" s="1950"/>
      <c r="L268" s="226"/>
      <c r="M268"/>
    </row>
    <row r="269" spans="1:13" s="168" customFormat="1" ht="15">
      <c r="A269" s="676">
        <v>45056</v>
      </c>
      <c r="B269" s="676" t="s">
        <v>2644</v>
      </c>
      <c r="C269" s="676" t="s">
        <v>4394</v>
      </c>
      <c r="D269" s="677" t="s">
        <v>4956</v>
      </c>
      <c r="E269" s="1464">
        <v>-506.87</v>
      </c>
      <c r="F269" s="649">
        <v>0</v>
      </c>
      <c r="G269" s="611">
        <v>-506.87</v>
      </c>
      <c r="H269" s="1469"/>
      <c r="I269" s="1992"/>
      <c r="J269" s="1904"/>
      <c r="K269" s="1950"/>
      <c r="L269" s="226"/>
      <c r="M269"/>
    </row>
    <row r="270" spans="1:13" s="168" customFormat="1" ht="15">
      <c r="A270" s="676">
        <v>45056</v>
      </c>
      <c r="B270" s="676" t="s">
        <v>2644</v>
      </c>
      <c r="C270" s="676" t="s">
        <v>4394</v>
      </c>
      <c r="D270" s="677" t="s">
        <v>4957</v>
      </c>
      <c r="E270" s="1464">
        <v>-98.74</v>
      </c>
      <c r="F270" s="649">
        <v>0</v>
      </c>
      <c r="G270" s="611">
        <v>-98.74</v>
      </c>
      <c r="H270" s="1469"/>
      <c r="I270" s="1992"/>
      <c r="J270" s="1904"/>
      <c r="K270" s="1950"/>
      <c r="L270" s="226"/>
      <c r="M270"/>
    </row>
    <row r="271" spans="1:13" s="168" customFormat="1" ht="15">
      <c r="A271" s="676">
        <v>45062</v>
      </c>
      <c r="B271" s="676" t="s">
        <v>2644</v>
      </c>
      <c r="C271" s="676" t="s">
        <v>4394</v>
      </c>
      <c r="D271" s="677" t="s">
        <v>5072</v>
      </c>
      <c r="E271" s="1464">
        <v>-122.15</v>
      </c>
      <c r="F271" s="649">
        <v>0</v>
      </c>
      <c r="G271" s="611">
        <v>-122.15</v>
      </c>
      <c r="H271" s="1469"/>
      <c r="I271" s="1992"/>
      <c r="J271" s="1904"/>
      <c r="K271" s="1950"/>
      <c r="L271" s="226"/>
      <c r="M271"/>
    </row>
    <row r="272" spans="1:13" s="168" customFormat="1" ht="15">
      <c r="A272" s="676">
        <v>45062</v>
      </c>
      <c r="B272" s="676" t="s">
        <v>2644</v>
      </c>
      <c r="C272" s="676" t="s">
        <v>4394</v>
      </c>
      <c r="D272" s="677" t="s">
        <v>5073</v>
      </c>
      <c r="E272" s="1464">
        <v>-1542.07</v>
      </c>
      <c r="F272" s="649">
        <v>0</v>
      </c>
      <c r="G272" s="611">
        <v>-1542.07</v>
      </c>
      <c r="H272" s="1469"/>
      <c r="I272" s="1992"/>
      <c r="J272" s="1904"/>
      <c r="K272" s="1950"/>
      <c r="L272" s="226"/>
      <c r="M272"/>
    </row>
    <row r="273" spans="1:13" s="168" customFormat="1" ht="15">
      <c r="A273" s="676">
        <v>45062</v>
      </c>
      <c r="B273" s="676" t="s">
        <v>2644</v>
      </c>
      <c r="C273" s="676" t="s">
        <v>4394</v>
      </c>
      <c r="D273" s="677" t="s">
        <v>5074</v>
      </c>
      <c r="E273" s="1464">
        <v>-370.83</v>
      </c>
      <c r="F273" s="649">
        <v>0</v>
      </c>
      <c r="G273" s="611">
        <v>-370.83</v>
      </c>
      <c r="H273" s="1469"/>
      <c r="I273" s="1992"/>
      <c r="J273" s="1904"/>
      <c r="K273" s="1950"/>
      <c r="L273" s="226"/>
      <c r="M273"/>
    </row>
    <row r="274" spans="1:13" s="168" customFormat="1" ht="15">
      <c r="A274" s="676">
        <v>45064</v>
      </c>
      <c r="B274" s="676" t="s">
        <v>2644</v>
      </c>
      <c r="C274" s="676" t="s">
        <v>4394</v>
      </c>
      <c r="D274" s="677" t="s">
        <v>5075</v>
      </c>
      <c r="E274" s="1464">
        <v>-178.71</v>
      </c>
      <c r="F274" s="649">
        <v>0</v>
      </c>
      <c r="G274" s="611">
        <v>-178.71</v>
      </c>
      <c r="H274" s="1469"/>
      <c r="I274" s="1992"/>
      <c r="J274" s="1904"/>
      <c r="K274" s="1950"/>
      <c r="L274" s="226"/>
      <c r="M274"/>
    </row>
    <row r="275" spans="1:13" s="168" customFormat="1" ht="15">
      <c r="A275" s="676">
        <v>45064</v>
      </c>
      <c r="B275" s="676" t="s">
        <v>2644</v>
      </c>
      <c r="C275" s="676" t="s">
        <v>4394</v>
      </c>
      <c r="D275" s="677" t="s">
        <v>5076</v>
      </c>
      <c r="E275" s="1464">
        <v>-134.93</v>
      </c>
      <c r="F275" s="649">
        <v>0</v>
      </c>
      <c r="G275" s="611">
        <v>-134.93</v>
      </c>
      <c r="H275" s="1469"/>
      <c r="I275" s="1992"/>
      <c r="J275" s="1904"/>
      <c r="K275" s="1950"/>
      <c r="L275" s="226"/>
      <c r="M275"/>
    </row>
    <row r="276" spans="1:13" s="168" customFormat="1" ht="15">
      <c r="A276" s="676">
        <v>45068</v>
      </c>
      <c r="B276" s="676" t="s">
        <v>2644</v>
      </c>
      <c r="C276" s="676" t="s">
        <v>4394</v>
      </c>
      <c r="D276" s="677" t="s">
        <v>5183</v>
      </c>
      <c r="E276" s="1464">
        <v>-557.20000000000005</v>
      </c>
      <c r="F276" s="649">
        <v>0</v>
      </c>
      <c r="G276" s="611">
        <v>-557.20000000000005</v>
      </c>
      <c r="H276" s="1469"/>
      <c r="I276" s="1992"/>
      <c r="J276" s="1904"/>
      <c r="K276" s="1950"/>
      <c r="L276" s="226"/>
      <c r="M276"/>
    </row>
    <row r="277" spans="1:13" s="168" customFormat="1" ht="15">
      <c r="A277" s="676">
        <v>45068</v>
      </c>
      <c r="B277" s="676" t="s">
        <v>2644</v>
      </c>
      <c r="C277" s="676" t="s">
        <v>4394</v>
      </c>
      <c r="D277" s="677" t="s">
        <v>5184</v>
      </c>
      <c r="E277" s="1464">
        <v>-1080.45</v>
      </c>
      <c r="F277" s="649">
        <v>0</v>
      </c>
      <c r="G277" s="611">
        <v>-1080.45</v>
      </c>
      <c r="H277" s="1469"/>
      <c r="I277" s="1992"/>
      <c r="J277" s="1904"/>
      <c r="K277" s="1950"/>
      <c r="L277" s="226"/>
      <c r="M277"/>
    </row>
    <row r="278" spans="1:13" s="168" customFormat="1" ht="15">
      <c r="A278" s="676">
        <v>45072</v>
      </c>
      <c r="B278" s="676" t="s">
        <v>2644</v>
      </c>
      <c r="C278" s="676" t="s">
        <v>4394</v>
      </c>
      <c r="D278" s="677" t="s">
        <v>5186</v>
      </c>
      <c r="E278" s="1464">
        <v>-693</v>
      </c>
      <c r="F278" s="649">
        <v>0</v>
      </c>
      <c r="G278" s="611">
        <v>-693</v>
      </c>
      <c r="H278" s="1469"/>
      <c r="I278" s="1992"/>
      <c r="J278" s="1904"/>
      <c r="K278" s="1950"/>
      <c r="L278" s="226"/>
      <c r="M278"/>
    </row>
    <row r="279" spans="1:13" s="168" customFormat="1" ht="15">
      <c r="A279" s="676">
        <v>45072</v>
      </c>
      <c r="B279" s="676" t="s">
        <v>2644</v>
      </c>
      <c r="C279" s="676" t="s">
        <v>4394</v>
      </c>
      <c r="D279" s="677" t="s">
        <v>5187</v>
      </c>
      <c r="E279" s="1464">
        <v>-1046.5</v>
      </c>
      <c r="F279" s="649">
        <v>0</v>
      </c>
      <c r="G279" s="611">
        <v>-1046.5</v>
      </c>
      <c r="H279" s="1469"/>
      <c r="I279" s="1992"/>
      <c r="J279" s="1904"/>
      <c r="K279" s="1950"/>
      <c r="L279" s="226"/>
      <c r="M279"/>
    </row>
    <row r="280" spans="1:13" s="168" customFormat="1" ht="15">
      <c r="A280" s="676">
        <v>45075</v>
      </c>
      <c r="B280" s="676" t="s">
        <v>2644</v>
      </c>
      <c r="C280" s="676" t="s">
        <v>4394</v>
      </c>
      <c r="D280" s="677" t="s">
        <v>5244</v>
      </c>
      <c r="E280" s="1464">
        <v>-93</v>
      </c>
      <c r="F280" s="649">
        <v>0</v>
      </c>
      <c r="G280" s="611">
        <v>-93</v>
      </c>
      <c r="H280" s="1469"/>
      <c r="I280" s="1992"/>
      <c r="J280" s="1904"/>
      <c r="K280" s="1950"/>
      <c r="L280" s="226"/>
      <c r="M280"/>
    </row>
    <row r="281" spans="1:13" s="168" customFormat="1" ht="15">
      <c r="A281" s="676">
        <v>45075</v>
      </c>
      <c r="B281" s="676" t="s">
        <v>2644</v>
      </c>
      <c r="C281" s="676" t="s">
        <v>4394</v>
      </c>
      <c r="D281" s="677" t="s">
        <v>5245</v>
      </c>
      <c r="E281" s="1464">
        <v>-409.5</v>
      </c>
      <c r="F281" s="649">
        <v>0</v>
      </c>
      <c r="G281" s="611">
        <v>-409.5</v>
      </c>
      <c r="H281" s="1469"/>
      <c r="I281" s="1992"/>
      <c r="J281" s="1904"/>
      <c r="K281" s="1950"/>
      <c r="L281" s="226"/>
      <c r="M281"/>
    </row>
    <row r="282" spans="1:13" s="168" customFormat="1" ht="15">
      <c r="A282" s="676">
        <v>45076</v>
      </c>
      <c r="B282" s="676" t="s">
        <v>2644</v>
      </c>
      <c r="C282" s="676" t="s">
        <v>4394</v>
      </c>
      <c r="D282" s="677" t="s">
        <v>5247</v>
      </c>
      <c r="E282" s="1464">
        <v>-1.54</v>
      </c>
      <c r="F282" s="649">
        <v>0</v>
      </c>
      <c r="G282" s="611">
        <v>-1.54</v>
      </c>
      <c r="H282" s="1469"/>
      <c r="I282" s="1992"/>
      <c r="J282" s="1904"/>
      <c r="K282" s="1950"/>
      <c r="L282" s="226"/>
      <c r="M282"/>
    </row>
    <row r="283" spans="1:13" s="168" customFormat="1" ht="15">
      <c r="A283" s="676">
        <v>45082</v>
      </c>
      <c r="B283" s="676" t="s">
        <v>2644</v>
      </c>
      <c r="C283" s="676" t="s">
        <v>4394</v>
      </c>
      <c r="D283" s="677" t="s">
        <v>5302</v>
      </c>
      <c r="E283" s="1464">
        <v>-192.67</v>
      </c>
      <c r="F283" s="649">
        <v>0</v>
      </c>
      <c r="G283" s="611">
        <v>-192.68</v>
      </c>
      <c r="H283" s="1469"/>
      <c r="I283" s="1993"/>
      <c r="J283" s="1905"/>
      <c r="K283" s="1947"/>
      <c r="L283" s="226"/>
      <c r="M283"/>
    </row>
    <row r="284" spans="1:13" s="168" customFormat="1" ht="15">
      <c r="A284" s="676">
        <v>45049</v>
      </c>
      <c r="B284" s="676" t="s">
        <v>2644</v>
      </c>
      <c r="C284" s="676" t="s">
        <v>4394</v>
      </c>
      <c r="D284" s="677" t="s">
        <v>4901</v>
      </c>
      <c r="E284" s="1464">
        <v>278.25</v>
      </c>
      <c r="F284" s="649">
        <v>0</v>
      </c>
      <c r="G284" s="611">
        <v>278.25</v>
      </c>
      <c r="H284" s="1469">
        <v>45109</v>
      </c>
      <c r="I284" s="1991">
        <v>12544.83</v>
      </c>
      <c r="J284" s="1903">
        <v>45084</v>
      </c>
      <c r="K284" s="1935" t="s">
        <v>5345</v>
      </c>
      <c r="L284" s="226"/>
      <c r="M284"/>
    </row>
    <row r="285" spans="1:13" s="168" customFormat="1" ht="15">
      <c r="A285" s="676">
        <v>45050</v>
      </c>
      <c r="B285" s="676" t="s">
        <v>2644</v>
      </c>
      <c r="C285" s="676" t="s">
        <v>4394</v>
      </c>
      <c r="D285" s="677" t="s">
        <v>4902</v>
      </c>
      <c r="E285" s="1464">
        <v>1544.9</v>
      </c>
      <c r="F285" s="649">
        <v>0</v>
      </c>
      <c r="G285" s="611">
        <v>1544.9</v>
      </c>
      <c r="H285" s="1469">
        <v>45095</v>
      </c>
      <c r="I285" s="1992"/>
      <c r="J285" s="1904"/>
      <c r="K285" s="1950"/>
      <c r="L285" s="226"/>
      <c r="M285"/>
    </row>
    <row r="286" spans="1:13" s="168" customFormat="1" ht="15">
      <c r="A286" s="676">
        <v>45051</v>
      </c>
      <c r="B286" s="676" t="s">
        <v>2644</v>
      </c>
      <c r="C286" s="676" t="s">
        <v>4394</v>
      </c>
      <c r="D286" s="677" t="s">
        <v>4903</v>
      </c>
      <c r="E286" s="1464">
        <v>207.9</v>
      </c>
      <c r="F286" s="649">
        <v>0</v>
      </c>
      <c r="G286" s="611">
        <v>207.9</v>
      </c>
      <c r="H286" s="1469">
        <v>45111</v>
      </c>
      <c r="I286" s="1992"/>
      <c r="J286" s="1904"/>
      <c r="K286" s="1950"/>
      <c r="L286" s="226"/>
      <c r="M286"/>
    </row>
    <row r="287" spans="1:13" s="168" customFormat="1" ht="15">
      <c r="A287" s="676">
        <v>45051</v>
      </c>
      <c r="B287" s="676" t="s">
        <v>2644</v>
      </c>
      <c r="C287" s="676" t="s">
        <v>4394</v>
      </c>
      <c r="D287" s="677" t="s">
        <v>4904</v>
      </c>
      <c r="E287" s="1464">
        <v>638.61</v>
      </c>
      <c r="F287" s="649">
        <v>0</v>
      </c>
      <c r="G287" s="611">
        <v>638.61</v>
      </c>
      <c r="H287" s="1469">
        <v>45111</v>
      </c>
      <c r="I287" s="1992"/>
      <c r="J287" s="1904"/>
      <c r="K287" s="1950"/>
      <c r="L287" s="226"/>
      <c r="M287"/>
    </row>
    <row r="288" spans="1:13" s="168" customFormat="1" ht="15">
      <c r="A288" s="676">
        <v>45054</v>
      </c>
      <c r="B288" s="676" t="s">
        <v>2644</v>
      </c>
      <c r="C288" s="676" t="s">
        <v>4394</v>
      </c>
      <c r="D288" s="677" t="s">
        <v>4953</v>
      </c>
      <c r="E288" s="1464">
        <v>-23.66</v>
      </c>
      <c r="F288" s="649">
        <v>0</v>
      </c>
      <c r="G288" s="611">
        <v>-23.66</v>
      </c>
      <c r="H288" s="1469"/>
      <c r="I288" s="1992"/>
      <c r="J288" s="1904"/>
      <c r="K288" s="1950"/>
      <c r="L288" s="226"/>
      <c r="M288"/>
    </row>
    <row r="289" spans="1:13" s="168" customFormat="1" ht="15">
      <c r="A289" s="676">
        <v>45055</v>
      </c>
      <c r="B289" s="676" t="s">
        <v>2644</v>
      </c>
      <c r="C289" s="676" t="s">
        <v>4394</v>
      </c>
      <c r="D289" s="677" t="s">
        <v>4955</v>
      </c>
      <c r="E289" s="1464">
        <v>1220.03</v>
      </c>
      <c r="F289" s="649">
        <v>0</v>
      </c>
      <c r="G289" s="611">
        <v>1220.03</v>
      </c>
      <c r="H289" s="1469">
        <v>45115</v>
      </c>
      <c r="I289" s="1992"/>
      <c r="J289" s="1904"/>
      <c r="K289" s="1950"/>
      <c r="L289" s="226"/>
      <c r="M289"/>
    </row>
    <row r="290" spans="1:13" s="168" customFormat="1" ht="15">
      <c r="A290" s="676">
        <v>45062</v>
      </c>
      <c r="B290" s="676" t="s">
        <v>2644</v>
      </c>
      <c r="C290" s="676" t="s">
        <v>4394</v>
      </c>
      <c r="D290" s="677" t="s">
        <v>5071</v>
      </c>
      <c r="E290" s="1464">
        <v>1077.6500000000001</v>
      </c>
      <c r="F290" s="649">
        <v>0</v>
      </c>
      <c r="G290" s="611">
        <v>1077.6500000000001</v>
      </c>
      <c r="H290" s="1469">
        <v>45152</v>
      </c>
      <c r="I290" s="1992"/>
      <c r="J290" s="1904"/>
      <c r="K290" s="1950"/>
      <c r="L290" s="226"/>
      <c r="M290"/>
    </row>
    <row r="291" spans="1:13" s="168" customFormat="1" ht="15">
      <c r="A291" s="676">
        <v>45075</v>
      </c>
      <c r="B291" s="676" t="s">
        <v>2644</v>
      </c>
      <c r="C291" s="676" t="s">
        <v>4394</v>
      </c>
      <c r="D291" s="677" t="s">
        <v>5243</v>
      </c>
      <c r="E291" s="1464">
        <v>-11.52</v>
      </c>
      <c r="F291" s="649">
        <v>0</v>
      </c>
      <c r="G291" s="611">
        <v>-11.52</v>
      </c>
      <c r="H291" s="1469"/>
      <c r="I291" s="1992"/>
      <c r="J291" s="1904"/>
      <c r="K291" s="1950"/>
      <c r="L291" s="226"/>
      <c r="M291"/>
    </row>
    <row r="292" spans="1:13" s="168" customFormat="1" ht="15">
      <c r="A292" s="676">
        <v>45076</v>
      </c>
      <c r="B292" s="676" t="s">
        <v>2644</v>
      </c>
      <c r="C292" s="676" t="s">
        <v>4394</v>
      </c>
      <c r="D292" s="677" t="s">
        <v>5246</v>
      </c>
      <c r="E292" s="1464">
        <v>-7.7</v>
      </c>
      <c r="F292" s="649">
        <v>0</v>
      </c>
      <c r="G292" s="611">
        <v>-7.7</v>
      </c>
      <c r="H292" s="1469"/>
      <c r="I292" s="1992"/>
      <c r="J292" s="1904"/>
      <c r="K292" s="1950"/>
      <c r="L292" s="226"/>
      <c r="M292"/>
    </row>
    <row r="293" spans="1:13" s="168" customFormat="1" ht="15">
      <c r="A293" s="676">
        <v>45077</v>
      </c>
      <c r="B293" s="676" t="s">
        <v>2644</v>
      </c>
      <c r="C293" s="676" t="s">
        <v>4394</v>
      </c>
      <c r="D293" s="677" t="s">
        <v>5248</v>
      </c>
      <c r="E293" s="1464">
        <v>91.98</v>
      </c>
      <c r="F293" s="649">
        <v>0</v>
      </c>
      <c r="G293" s="611">
        <v>91.98</v>
      </c>
      <c r="H293" s="1469">
        <v>45167</v>
      </c>
      <c r="I293" s="1992"/>
      <c r="J293" s="1904"/>
      <c r="K293" s="1950"/>
      <c r="L293" s="226"/>
      <c r="M293"/>
    </row>
    <row r="294" spans="1:13" s="168" customFormat="1" ht="15">
      <c r="A294" s="676">
        <v>45082</v>
      </c>
      <c r="B294" s="676" t="s">
        <v>2644</v>
      </c>
      <c r="C294" s="676" t="s">
        <v>4394</v>
      </c>
      <c r="D294" s="677" t="s">
        <v>5299</v>
      </c>
      <c r="E294" s="1464">
        <v>828.8</v>
      </c>
      <c r="F294" s="649">
        <v>0</v>
      </c>
      <c r="G294" s="611">
        <v>828.8</v>
      </c>
      <c r="H294" s="1469">
        <v>45142</v>
      </c>
      <c r="I294" s="1992"/>
      <c r="J294" s="1904"/>
      <c r="K294" s="1950"/>
      <c r="L294" s="226"/>
      <c r="M294"/>
    </row>
    <row r="295" spans="1:13" s="168" customFormat="1" ht="15">
      <c r="A295" s="676">
        <v>45082</v>
      </c>
      <c r="B295" s="676" t="s">
        <v>2644</v>
      </c>
      <c r="C295" s="676" t="s">
        <v>4394</v>
      </c>
      <c r="D295" s="677" t="s">
        <v>5300</v>
      </c>
      <c r="E295" s="1464">
        <v>6716.5</v>
      </c>
      <c r="F295" s="649">
        <v>0</v>
      </c>
      <c r="G295" s="611">
        <v>6716.5</v>
      </c>
      <c r="H295" s="1469">
        <v>45142</v>
      </c>
      <c r="I295" s="1992"/>
      <c r="J295" s="1904"/>
      <c r="K295" s="1950"/>
      <c r="L295" s="226"/>
      <c r="M295"/>
    </row>
    <row r="296" spans="1:13" s="168" customFormat="1" ht="15">
      <c r="A296" s="676">
        <v>45082</v>
      </c>
      <c r="B296" s="676" t="s">
        <v>2644</v>
      </c>
      <c r="C296" s="676" t="s">
        <v>4394</v>
      </c>
      <c r="D296" s="677" t="s">
        <v>5301</v>
      </c>
      <c r="E296" s="1464">
        <v>-16.91</v>
      </c>
      <c r="F296" s="649">
        <v>0</v>
      </c>
      <c r="G296" s="611">
        <v>-16.91</v>
      </c>
      <c r="H296" s="1469"/>
      <c r="I296" s="1993"/>
      <c r="J296" s="1905"/>
      <c r="K296" s="1947"/>
      <c r="L296" s="226"/>
      <c r="M296"/>
    </row>
    <row r="297" spans="1:13" s="168" customFormat="1" ht="28.5">
      <c r="A297" s="676">
        <v>45070</v>
      </c>
      <c r="B297" s="676" t="s">
        <v>2644</v>
      </c>
      <c r="C297" s="676" t="s">
        <v>4394</v>
      </c>
      <c r="D297" s="677" t="s">
        <v>5185</v>
      </c>
      <c r="E297" s="1464">
        <v>8300.6</v>
      </c>
      <c r="F297" s="649">
        <v>0</v>
      </c>
      <c r="G297" s="611">
        <v>8300.6</v>
      </c>
      <c r="H297" s="1469">
        <v>45071</v>
      </c>
      <c r="I297" s="1012">
        <v>8300.6</v>
      </c>
      <c r="J297" s="1456">
        <v>45082</v>
      </c>
      <c r="K297" s="1457" t="s">
        <v>5345</v>
      </c>
      <c r="L297" s="917" t="s">
        <v>5188</v>
      </c>
      <c r="M297"/>
    </row>
    <row r="298" spans="1:13" s="168" customFormat="1" ht="15">
      <c r="A298" s="676">
        <v>45089</v>
      </c>
      <c r="B298" s="676" t="s">
        <v>2644</v>
      </c>
      <c r="C298" s="676" t="s">
        <v>4394</v>
      </c>
      <c r="D298" s="677" t="s">
        <v>5362</v>
      </c>
      <c r="E298" s="1635">
        <v>693</v>
      </c>
      <c r="F298" s="649">
        <v>0</v>
      </c>
      <c r="G298" s="611">
        <v>693</v>
      </c>
      <c r="H298" s="1637">
        <v>45149</v>
      </c>
      <c r="I298" s="1991">
        <v>2450.59</v>
      </c>
      <c r="J298" s="1903">
        <v>45089</v>
      </c>
      <c r="K298" s="1935" t="s">
        <v>5395</v>
      </c>
      <c r="L298" s="226"/>
      <c r="M298"/>
    </row>
    <row r="299" spans="1:13" s="168" customFormat="1" ht="15">
      <c r="A299" s="676">
        <v>45089</v>
      </c>
      <c r="B299" s="676" t="s">
        <v>2644</v>
      </c>
      <c r="C299" s="676" t="s">
        <v>4394</v>
      </c>
      <c r="D299" s="677" t="s">
        <v>5363</v>
      </c>
      <c r="E299" s="1635">
        <v>416</v>
      </c>
      <c r="F299" s="649">
        <v>0</v>
      </c>
      <c r="G299" s="611">
        <v>416</v>
      </c>
      <c r="H299" s="1637">
        <v>45149</v>
      </c>
      <c r="I299" s="1992"/>
      <c r="J299" s="1904"/>
      <c r="K299" s="1950"/>
      <c r="L299" s="226"/>
      <c r="M299"/>
    </row>
    <row r="300" spans="1:13" s="168" customFormat="1" ht="15">
      <c r="A300" s="676">
        <v>45089</v>
      </c>
      <c r="B300" s="676" t="s">
        <v>2644</v>
      </c>
      <c r="C300" s="676" t="s">
        <v>4394</v>
      </c>
      <c r="D300" s="677" t="s">
        <v>5364</v>
      </c>
      <c r="E300" s="1635">
        <v>-144.83000000000001</v>
      </c>
      <c r="F300" s="649">
        <v>0</v>
      </c>
      <c r="G300" s="611">
        <v>-144.83000000000001</v>
      </c>
      <c r="H300" s="1637"/>
      <c r="I300" s="1992"/>
      <c r="J300" s="1904"/>
      <c r="K300" s="1950"/>
      <c r="L300" s="226"/>
      <c r="M300"/>
    </row>
    <row r="301" spans="1:13" s="168" customFormat="1" ht="15">
      <c r="A301" s="1983">
        <v>45089</v>
      </c>
      <c r="B301" s="1983" t="s">
        <v>2644</v>
      </c>
      <c r="C301" s="1983" t="s">
        <v>4394</v>
      </c>
      <c r="D301" s="1988" t="s">
        <v>5365</v>
      </c>
      <c r="E301" s="1923">
        <v>2449.29</v>
      </c>
      <c r="F301" s="1927">
        <v>0</v>
      </c>
      <c r="G301" s="1625">
        <v>1486.42</v>
      </c>
      <c r="H301" s="1637">
        <v>45149</v>
      </c>
      <c r="I301" s="1993"/>
      <c r="J301" s="1905"/>
      <c r="K301" s="1947"/>
      <c r="L301" s="226"/>
      <c r="M301"/>
    </row>
    <row r="302" spans="1:13" s="168" customFormat="1" ht="15">
      <c r="A302" s="1984"/>
      <c r="B302" s="1984"/>
      <c r="C302" s="1984"/>
      <c r="D302" s="1989"/>
      <c r="E302" s="1961"/>
      <c r="F302" s="1960"/>
      <c r="G302" s="1625">
        <v>1000.63</v>
      </c>
      <c r="H302" s="1637">
        <v>45149</v>
      </c>
      <c r="I302" s="1627">
        <v>1000.63</v>
      </c>
      <c r="J302" s="1621">
        <v>45120</v>
      </c>
      <c r="K302" s="1624" t="s">
        <v>5605</v>
      </c>
      <c r="L302" s="226"/>
      <c r="M302"/>
    </row>
    <row r="303" spans="1:13" s="168" customFormat="1" ht="15">
      <c r="A303" s="1985"/>
      <c r="B303" s="1985"/>
      <c r="C303" s="1985"/>
      <c r="D303" s="1990"/>
      <c r="E303" s="1924"/>
      <c r="F303" s="1928"/>
      <c r="G303" s="1625">
        <f>2449.29-1486.42-1000.63</f>
        <v>-37.760000000000105</v>
      </c>
      <c r="H303" s="1637">
        <v>45149</v>
      </c>
      <c r="I303" s="1986">
        <v>0</v>
      </c>
      <c r="J303" s="1903">
        <v>45120</v>
      </c>
      <c r="K303" s="1935" t="s">
        <v>5604</v>
      </c>
      <c r="L303" s="226"/>
      <c r="M303"/>
    </row>
    <row r="304" spans="1:13" s="168" customFormat="1" ht="15">
      <c r="A304" s="1983">
        <v>45105</v>
      </c>
      <c r="B304" s="1983" t="s">
        <v>2644</v>
      </c>
      <c r="C304" s="1983" t="s">
        <v>4394</v>
      </c>
      <c r="D304" s="1988" t="s">
        <v>5478</v>
      </c>
      <c r="E304" s="1923">
        <v>4595.3500000000004</v>
      </c>
      <c r="F304" s="1927">
        <v>0</v>
      </c>
      <c r="G304" s="1625">
        <v>37.76</v>
      </c>
      <c r="H304" s="1637">
        <v>45165</v>
      </c>
      <c r="I304" s="1987"/>
      <c r="J304" s="1905"/>
      <c r="K304" s="1947"/>
      <c r="L304" s="226"/>
      <c r="M304"/>
    </row>
    <row r="305" spans="1:13" s="168" customFormat="1" ht="42.75">
      <c r="A305" s="1984"/>
      <c r="B305" s="1984"/>
      <c r="C305" s="1984"/>
      <c r="D305" s="1989"/>
      <c r="E305" s="1961"/>
      <c r="F305" s="1960"/>
      <c r="G305" s="611">
        <f>4595.35-37.76-391.71-2001.89</f>
        <v>2163.9899999999998</v>
      </c>
      <c r="H305" s="1637">
        <v>45165</v>
      </c>
      <c r="I305" s="1012">
        <v>2163.9899999999998</v>
      </c>
      <c r="J305" s="1629">
        <v>45152</v>
      </c>
      <c r="K305" s="1636" t="s">
        <v>5895</v>
      </c>
      <c r="L305" s="226"/>
      <c r="M305"/>
    </row>
    <row r="306" spans="1:13" s="168" customFormat="1" ht="15">
      <c r="A306" s="1984"/>
      <c r="B306" s="1984"/>
      <c r="C306" s="1984"/>
      <c r="D306" s="1989"/>
      <c r="E306" s="1961"/>
      <c r="F306" s="1960"/>
      <c r="G306" s="611">
        <v>2001.89</v>
      </c>
      <c r="H306" s="1637">
        <v>45165</v>
      </c>
      <c r="I306" s="1626">
        <v>2001.89</v>
      </c>
      <c r="J306" s="1620">
        <v>45121</v>
      </c>
      <c r="K306" s="1623" t="s">
        <v>5603</v>
      </c>
      <c r="L306" s="226"/>
      <c r="M306"/>
    </row>
    <row r="307" spans="1:13" s="168" customFormat="1" ht="15">
      <c r="A307" s="1985"/>
      <c r="B307" s="1985"/>
      <c r="C307" s="1985"/>
      <c r="D307" s="1990"/>
      <c r="E307" s="1924"/>
      <c r="F307" s="1928"/>
      <c r="G307" s="611">
        <v>391.71</v>
      </c>
      <c r="H307" s="1637">
        <v>45165</v>
      </c>
      <c r="I307" s="1991">
        <v>1501.35</v>
      </c>
      <c r="J307" s="1903">
        <v>45120</v>
      </c>
      <c r="K307" s="1935" t="s">
        <v>5603</v>
      </c>
      <c r="L307" s="226"/>
      <c r="M307"/>
    </row>
    <row r="308" spans="1:13" s="168" customFormat="1" ht="15">
      <c r="A308" s="676">
        <v>45105</v>
      </c>
      <c r="B308" s="676" t="s">
        <v>2644</v>
      </c>
      <c r="C308" s="676" t="s">
        <v>4394</v>
      </c>
      <c r="D308" s="677" t="s">
        <v>5477</v>
      </c>
      <c r="E308" s="1635">
        <v>1109.6400000000001</v>
      </c>
      <c r="F308" s="649">
        <v>0</v>
      </c>
      <c r="G308" s="611">
        <v>1109.6400000000001</v>
      </c>
      <c r="H308" s="1637">
        <v>45165</v>
      </c>
      <c r="I308" s="1993"/>
      <c r="J308" s="1905"/>
      <c r="K308" s="1947"/>
      <c r="L308" s="226"/>
      <c r="M308"/>
    </row>
    <row r="309" spans="1:13" s="168" customFormat="1" ht="15">
      <c r="A309" s="676">
        <v>45107</v>
      </c>
      <c r="B309" s="676" t="s">
        <v>2644</v>
      </c>
      <c r="C309" s="676" t="s">
        <v>4394</v>
      </c>
      <c r="D309" s="677" t="s">
        <v>5481</v>
      </c>
      <c r="E309" s="1635">
        <v>-150.47</v>
      </c>
      <c r="F309" s="649">
        <v>0</v>
      </c>
      <c r="G309" s="611">
        <v>-150.47</v>
      </c>
      <c r="H309" s="679"/>
      <c r="I309" s="1997">
        <v>2836.0099999999998</v>
      </c>
      <c r="J309" s="1918">
        <v>45152</v>
      </c>
      <c r="K309" s="1956" t="s">
        <v>5896</v>
      </c>
      <c r="L309" s="226"/>
      <c r="M309"/>
    </row>
    <row r="310" spans="1:13" s="168" customFormat="1" ht="15">
      <c r="A310" s="676">
        <v>45106</v>
      </c>
      <c r="B310" s="676" t="s">
        <v>2644</v>
      </c>
      <c r="C310" s="676" t="s">
        <v>4394</v>
      </c>
      <c r="D310" s="677" t="s">
        <v>5479</v>
      </c>
      <c r="E310" s="1635">
        <v>-23.1</v>
      </c>
      <c r="F310" s="649">
        <v>0</v>
      </c>
      <c r="G310" s="611">
        <v>-23.1</v>
      </c>
      <c r="H310" s="679"/>
      <c r="I310" s="1998"/>
      <c r="J310" s="1919"/>
      <c r="K310" s="1962"/>
      <c r="L310" s="226"/>
      <c r="M310"/>
    </row>
    <row r="311" spans="1:13" s="168" customFormat="1" ht="15">
      <c r="A311" s="676">
        <v>45110</v>
      </c>
      <c r="B311" s="676" t="s">
        <v>2644</v>
      </c>
      <c r="C311" s="676" t="s">
        <v>4394</v>
      </c>
      <c r="D311" s="677" t="s">
        <v>5533</v>
      </c>
      <c r="E311" s="1635">
        <v>2928.46</v>
      </c>
      <c r="F311" s="649">
        <v>0</v>
      </c>
      <c r="G311" s="611">
        <v>2928.46</v>
      </c>
      <c r="H311" s="1637">
        <v>45170</v>
      </c>
      <c r="I311" s="1998"/>
      <c r="J311" s="1919"/>
      <c r="K311" s="1962"/>
      <c r="L311" s="226"/>
      <c r="M311"/>
    </row>
    <row r="312" spans="1:13" s="168" customFormat="1" ht="15">
      <c r="A312" s="1983">
        <v>45111</v>
      </c>
      <c r="B312" s="1983" t="s">
        <v>2644</v>
      </c>
      <c r="C312" s="1983" t="s">
        <v>4394</v>
      </c>
      <c r="D312" s="1988" t="s">
        <v>5534</v>
      </c>
      <c r="E312" s="1923">
        <v>857.22</v>
      </c>
      <c r="F312" s="1927">
        <v>0</v>
      </c>
      <c r="G312" s="611">
        <v>81.12</v>
      </c>
      <c r="H312" s="1692">
        <v>45171</v>
      </c>
      <c r="I312" s="1999"/>
      <c r="J312" s="1920"/>
      <c r="K312" s="1957"/>
      <c r="L312" s="226"/>
      <c r="M312"/>
    </row>
    <row r="313" spans="1:13" s="168" customFormat="1" ht="15">
      <c r="A313" s="1985"/>
      <c r="B313" s="1985"/>
      <c r="C313" s="1985"/>
      <c r="D313" s="1990"/>
      <c r="E313" s="1924"/>
      <c r="F313" s="1928"/>
      <c r="G313" s="611">
        <f>857.22-81.12</f>
        <v>776.1</v>
      </c>
      <c r="H313" s="1692">
        <v>45171</v>
      </c>
      <c r="I313" s="1997">
        <v>5000</v>
      </c>
      <c r="J313" s="1918">
        <v>45175</v>
      </c>
      <c r="K313" s="1968" t="s">
        <v>6018</v>
      </c>
      <c r="L313" s="226"/>
      <c r="M313"/>
    </row>
    <row r="314" spans="1:13" s="168" customFormat="1" ht="15">
      <c r="A314" s="676">
        <v>45089</v>
      </c>
      <c r="B314" s="676" t="s">
        <v>2644</v>
      </c>
      <c r="C314" s="676" t="s">
        <v>4394</v>
      </c>
      <c r="D314" s="677" t="s">
        <v>5366</v>
      </c>
      <c r="E314" s="1689">
        <v>-2.73</v>
      </c>
      <c r="F314" s="649">
        <v>0</v>
      </c>
      <c r="G314" s="611">
        <v>-2.73</v>
      </c>
      <c r="H314" s="1692"/>
      <c r="I314" s="1998"/>
      <c r="J314" s="1919"/>
      <c r="K314" s="1962"/>
      <c r="L314" s="226"/>
      <c r="M314"/>
    </row>
    <row r="315" spans="1:13" s="168" customFormat="1" ht="15">
      <c r="A315" s="676">
        <v>45092</v>
      </c>
      <c r="B315" s="676" t="s">
        <v>2644</v>
      </c>
      <c r="C315" s="676" t="s">
        <v>4394</v>
      </c>
      <c r="D315" s="677" t="s">
        <v>5367</v>
      </c>
      <c r="E315" s="1689">
        <v>-216.72</v>
      </c>
      <c r="F315" s="649">
        <v>0</v>
      </c>
      <c r="G315" s="611">
        <v>-216.72</v>
      </c>
      <c r="H315" s="1692"/>
      <c r="I315" s="1998"/>
      <c r="J315" s="1919"/>
      <c r="K315" s="1962"/>
      <c r="L315" s="226"/>
      <c r="M315"/>
    </row>
    <row r="316" spans="1:13" s="168" customFormat="1" ht="15">
      <c r="A316" s="676">
        <v>45106</v>
      </c>
      <c r="B316" s="676" t="s">
        <v>2644</v>
      </c>
      <c r="C316" s="676" t="s">
        <v>4394</v>
      </c>
      <c r="D316" s="677" t="s">
        <v>5480</v>
      </c>
      <c r="E316" s="1689">
        <v>-98</v>
      </c>
      <c r="F316" s="649">
        <v>0</v>
      </c>
      <c r="G316" s="611">
        <v>-98</v>
      </c>
      <c r="H316" s="1692"/>
      <c r="I316" s="1998"/>
      <c r="J316" s="1919"/>
      <c r="K316" s="1962"/>
      <c r="L316" s="226"/>
      <c r="M316"/>
    </row>
    <row r="317" spans="1:13" s="168" customFormat="1" ht="15">
      <c r="A317" s="676">
        <v>45107</v>
      </c>
      <c r="B317" s="676" t="s">
        <v>2644</v>
      </c>
      <c r="C317" s="676" t="s">
        <v>4394</v>
      </c>
      <c r="D317" s="677" t="s">
        <v>5482</v>
      </c>
      <c r="E317" s="1689">
        <v>-216.87</v>
      </c>
      <c r="F317" s="649">
        <v>0</v>
      </c>
      <c r="G317" s="611">
        <v>-216.87</v>
      </c>
      <c r="H317" s="1692"/>
      <c r="I317" s="1998"/>
      <c r="J317" s="1919"/>
      <c r="K317" s="1962"/>
      <c r="L317" s="226"/>
      <c r="M317"/>
    </row>
    <row r="318" spans="1:13" s="168" customFormat="1" ht="15">
      <c r="A318" s="676">
        <v>45119</v>
      </c>
      <c r="B318" s="676" t="s">
        <v>2644</v>
      </c>
      <c r="C318" s="676" t="s">
        <v>4394</v>
      </c>
      <c r="D318" s="677" t="s">
        <v>5578</v>
      </c>
      <c r="E318" s="1689">
        <v>-55.65</v>
      </c>
      <c r="F318" s="649">
        <v>0</v>
      </c>
      <c r="G318" s="611">
        <v>-55.65</v>
      </c>
      <c r="H318" s="1692"/>
      <c r="I318" s="1998"/>
      <c r="J318" s="1919"/>
      <c r="K318" s="1962"/>
      <c r="L318" s="226"/>
      <c r="M318"/>
    </row>
    <row r="319" spans="1:13" s="168" customFormat="1" ht="15">
      <c r="A319" s="676">
        <v>45121</v>
      </c>
      <c r="B319" s="676" t="s">
        <v>2644</v>
      </c>
      <c r="C319" s="676" t="s">
        <v>4394</v>
      </c>
      <c r="D319" s="677" t="s">
        <v>5579</v>
      </c>
      <c r="E319" s="1689">
        <v>4284.24</v>
      </c>
      <c r="F319" s="649">
        <v>0</v>
      </c>
      <c r="G319" s="611">
        <v>4284.24</v>
      </c>
      <c r="H319" s="1692">
        <v>45181</v>
      </c>
      <c r="I319" s="1998"/>
      <c r="J319" s="1919"/>
      <c r="K319" s="1962"/>
      <c r="L319" s="226"/>
      <c r="M319"/>
    </row>
    <row r="320" spans="1:13" s="168" customFormat="1" ht="15">
      <c r="A320" s="676">
        <v>45124</v>
      </c>
      <c r="B320" s="676" t="s">
        <v>2644</v>
      </c>
      <c r="C320" s="676" t="s">
        <v>4394</v>
      </c>
      <c r="D320" s="677" t="s">
        <v>5617</v>
      </c>
      <c r="E320" s="1689">
        <v>-123.2</v>
      </c>
      <c r="F320" s="649">
        <v>0</v>
      </c>
      <c r="G320" s="611">
        <v>-123.2</v>
      </c>
      <c r="H320" s="1692"/>
      <c r="I320" s="1998"/>
      <c r="J320" s="1919"/>
      <c r="K320" s="1962"/>
      <c r="L320" s="226"/>
      <c r="M320"/>
    </row>
    <row r="321" spans="1:13" s="168" customFormat="1" ht="15">
      <c r="A321" s="676">
        <v>45134</v>
      </c>
      <c r="B321" s="676" t="s">
        <v>2644</v>
      </c>
      <c r="C321" s="676" t="s">
        <v>4394</v>
      </c>
      <c r="D321" s="677" t="s">
        <v>5681</v>
      </c>
      <c r="E321" s="1689">
        <v>30.45</v>
      </c>
      <c r="F321" s="649">
        <v>0</v>
      </c>
      <c r="G321" s="611">
        <v>30.45</v>
      </c>
      <c r="H321" s="1692">
        <v>45194</v>
      </c>
      <c r="I321" s="1998"/>
      <c r="J321" s="1919"/>
      <c r="K321" s="1962"/>
      <c r="L321" s="226"/>
      <c r="M321"/>
    </row>
    <row r="322" spans="1:13" s="168" customFormat="1" ht="15">
      <c r="A322" s="676">
        <v>45134</v>
      </c>
      <c r="B322" s="676" t="s">
        <v>2644</v>
      </c>
      <c r="C322" s="676" t="s">
        <v>4394</v>
      </c>
      <c r="D322" s="677" t="s">
        <v>5682</v>
      </c>
      <c r="E322" s="1689">
        <v>277.2</v>
      </c>
      <c r="F322" s="649">
        <v>0</v>
      </c>
      <c r="G322" s="611">
        <v>277.2</v>
      </c>
      <c r="H322" s="1692">
        <v>45194</v>
      </c>
      <c r="I322" s="1998"/>
      <c r="J322" s="1919"/>
      <c r="K322" s="1962"/>
      <c r="L322" s="226"/>
      <c r="M322"/>
    </row>
    <row r="323" spans="1:13" s="168" customFormat="1" ht="15">
      <c r="A323" s="1983">
        <v>45134</v>
      </c>
      <c r="B323" s="1983" t="s">
        <v>2644</v>
      </c>
      <c r="C323" s="1983" t="s">
        <v>4394</v>
      </c>
      <c r="D323" s="1988" t="s">
        <v>5683</v>
      </c>
      <c r="E323" s="1923">
        <v>4606.88</v>
      </c>
      <c r="F323" s="1927">
        <v>0</v>
      </c>
      <c r="G323" s="611">
        <v>345.18</v>
      </c>
      <c r="H323" s="1757">
        <v>45194</v>
      </c>
      <c r="I323" s="1999"/>
      <c r="J323" s="1920"/>
      <c r="K323" s="1957"/>
      <c r="L323" s="226"/>
      <c r="M323"/>
    </row>
    <row r="324" spans="1:13" s="168" customFormat="1" ht="15">
      <c r="A324" s="1985"/>
      <c r="B324" s="1985"/>
      <c r="C324" s="1985"/>
      <c r="D324" s="1990"/>
      <c r="E324" s="1924"/>
      <c r="F324" s="1928"/>
      <c r="G324" s="611">
        <f>4606.88-345.18</f>
        <v>4261.7</v>
      </c>
      <c r="H324" s="1757">
        <v>45194</v>
      </c>
      <c r="I324" s="1997">
        <v>10000</v>
      </c>
      <c r="J324" s="1918">
        <v>45201</v>
      </c>
      <c r="K324" s="1956" t="s">
        <v>6270</v>
      </c>
      <c r="L324" s="226"/>
      <c r="M324"/>
    </row>
    <row r="325" spans="1:13" s="168" customFormat="1" ht="15">
      <c r="A325" s="676">
        <v>45138</v>
      </c>
      <c r="B325" s="676" t="s">
        <v>2644</v>
      </c>
      <c r="C325" s="676" t="s">
        <v>4394</v>
      </c>
      <c r="D325" s="677" t="s">
        <v>5710</v>
      </c>
      <c r="E325" s="1752">
        <v>-120.74</v>
      </c>
      <c r="F325" s="649">
        <v>0</v>
      </c>
      <c r="G325" s="611">
        <v>-120.74</v>
      </c>
      <c r="H325" s="1757"/>
      <c r="I325" s="1998"/>
      <c r="J325" s="1919"/>
      <c r="K325" s="1962"/>
      <c r="L325" s="226"/>
      <c r="M325"/>
    </row>
    <row r="326" spans="1:13" s="168" customFormat="1" ht="15">
      <c r="A326" s="676">
        <v>45138</v>
      </c>
      <c r="B326" s="676" t="s">
        <v>2644</v>
      </c>
      <c r="C326" s="676" t="s">
        <v>4394</v>
      </c>
      <c r="D326" s="677" t="s">
        <v>5711</v>
      </c>
      <c r="E326" s="1752">
        <v>-353.47</v>
      </c>
      <c r="F326" s="649">
        <v>0</v>
      </c>
      <c r="G326" s="611">
        <v>-353.47</v>
      </c>
      <c r="H326" s="1757">
        <v>45140</v>
      </c>
      <c r="I326" s="1998"/>
      <c r="J326" s="1919"/>
      <c r="K326" s="1962"/>
      <c r="L326" s="226" t="s">
        <v>5724</v>
      </c>
      <c r="M326"/>
    </row>
    <row r="327" spans="1:13" s="168" customFormat="1" ht="15">
      <c r="A327" s="676">
        <v>45138</v>
      </c>
      <c r="B327" s="676" t="s">
        <v>2644</v>
      </c>
      <c r="C327" s="676" t="s">
        <v>4394</v>
      </c>
      <c r="D327" s="677" t="s">
        <v>5712</v>
      </c>
      <c r="E327" s="1752">
        <v>-239.38</v>
      </c>
      <c r="F327" s="649">
        <v>0</v>
      </c>
      <c r="G327" s="611">
        <v>-239.39</v>
      </c>
      <c r="H327" s="1757"/>
      <c r="I327" s="1998"/>
      <c r="J327" s="1919"/>
      <c r="K327" s="1962"/>
      <c r="L327" s="226"/>
      <c r="M327"/>
    </row>
    <row r="328" spans="1:13" s="168" customFormat="1" ht="15">
      <c r="A328" s="676">
        <v>45139</v>
      </c>
      <c r="B328" s="676" t="s">
        <v>2644</v>
      </c>
      <c r="C328" s="676" t="s">
        <v>4394</v>
      </c>
      <c r="D328" s="677" t="s">
        <v>5713</v>
      </c>
      <c r="E328" s="1752">
        <v>-38.96</v>
      </c>
      <c r="F328" s="649">
        <v>0</v>
      </c>
      <c r="G328" s="611">
        <v>-38.96</v>
      </c>
      <c r="H328" s="1757"/>
      <c r="I328" s="1998"/>
      <c r="J328" s="1919"/>
      <c r="K328" s="1962"/>
      <c r="L328" s="226"/>
      <c r="M328"/>
    </row>
    <row r="329" spans="1:13" s="168" customFormat="1" ht="15">
      <c r="A329" s="676">
        <v>45139</v>
      </c>
      <c r="B329" s="676" t="s">
        <v>2644</v>
      </c>
      <c r="C329" s="676" t="s">
        <v>4394</v>
      </c>
      <c r="D329" s="677" t="s">
        <v>5714</v>
      </c>
      <c r="E329" s="1752">
        <v>-18.48</v>
      </c>
      <c r="F329" s="649">
        <v>0</v>
      </c>
      <c r="G329" s="611">
        <v>-18.48</v>
      </c>
      <c r="H329" s="1757"/>
      <c r="I329" s="1998"/>
      <c r="J329" s="1919"/>
      <c r="K329" s="1962"/>
      <c r="L329" s="226"/>
      <c r="M329"/>
    </row>
    <row r="330" spans="1:13" s="168" customFormat="1" ht="15">
      <c r="A330" s="676">
        <v>45139</v>
      </c>
      <c r="B330" s="676" t="s">
        <v>2644</v>
      </c>
      <c r="C330" s="676" t="s">
        <v>4394</v>
      </c>
      <c r="D330" s="677" t="s">
        <v>5715</v>
      </c>
      <c r="E330" s="1752">
        <v>-50.05</v>
      </c>
      <c r="F330" s="649">
        <v>0</v>
      </c>
      <c r="G330" s="611">
        <v>-50.05</v>
      </c>
      <c r="H330" s="1757"/>
      <c r="I330" s="1998"/>
      <c r="J330" s="1919"/>
      <c r="K330" s="1962"/>
      <c r="L330" s="226"/>
      <c r="M330"/>
    </row>
    <row r="331" spans="1:13" s="168" customFormat="1" ht="15">
      <c r="A331" s="676">
        <v>45139</v>
      </c>
      <c r="B331" s="676" t="s">
        <v>2644</v>
      </c>
      <c r="C331" s="676" t="s">
        <v>4394</v>
      </c>
      <c r="D331" s="677" t="s">
        <v>5716</v>
      </c>
      <c r="E331" s="1752">
        <v>-98.67</v>
      </c>
      <c r="F331" s="649">
        <v>0</v>
      </c>
      <c r="G331" s="611">
        <v>-98.67</v>
      </c>
      <c r="H331" s="1757"/>
      <c r="I331" s="1998"/>
      <c r="J331" s="1919"/>
      <c r="K331" s="1962"/>
      <c r="L331" s="226"/>
      <c r="M331"/>
    </row>
    <row r="332" spans="1:13" s="168" customFormat="1" ht="15">
      <c r="A332" s="676">
        <v>45139</v>
      </c>
      <c r="B332" s="676" t="s">
        <v>2644</v>
      </c>
      <c r="C332" s="676" t="s">
        <v>4394</v>
      </c>
      <c r="D332" s="677" t="s">
        <v>5717</v>
      </c>
      <c r="E332" s="1752">
        <v>-55.65</v>
      </c>
      <c r="F332" s="649">
        <v>0</v>
      </c>
      <c r="G332" s="611">
        <v>-55.65</v>
      </c>
      <c r="H332" s="1757"/>
      <c r="I332" s="1998"/>
      <c r="J332" s="1919"/>
      <c r="K332" s="1962"/>
      <c r="L332" s="226"/>
      <c r="M332"/>
    </row>
    <row r="333" spans="1:13" s="168" customFormat="1" ht="15">
      <c r="A333" s="676">
        <v>45139</v>
      </c>
      <c r="B333" s="676" t="s">
        <v>2644</v>
      </c>
      <c r="C333" s="676" t="s">
        <v>4394</v>
      </c>
      <c r="D333" s="677" t="s">
        <v>5718</v>
      </c>
      <c r="E333" s="1752">
        <v>-79.91</v>
      </c>
      <c r="F333" s="649">
        <v>0</v>
      </c>
      <c r="G333" s="611">
        <v>-79.91</v>
      </c>
      <c r="H333" s="1757"/>
      <c r="I333" s="1998"/>
      <c r="J333" s="1919"/>
      <c r="K333" s="1962"/>
      <c r="L333" s="226"/>
      <c r="M333"/>
    </row>
    <row r="334" spans="1:13" s="168" customFormat="1" ht="15">
      <c r="A334" s="676">
        <v>45139</v>
      </c>
      <c r="B334" s="676" t="s">
        <v>2644</v>
      </c>
      <c r="C334" s="676" t="s">
        <v>4394</v>
      </c>
      <c r="D334" s="677" t="s">
        <v>5719</v>
      </c>
      <c r="E334" s="1752">
        <v>-50.26</v>
      </c>
      <c r="F334" s="649">
        <v>0</v>
      </c>
      <c r="G334" s="611">
        <v>-50.26</v>
      </c>
      <c r="H334" s="1757"/>
      <c r="I334" s="1998"/>
      <c r="J334" s="1919"/>
      <c r="K334" s="1962"/>
      <c r="L334" s="226"/>
      <c r="M334"/>
    </row>
    <row r="335" spans="1:13" s="168" customFormat="1" ht="15">
      <c r="A335" s="676">
        <v>45140</v>
      </c>
      <c r="B335" s="676" t="s">
        <v>2644</v>
      </c>
      <c r="C335" s="676" t="s">
        <v>4394</v>
      </c>
      <c r="D335" s="677" t="s">
        <v>5721</v>
      </c>
      <c r="E335" s="1752">
        <v>211.68</v>
      </c>
      <c r="F335" s="649">
        <v>0</v>
      </c>
      <c r="G335" s="611">
        <v>211.68</v>
      </c>
      <c r="H335" s="1757">
        <v>45200</v>
      </c>
      <c r="I335" s="1998"/>
      <c r="J335" s="1919"/>
      <c r="K335" s="1962"/>
      <c r="L335" s="226"/>
      <c r="M335"/>
    </row>
    <row r="336" spans="1:13" s="168" customFormat="1" ht="15">
      <c r="A336" s="676">
        <v>45140</v>
      </c>
      <c r="B336" s="676" t="s">
        <v>2644</v>
      </c>
      <c r="C336" s="676" t="s">
        <v>4394</v>
      </c>
      <c r="D336" s="677" t="s">
        <v>5722</v>
      </c>
      <c r="E336" s="1752">
        <v>91.98</v>
      </c>
      <c r="F336" s="649">
        <v>0</v>
      </c>
      <c r="G336" s="611">
        <v>91.98</v>
      </c>
      <c r="H336" s="1757">
        <v>45200</v>
      </c>
      <c r="I336" s="1998"/>
      <c r="J336" s="1919"/>
      <c r="K336" s="1962"/>
      <c r="L336" s="226"/>
      <c r="M336"/>
    </row>
    <row r="337" spans="1:13" s="168" customFormat="1" ht="15">
      <c r="A337" s="676">
        <v>45142</v>
      </c>
      <c r="B337" s="676" t="s">
        <v>2644</v>
      </c>
      <c r="C337" s="676" t="s">
        <v>4394</v>
      </c>
      <c r="D337" s="677" t="s">
        <v>5723</v>
      </c>
      <c r="E337" s="1752">
        <v>168</v>
      </c>
      <c r="F337" s="649">
        <v>0</v>
      </c>
      <c r="G337" s="611">
        <v>168</v>
      </c>
      <c r="H337" s="1757">
        <v>45202</v>
      </c>
      <c r="I337" s="1998"/>
      <c r="J337" s="1919"/>
      <c r="K337" s="1962"/>
      <c r="L337" s="226"/>
      <c r="M337"/>
    </row>
    <row r="338" spans="1:13" s="168" customFormat="1" ht="15">
      <c r="A338" s="676">
        <v>45148</v>
      </c>
      <c r="B338" s="676" t="s">
        <v>2644</v>
      </c>
      <c r="C338" s="676" t="s">
        <v>4394</v>
      </c>
      <c r="D338" s="677" t="s">
        <v>5856</v>
      </c>
      <c r="E338" s="1792">
        <v>25.2</v>
      </c>
      <c r="F338" s="649">
        <v>0</v>
      </c>
      <c r="G338" s="611">
        <v>25.2</v>
      </c>
      <c r="H338" s="1757">
        <v>45208</v>
      </c>
      <c r="I338" s="1998"/>
      <c r="J338" s="1919"/>
      <c r="K338" s="1962"/>
      <c r="L338" s="226"/>
      <c r="M338"/>
    </row>
    <row r="339" spans="1:13" s="168" customFormat="1" ht="15">
      <c r="A339" s="676">
        <v>45149</v>
      </c>
      <c r="B339" s="676" t="s">
        <v>2644</v>
      </c>
      <c r="C339" s="676" t="s">
        <v>4394</v>
      </c>
      <c r="D339" s="677" t="s">
        <v>5857</v>
      </c>
      <c r="E339" s="1792">
        <v>173.88</v>
      </c>
      <c r="F339" s="649">
        <v>0</v>
      </c>
      <c r="G339" s="611">
        <v>173.88</v>
      </c>
      <c r="H339" s="1757">
        <v>45209</v>
      </c>
      <c r="I339" s="1998"/>
      <c r="J339" s="1919"/>
      <c r="K339" s="1962"/>
      <c r="L339" s="226"/>
      <c r="M339"/>
    </row>
    <row r="340" spans="1:13" s="168" customFormat="1" ht="15">
      <c r="A340" s="676">
        <v>45149</v>
      </c>
      <c r="B340" s="676" t="s">
        <v>2644</v>
      </c>
      <c r="C340" s="676" t="s">
        <v>4394</v>
      </c>
      <c r="D340" s="677" t="s">
        <v>5858</v>
      </c>
      <c r="E340" s="1792">
        <v>4401.95</v>
      </c>
      <c r="F340" s="649">
        <v>0</v>
      </c>
      <c r="G340" s="611">
        <v>4401.95</v>
      </c>
      <c r="H340" s="1757">
        <v>45209</v>
      </c>
      <c r="I340" s="1998"/>
      <c r="J340" s="1919"/>
      <c r="K340" s="1962"/>
      <c r="L340" s="226"/>
      <c r="M340"/>
    </row>
    <row r="341" spans="1:13" s="168" customFormat="1" ht="15">
      <c r="A341" s="1983">
        <v>45140</v>
      </c>
      <c r="B341" s="1983" t="s">
        <v>2644</v>
      </c>
      <c r="C341" s="1983" t="s">
        <v>4394</v>
      </c>
      <c r="D341" s="1988" t="s">
        <v>5720</v>
      </c>
      <c r="E341" s="1923">
        <v>2130.14</v>
      </c>
      <c r="F341" s="1927">
        <v>0</v>
      </c>
      <c r="G341" s="611">
        <v>1771.19</v>
      </c>
      <c r="H341" s="1793">
        <v>45200</v>
      </c>
      <c r="I341" s="1999"/>
      <c r="J341" s="1920"/>
      <c r="K341" s="1957"/>
      <c r="L341" s="226"/>
      <c r="M341"/>
    </row>
    <row r="342" spans="1:13" s="168" customFormat="1" ht="15">
      <c r="A342" s="1985"/>
      <c r="B342" s="1985"/>
      <c r="C342" s="1985"/>
      <c r="D342" s="1990"/>
      <c r="E342" s="1924"/>
      <c r="F342" s="1928"/>
      <c r="G342" s="611">
        <f>2130.14-1771.19</f>
        <v>358.94999999999982</v>
      </c>
      <c r="H342" s="1793">
        <v>45200</v>
      </c>
      <c r="I342" s="1997">
        <v>4896.59</v>
      </c>
      <c r="J342" s="1918">
        <v>45215</v>
      </c>
      <c r="K342" s="1968" t="s">
        <v>6387</v>
      </c>
      <c r="L342" s="226"/>
      <c r="M342"/>
    </row>
    <row r="343" spans="1:13" s="168" customFormat="1" ht="15">
      <c r="A343" s="676">
        <v>45156</v>
      </c>
      <c r="B343" s="676" t="s">
        <v>2644</v>
      </c>
      <c r="C343" s="676" t="s">
        <v>4394</v>
      </c>
      <c r="D343" s="677" t="s">
        <v>5884</v>
      </c>
      <c r="E343" s="1792">
        <v>525</v>
      </c>
      <c r="F343" s="649">
        <v>0</v>
      </c>
      <c r="G343" s="611">
        <v>525</v>
      </c>
      <c r="H343" s="1793">
        <v>45216</v>
      </c>
      <c r="I343" s="1998"/>
      <c r="J343" s="1919"/>
      <c r="K343" s="1962"/>
      <c r="L343" s="226"/>
      <c r="M343"/>
    </row>
    <row r="344" spans="1:13" s="168" customFormat="1" ht="15">
      <c r="A344" s="676">
        <v>45159</v>
      </c>
      <c r="B344" s="676" t="s">
        <v>2644</v>
      </c>
      <c r="C344" s="676" t="s">
        <v>4394</v>
      </c>
      <c r="D344" s="677" t="s">
        <v>5902</v>
      </c>
      <c r="E344" s="1792">
        <v>-46.59</v>
      </c>
      <c r="F344" s="649">
        <v>0</v>
      </c>
      <c r="G344" s="611">
        <v>-46.59</v>
      </c>
      <c r="H344" s="1793"/>
      <c r="I344" s="1998"/>
      <c r="J344" s="1919"/>
      <c r="K344" s="1962"/>
      <c r="L344" s="226"/>
      <c r="M344"/>
    </row>
    <row r="345" spans="1:13" s="168" customFormat="1" ht="15">
      <c r="A345" s="676">
        <v>45160</v>
      </c>
      <c r="B345" s="676" t="s">
        <v>2644</v>
      </c>
      <c r="C345" s="676" t="s">
        <v>4394</v>
      </c>
      <c r="D345" s="677" t="s">
        <v>5903</v>
      </c>
      <c r="E345" s="1792">
        <v>-214.34</v>
      </c>
      <c r="F345" s="649">
        <v>0</v>
      </c>
      <c r="G345" s="611">
        <v>-214.34</v>
      </c>
      <c r="H345" s="1793"/>
      <c r="I345" s="1998"/>
      <c r="J345" s="1919"/>
      <c r="K345" s="1962"/>
      <c r="L345" s="226"/>
      <c r="M345"/>
    </row>
    <row r="346" spans="1:13" s="168" customFormat="1" ht="15">
      <c r="A346" s="676">
        <v>45160</v>
      </c>
      <c r="B346" s="676" t="s">
        <v>2644</v>
      </c>
      <c r="C346" s="676" t="s">
        <v>4394</v>
      </c>
      <c r="D346" s="677" t="s">
        <v>5904</v>
      </c>
      <c r="E346" s="1792">
        <v>1535.7</v>
      </c>
      <c r="F346" s="649">
        <v>0</v>
      </c>
      <c r="G346" s="611">
        <v>1535.7</v>
      </c>
      <c r="H346" s="1793">
        <v>45220</v>
      </c>
      <c r="I346" s="1998"/>
      <c r="J346" s="1919"/>
      <c r="K346" s="1962"/>
      <c r="L346" s="226"/>
      <c r="M346"/>
    </row>
    <row r="347" spans="1:13" s="168" customFormat="1" ht="15">
      <c r="A347" s="676">
        <v>45173</v>
      </c>
      <c r="B347" s="676" t="s">
        <v>2644</v>
      </c>
      <c r="C347" s="676" t="s">
        <v>4394</v>
      </c>
      <c r="D347" s="677" t="s">
        <v>5978</v>
      </c>
      <c r="E347" s="1792">
        <v>277.2</v>
      </c>
      <c r="F347" s="649">
        <v>0</v>
      </c>
      <c r="G347" s="611">
        <v>277.2</v>
      </c>
      <c r="H347" s="1793">
        <v>45232</v>
      </c>
      <c r="I347" s="1998"/>
      <c r="J347" s="1919"/>
      <c r="K347" s="1962"/>
      <c r="L347" s="226"/>
      <c r="M347"/>
    </row>
    <row r="348" spans="1:13" s="168" customFormat="1" ht="15">
      <c r="A348" s="676">
        <v>45174</v>
      </c>
      <c r="B348" s="676" t="s">
        <v>2644</v>
      </c>
      <c r="C348" s="676" t="s">
        <v>4394</v>
      </c>
      <c r="D348" s="677" t="s">
        <v>5979</v>
      </c>
      <c r="E348" s="1792">
        <v>-326.02999999999997</v>
      </c>
      <c r="F348" s="649">
        <v>0</v>
      </c>
      <c r="G348" s="611">
        <v>-326.02999999999997</v>
      </c>
      <c r="H348" s="1793"/>
      <c r="I348" s="1998"/>
      <c r="J348" s="1919"/>
      <c r="K348" s="1962"/>
      <c r="L348" s="226"/>
      <c r="M348"/>
    </row>
    <row r="349" spans="1:13" s="168" customFormat="1" ht="15">
      <c r="A349" s="676">
        <v>45175</v>
      </c>
      <c r="B349" s="676" t="s">
        <v>2644</v>
      </c>
      <c r="C349" s="676" t="s">
        <v>4394</v>
      </c>
      <c r="D349" s="677" t="s">
        <v>5980</v>
      </c>
      <c r="E349" s="1792">
        <v>-104</v>
      </c>
      <c r="F349" s="649">
        <v>0</v>
      </c>
      <c r="G349" s="611">
        <v>-104</v>
      </c>
      <c r="H349" s="1793"/>
      <c r="I349" s="1998"/>
      <c r="J349" s="1919"/>
      <c r="K349" s="1962"/>
      <c r="L349" s="226"/>
      <c r="M349"/>
    </row>
    <row r="350" spans="1:13" s="168" customFormat="1" ht="15">
      <c r="A350" s="676">
        <v>45175</v>
      </c>
      <c r="B350" s="676" t="s">
        <v>2644</v>
      </c>
      <c r="C350" s="676" t="s">
        <v>4394</v>
      </c>
      <c r="D350" s="677" t="s">
        <v>5981</v>
      </c>
      <c r="E350" s="1792">
        <v>-10.64</v>
      </c>
      <c r="F350" s="649">
        <v>0</v>
      </c>
      <c r="G350" s="611">
        <v>-10.64</v>
      </c>
      <c r="H350" s="1793"/>
      <c r="I350" s="1998"/>
      <c r="J350" s="1919"/>
      <c r="K350" s="1962"/>
      <c r="L350" s="226"/>
      <c r="M350"/>
    </row>
    <row r="351" spans="1:13" s="168" customFormat="1" ht="15">
      <c r="A351" s="676">
        <v>45175</v>
      </c>
      <c r="B351" s="676" t="s">
        <v>2644</v>
      </c>
      <c r="C351" s="676" t="s">
        <v>4394</v>
      </c>
      <c r="D351" s="677" t="s">
        <v>5982</v>
      </c>
      <c r="E351" s="1792">
        <v>-23.94</v>
      </c>
      <c r="F351" s="649">
        <v>0</v>
      </c>
      <c r="G351" s="611">
        <v>-23.94</v>
      </c>
      <c r="H351" s="1793"/>
      <c r="I351" s="1998"/>
      <c r="J351" s="1919"/>
      <c r="K351" s="1962"/>
      <c r="L351" s="226"/>
      <c r="M351"/>
    </row>
    <row r="352" spans="1:13" s="168" customFormat="1" ht="15">
      <c r="A352" s="676">
        <v>45177</v>
      </c>
      <c r="B352" s="676" t="s">
        <v>2644</v>
      </c>
      <c r="C352" s="676" t="s">
        <v>4394</v>
      </c>
      <c r="D352" s="677" t="s">
        <v>5983</v>
      </c>
      <c r="E352" s="1792">
        <v>-11.34</v>
      </c>
      <c r="F352" s="649">
        <v>0</v>
      </c>
      <c r="G352" s="611">
        <v>-11.34</v>
      </c>
      <c r="H352" s="1793"/>
      <c r="I352" s="1998"/>
      <c r="J352" s="1919"/>
      <c r="K352" s="1962"/>
      <c r="L352" s="226"/>
      <c r="M352"/>
    </row>
    <row r="353" spans="1:13" s="168" customFormat="1" ht="15">
      <c r="A353" s="676">
        <v>45177</v>
      </c>
      <c r="B353" s="676" t="s">
        <v>2644</v>
      </c>
      <c r="C353" s="676" t="s">
        <v>4394</v>
      </c>
      <c r="D353" s="677" t="s">
        <v>5984</v>
      </c>
      <c r="E353" s="1792">
        <v>-52.01</v>
      </c>
      <c r="F353" s="649">
        <v>0</v>
      </c>
      <c r="G353" s="611">
        <v>-52.01</v>
      </c>
      <c r="H353" s="1793"/>
      <c r="I353" s="1998"/>
      <c r="J353" s="1919"/>
      <c r="K353" s="1962"/>
      <c r="L353" s="226"/>
      <c r="M353"/>
    </row>
    <row r="354" spans="1:13" s="168" customFormat="1" ht="15">
      <c r="A354" s="676">
        <v>45177</v>
      </c>
      <c r="B354" s="676" t="s">
        <v>2644</v>
      </c>
      <c r="C354" s="676" t="s">
        <v>4394</v>
      </c>
      <c r="D354" s="677" t="s">
        <v>5985</v>
      </c>
      <c r="E354" s="1792">
        <v>-132.69</v>
      </c>
      <c r="F354" s="649">
        <v>0</v>
      </c>
      <c r="G354" s="611">
        <v>-132.69</v>
      </c>
      <c r="H354" s="1793"/>
      <c r="I354" s="1998"/>
      <c r="J354" s="1919"/>
      <c r="K354" s="1962"/>
      <c r="L354" s="226"/>
      <c r="M354"/>
    </row>
    <row r="355" spans="1:13" s="168" customFormat="1" ht="15">
      <c r="A355" s="676">
        <v>45177</v>
      </c>
      <c r="B355" s="676" t="s">
        <v>2644</v>
      </c>
      <c r="C355" s="676" t="s">
        <v>4394</v>
      </c>
      <c r="D355" s="677" t="s">
        <v>5986</v>
      </c>
      <c r="E355" s="1792">
        <v>-28.99</v>
      </c>
      <c r="F355" s="649">
        <v>0</v>
      </c>
      <c r="G355" s="611">
        <v>-28.99</v>
      </c>
      <c r="H355" s="1793"/>
      <c r="I355" s="1998"/>
      <c r="J355" s="1919"/>
      <c r="K355" s="1962"/>
      <c r="L355" s="226"/>
      <c r="M355"/>
    </row>
    <row r="356" spans="1:13" s="168" customFormat="1" ht="15">
      <c r="A356" s="676">
        <v>45177</v>
      </c>
      <c r="B356" s="676" t="s">
        <v>2644</v>
      </c>
      <c r="C356" s="676" t="s">
        <v>4394</v>
      </c>
      <c r="D356" s="677" t="s">
        <v>5987</v>
      </c>
      <c r="E356" s="1792">
        <v>-179.79</v>
      </c>
      <c r="F356" s="649">
        <v>0</v>
      </c>
      <c r="G356" s="611">
        <v>-179.79</v>
      </c>
      <c r="H356" s="1793"/>
      <c r="I356" s="1998"/>
      <c r="J356" s="1919"/>
      <c r="K356" s="1962"/>
      <c r="L356" s="226"/>
      <c r="M356"/>
    </row>
    <row r="357" spans="1:13" s="168" customFormat="1" ht="15">
      <c r="A357" s="676">
        <v>45177</v>
      </c>
      <c r="B357" s="676" t="s">
        <v>2644</v>
      </c>
      <c r="C357" s="676" t="s">
        <v>4394</v>
      </c>
      <c r="D357" s="677" t="s">
        <v>5988</v>
      </c>
      <c r="E357" s="1792">
        <v>-94.75</v>
      </c>
      <c r="F357" s="649">
        <v>0</v>
      </c>
      <c r="G357" s="611">
        <v>-94.75</v>
      </c>
      <c r="H357" s="1793"/>
      <c r="I357" s="1998"/>
      <c r="J357" s="1919"/>
      <c r="K357" s="1962"/>
      <c r="L357" s="226"/>
      <c r="M357"/>
    </row>
    <row r="358" spans="1:13" s="168" customFormat="1" ht="15">
      <c r="A358" s="676">
        <v>45177</v>
      </c>
      <c r="B358" s="676" t="s">
        <v>2644</v>
      </c>
      <c r="C358" s="676" t="s">
        <v>4394</v>
      </c>
      <c r="D358" s="677" t="s">
        <v>5989</v>
      </c>
      <c r="E358" s="1792">
        <v>-71.680000000000007</v>
      </c>
      <c r="F358" s="649">
        <v>0</v>
      </c>
      <c r="G358" s="611">
        <v>-71.680000000000007</v>
      </c>
      <c r="H358" s="1793"/>
      <c r="I358" s="1998"/>
      <c r="J358" s="1919"/>
      <c r="K358" s="1962"/>
      <c r="L358" s="226"/>
      <c r="M358"/>
    </row>
    <row r="359" spans="1:13" s="168" customFormat="1" ht="15">
      <c r="A359" s="676">
        <v>45180</v>
      </c>
      <c r="B359" s="676" t="s">
        <v>2644</v>
      </c>
      <c r="C359" s="676" t="s">
        <v>4394</v>
      </c>
      <c r="D359" s="677" t="s">
        <v>6025</v>
      </c>
      <c r="E359" s="1792">
        <v>1785.63</v>
      </c>
      <c r="F359" s="649">
        <v>0</v>
      </c>
      <c r="G359" s="611">
        <v>1785.63</v>
      </c>
      <c r="H359" s="1793">
        <v>45239.000497685185</v>
      </c>
      <c r="I359" s="1998"/>
      <c r="J359" s="1919"/>
      <c r="K359" s="1962"/>
      <c r="L359" s="226"/>
      <c r="M359"/>
    </row>
    <row r="360" spans="1:13" s="168" customFormat="1" ht="15">
      <c r="A360" s="676">
        <v>45182</v>
      </c>
      <c r="B360" s="676" t="s">
        <v>2644</v>
      </c>
      <c r="C360" s="676" t="s">
        <v>4394</v>
      </c>
      <c r="D360" s="677" t="s">
        <v>6027</v>
      </c>
      <c r="E360" s="1792">
        <v>1634.08</v>
      </c>
      <c r="F360" s="649">
        <v>0</v>
      </c>
      <c r="G360" s="611">
        <v>1634.08</v>
      </c>
      <c r="H360" s="1793">
        <v>45241.000497685185</v>
      </c>
      <c r="I360" s="1998"/>
      <c r="J360" s="1919"/>
      <c r="K360" s="1962"/>
      <c r="L360" s="226"/>
      <c r="M360"/>
    </row>
    <row r="361" spans="1:13" s="168" customFormat="1" ht="15">
      <c r="A361" s="2032">
        <v>45182</v>
      </c>
      <c r="B361" s="2032" t="s">
        <v>2644</v>
      </c>
      <c r="C361" s="2032" t="s">
        <v>4394</v>
      </c>
      <c r="D361" s="2034" t="s">
        <v>6026</v>
      </c>
      <c r="E361" s="1945">
        <v>346.5</v>
      </c>
      <c r="F361" s="1969">
        <v>0</v>
      </c>
      <c r="G361" s="611">
        <v>76.819999999999993</v>
      </c>
      <c r="H361" s="1793">
        <v>45241.000497685185</v>
      </c>
      <c r="I361" s="1999"/>
      <c r="J361" s="1920"/>
      <c r="K361" s="1957"/>
      <c r="L361" s="226"/>
      <c r="M361"/>
    </row>
    <row r="362" spans="1:13" s="168" customFormat="1" ht="15">
      <c r="A362" s="2033"/>
      <c r="B362" s="2033"/>
      <c r="C362" s="2033"/>
      <c r="D362" s="2035"/>
      <c r="E362" s="1946"/>
      <c r="F362" s="1971"/>
      <c r="G362" s="605">
        <f>346.5-76.82</f>
        <v>269.68</v>
      </c>
      <c r="H362" s="679">
        <v>45241.000497685185</v>
      </c>
      <c r="I362" s="1782"/>
      <c r="J362" s="1780"/>
      <c r="K362" s="1778"/>
      <c r="L362" s="226"/>
      <c r="M362"/>
    </row>
    <row r="363" spans="1:13" s="168" customFormat="1" ht="15">
      <c r="A363" s="681">
        <v>45182</v>
      </c>
      <c r="B363" s="681" t="s">
        <v>2644</v>
      </c>
      <c r="C363" s="681" t="s">
        <v>4394</v>
      </c>
      <c r="D363" s="682" t="s">
        <v>6028</v>
      </c>
      <c r="E363" s="603">
        <v>1587.5</v>
      </c>
      <c r="F363" s="644">
        <v>0</v>
      </c>
      <c r="G363" s="605">
        <v>1587.5</v>
      </c>
      <c r="H363" s="679">
        <v>45241.000497685185</v>
      </c>
      <c r="I363" s="1735"/>
      <c r="J363" s="1674"/>
      <c r="K363" s="1667"/>
      <c r="L363" s="226"/>
      <c r="M363"/>
    </row>
    <row r="364" spans="1:13" s="168" customFormat="1" ht="15">
      <c r="A364" s="681">
        <v>45188</v>
      </c>
      <c r="B364" s="681" t="s">
        <v>2644</v>
      </c>
      <c r="C364" s="681" t="s">
        <v>4394</v>
      </c>
      <c r="D364" s="682" t="s">
        <v>6077</v>
      </c>
      <c r="E364" s="603">
        <v>-358.42</v>
      </c>
      <c r="F364" s="644">
        <v>0</v>
      </c>
      <c r="G364" s="605">
        <v>-358.42</v>
      </c>
      <c r="H364" s="679"/>
      <c r="I364" s="1735"/>
      <c r="J364" s="1674"/>
      <c r="K364" s="1667"/>
      <c r="L364" s="226"/>
      <c r="M364"/>
    </row>
    <row r="365" spans="1:13" s="168" customFormat="1" ht="15">
      <c r="A365" s="681">
        <v>45188</v>
      </c>
      <c r="B365" s="681" t="s">
        <v>2644</v>
      </c>
      <c r="C365" s="681" t="s">
        <v>4394</v>
      </c>
      <c r="D365" s="682" t="s">
        <v>6078</v>
      </c>
      <c r="E365" s="603">
        <v>-174.09</v>
      </c>
      <c r="F365" s="644">
        <v>0</v>
      </c>
      <c r="G365" s="605">
        <v>-174.09</v>
      </c>
      <c r="H365" s="679"/>
      <c r="I365" s="1735"/>
      <c r="J365" s="1674"/>
      <c r="K365" s="1667"/>
      <c r="L365" s="226"/>
      <c r="M365"/>
    </row>
    <row r="366" spans="1:13" s="168" customFormat="1" ht="15">
      <c r="A366" s="681">
        <v>45194</v>
      </c>
      <c r="B366" s="681" t="s">
        <v>2644</v>
      </c>
      <c r="C366" s="681" t="s">
        <v>4394</v>
      </c>
      <c r="D366" s="682" t="s">
        <v>6148</v>
      </c>
      <c r="E366" s="603">
        <v>-278.25</v>
      </c>
      <c r="F366" s="644">
        <v>0</v>
      </c>
      <c r="G366" s="605">
        <v>-278.25</v>
      </c>
      <c r="H366" s="679"/>
      <c r="I366" s="1735"/>
      <c r="J366" s="1674"/>
      <c r="K366" s="1667"/>
      <c r="L366" s="226"/>
      <c r="M366"/>
    </row>
    <row r="367" spans="1:13" s="168" customFormat="1" ht="15">
      <c r="A367" s="681">
        <v>45194</v>
      </c>
      <c r="B367" s="681" t="s">
        <v>2644</v>
      </c>
      <c r="C367" s="681" t="s">
        <v>4394</v>
      </c>
      <c r="D367" s="682" t="s">
        <v>6149</v>
      </c>
      <c r="E367" s="603">
        <v>3102.75</v>
      </c>
      <c r="F367" s="644">
        <v>0</v>
      </c>
      <c r="G367" s="605">
        <v>3102.75</v>
      </c>
      <c r="H367" s="679">
        <v>45253</v>
      </c>
      <c r="I367" s="1735"/>
      <c r="J367" s="1674"/>
      <c r="K367" s="1667"/>
      <c r="L367" s="226"/>
      <c r="M367"/>
    </row>
    <row r="368" spans="1:13" s="168" customFormat="1" ht="15">
      <c r="A368" s="681">
        <v>45195</v>
      </c>
      <c r="B368" s="681" t="s">
        <v>2644</v>
      </c>
      <c r="C368" s="681" t="s">
        <v>4394</v>
      </c>
      <c r="D368" s="682" t="s">
        <v>6150</v>
      </c>
      <c r="E368" s="603">
        <v>-943.25</v>
      </c>
      <c r="F368" s="644">
        <v>0</v>
      </c>
      <c r="G368" s="605">
        <v>-943.25</v>
      </c>
      <c r="H368" s="679"/>
      <c r="I368" s="1735"/>
      <c r="J368" s="1674"/>
      <c r="K368" s="1667"/>
      <c r="L368" s="226"/>
      <c r="M368"/>
    </row>
    <row r="369" spans="1:13" s="168" customFormat="1" ht="15">
      <c r="A369" s="681">
        <v>45203</v>
      </c>
      <c r="B369" s="681" t="s">
        <v>2644</v>
      </c>
      <c r="C369" s="681" t="s">
        <v>4394</v>
      </c>
      <c r="D369" s="682" t="s">
        <v>6151</v>
      </c>
      <c r="E369" s="603">
        <v>-77.180000000000007</v>
      </c>
      <c r="F369" s="644">
        <v>0</v>
      </c>
      <c r="G369" s="605">
        <v>-77.180000000000007</v>
      </c>
      <c r="H369" s="679"/>
      <c r="I369" s="1735"/>
      <c r="J369" s="1674"/>
      <c r="K369" s="1667"/>
      <c r="L369" s="226"/>
      <c r="M369"/>
    </row>
    <row r="370" spans="1:13" s="168" customFormat="1" ht="15">
      <c r="A370" s="681">
        <v>45203</v>
      </c>
      <c r="B370" s="681" t="s">
        <v>2644</v>
      </c>
      <c r="C370" s="681" t="s">
        <v>4394</v>
      </c>
      <c r="D370" s="682" t="s">
        <v>6152</v>
      </c>
      <c r="E370" s="603">
        <v>-66.739999999999995</v>
      </c>
      <c r="F370" s="644">
        <v>0</v>
      </c>
      <c r="G370" s="605">
        <v>-66.75</v>
      </c>
      <c r="H370" s="679"/>
      <c r="I370" s="1735"/>
      <c r="J370" s="1674"/>
      <c r="K370" s="1667"/>
      <c r="L370" s="226"/>
      <c r="M370"/>
    </row>
    <row r="371" spans="1:13" s="168" customFormat="1" ht="15">
      <c r="A371" s="681">
        <v>45209</v>
      </c>
      <c r="B371" s="681" t="s">
        <v>2644</v>
      </c>
      <c r="C371" s="681" t="s">
        <v>4394</v>
      </c>
      <c r="D371" s="682" t="s">
        <v>6302</v>
      </c>
      <c r="E371" s="603">
        <v>60.48</v>
      </c>
      <c r="F371" s="644">
        <v>0</v>
      </c>
      <c r="G371" s="605">
        <v>60.48</v>
      </c>
      <c r="H371" s="679">
        <v>45268</v>
      </c>
      <c r="I371" s="1735"/>
      <c r="J371" s="1733"/>
      <c r="K371" s="1731"/>
      <c r="L371" s="226"/>
      <c r="M371"/>
    </row>
    <row r="372" spans="1:13" s="168" customFormat="1" ht="15">
      <c r="A372" s="681">
        <v>45209</v>
      </c>
      <c r="B372" s="681" t="s">
        <v>2644</v>
      </c>
      <c r="C372" s="681" t="s">
        <v>4394</v>
      </c>
      <c r="D372" s="682" t="s">
        <v>6303</v>
      </c>
      <c r="E372" s="603">
        <v>3559.26</v>
      </c>
      <c r="F372" s="644">
        <v>0</v>
      </c>
      <c r="G372" s="605">
        <v>3559.26</v>
      </c>
      <c r="H372" s="679">
        <v>45268</v>
      </c>
      <c r="I372" s="1735"/>
      <c r="J372" s="1733"/>
      <c r="K372" s="1731"/>
      <c r="L372" s="226"/>
      <c r="M372"/>
    </row>
    <row r="373" spans="1:13" s="168" customFormat="1" ht="15">
      <c r="A373" s="681">
        <v>45209</v>
      </c>
      <c r="B373" s="681" t="s">
        <v>2644</v>
      </c>
      <c r="C373" s="681" t="s">
        <v>4394</v>
      </c>
      <c r="D373" s="682" t="s">
        <v>6304</v>
      </c>
      <c r="E373" s="603">
        <v>4169.3</v>
      </c>
      <c r="F373" s="644">
        <v>0</v>
      </c>
      <c r="G373" s="605">
        <v>4169.3</v>
      </c>
      <c r="H373" s="679">
        <v>45268</v>
      </c>
      <c r="I373" s="1735"/>
      <c r="J373" s="1733"/>
      <c r="K373" s="1731"/>
      <c r="L373" s="226"/>
      <c r="M373"/>
    </row>
    <row r="374" spans="1:13" s="168" customFormat="1" ht="15">
      <c r="A374" s="681">
        <v>45215.333831018521</v>
      </c>
      <c r="B374" s="681" t="s">
        <v>2644</v>
      </c>
      <c r="C374" s="681" t="s">
        <v>4394</v>
      </c>
      <c r="D374" s="682" t="s">
        <v>6346</v>
      </c>
      <c r="E374" s="603">
        <v>4980.3999999999996</v>
      </c>
      <c r="F374" s="644">
        <v>0</v>
      </c>
      <c r="G374" s="605">
        <v>4980.3999999999996</v>
      </c>
      <c r="H374" s="679">
        <v>45274.333831018521</v>
      </c>
      <c r="I374" s="1782"/>
      <c r="J374" s="1780"/>
      <c r="K374" s="1778"/>
      <c r="L374" s="226"/>
      <c r="M374"/>
    </row>
    <row r="375" spans="1:13" s="168" customFormat="1" ht="15">
      <c r="A375" s="681">
        <v>45215.333831018521</v>
      </c>
      <c r="B375" s="681" t="s">
        <v>2644</v>
      </c>
      <c r="C375" s="681" t="s">
        <v>4394</v>
      </c>
      <c r="D375" s="682" t="s">
        <v>6347</v>
      </c>
      <c r="E375" s="603">
        <v>1910.4</v>
      </c>
      <c r="F375" s="644">
        <v>0</v>
      </c>
      <c r="G375" s="605">
        <v>1910.4</v>
      </c>
      <c r="H375" s="679">
        <v>45274.333831018521</v>
      </c>
      <c r="I375" s="1782"/>
      <c r="J375" s="1780"/>
      <c r="K375" s="1778"/>
      <c r="L375" s="226"/>
      <c r="M375"/>
    </row>
    <row r="376" spans="1:13" s="168" customFormat="1" ht="15">
      <c r="A376" s="681">
        <v>45215.333831018521</v>
      </c>
      <c r="B376" s="681" t="s">
        <v>2644</v>
      </c>
      <c r="C376" s="681" t="s">
        <v>4394</v>
      </c>
      <c r="D376" s="682" t="s">
        <v>6348</v>
      </c>
      <c r="E376" s="603">
        <v>2254</v>
      </c>
      <c r="F376" s="644">
        <v>0</v>
      </c>
      <c r="G376" s="605">
        <v>2254</v>
      </c>
      <c r="H376" s="679">
        <v>45274.333831018521</v>
      </c>
      <c r="I376" s="1782"/>
      <c r="J376" s="1780"/>
      <c r="K376" s="1778"/>
      <c r="L376" s="226"/>
      <c r="M376"/>
    </row>
    <row r="377" spans="1:13" s="168" customFormat="1" ht="15">
      <c r="A377" s="681">
        <v>45215.333831018521</v>
      </c>
      <c r="B377" s="681" t="s">
        <v>2644</v>
      </c>
      <c r="C377" s="681" t="s">
        <v>4394</v>
      </c>
      <c r="D377" s="682" t="s">
        <v>6349</v>
      </c>
      <c r="E377" s="603">
        <v>2598.88</v>
      </c>
      <c r="F377" s="644">
        <v>0</v>
      </c>
      <c r="G377" s="605">
        <v>2598.88</v>
      </c>
      <c r="H377" s="679">
        <v>45274.333831018521</v>
      </c>
      <c r="I377" s="1782"/>
      <c r="J377" s="1780"/>
      <c r="K377" s="1778"/>
      <c r="L377" s="226"/>
      <c r="M377"/>
    </row>
    <row r="378" spans="1:13" s="168" customFormat="1" ht="15">
      <c r="A378" s="681">
        <v>45215.333831018521</v>
      </c>
      <c r="B378" s="681" t="s">
        <v>2644</v>
      </c>
      <c r="C378" s="681" t="s">
        <v>4394</v>
      </c>
      <c r="D378" s="682" t="s">
        <v>6350</v>
      </c>
      <c r="E378" s="603">
        <v>1604.4</v>
      </c>
      <c r="F378" s="644">
        <v>0</v>
      </c>
      <c r="G378" s="605">
        <v>1604.4</v>
      </c>
      <c r="H378" s="679">
        <v>45274.333831018521</v>
      </c>
      <c r="I378" s="1782"/>
      <c r="J378" s="1780"/>
      <c r="K378" s="1778"/>
      <c r="L378" s="226"/>
      <c r="M378"/>
    </row>
    <row r="379" spans="1:13" s="168" customFormat="1" ht="15">
      <c r="A379" s="681">
        <v>45230</v>
      </c>
      <c r="B379" s="681" t="s">
        <v>2644</v>
      </c>
      <c r="C379" s="681" t="s">
        <v>4394</v>
      </c>
      <c r="D379" s="682" t="s">
        <v>6456</v>
      </c>
      <c r="E379" s="603">
        <v>5616.73</v>
      </c>
      <c r="F379" s="644">
        <v>0</v>
      </c>
      <c r="G379" s="605">
        <v>5616.73</v>
      </c>
      <c r="H379" s="679">
        <v>45290</v>
      </c>
      <c r="I379" s="1782"/>
      <c r="J379" s="1780"/>
      <c r="K379" s="1778"/>
      <c r="L379" s="226"/>
      <c r="M379"/>
    </row>
    <row r="380" spans="1:13" s="168" customFormat="1" ht="15">
      <c r="A380" s="681">
        <v>45243</v>
      </c>
      <c r="B380" s="681" t="s">
        <v>2644</v>
      </c>
      <c r="C380" s="681" t="s">
        <v>4394</v>
      </c>
      <c r="D380" s="682" t="s">
        <v>6548</v>
      </c>
      <c r="E380" s="603">
        <v>-200.45</v>
      </c>
      <c r="F380" s="644">
        <v>0</v>
      </c>
      <c r="G380" s="605">
        <v>-200.45</v>
      </c>
      <c r="H380" s="679"/>
      <c r="I380" s="1735"/>
      <c r="J380" s="1733"/>
      <c r="K380" s="1731"/>
      <c r="L380" s="226"/>
      <c r="M380"/>
    </row>
    <row r="381" spans="1:13" s="168" customFormat="1" ht="15">
      <c r="A381" s="681">
        <v>45243</v>
      </c>
      <c r="B381" s="681" t="s">
        <v>2644</v>
      </c>
      <c r="C381" s="681" t="s">
        <v>4394</v>
      </c>
      <c r="D381" s="682" t="s">
        <v>6549</v>
      </c>
      <c r="E381" s="603">
        <v>-637.49</v>
      </c>
      <c r="F381" s="644">
        <v>0</v>
      </c>
      <c r="G381" s="605">
        <v>-637.49</v>
      </c>
      <c r="H381" s="679"/>
      <c r="I381" s="1735"/>
      <c r="J381" s="1733"/>
      <c r="K381" s="1731"/>
      <c r="L381" s="226"/>
      <c r="M381"/>
    </row>
    <row r="382" spans="1:13" s="168" customFormat="1" ht="15">
      <c r="A382" s="681">
        <v>45243</v>
      </c>
      <c r="B382" s="681" t="s">
        <v>2644</v>
      </c>
      <c r="C382" s="681" t="s">
        <v>4394</v>
      </c>
      <c r="D382" s="682" t="s">
        <v>6550</v>
      </c>
      <c r="E382" s="603">
        <v>4782.4799999999996</v>
      </c>
      <c r="F382" s="644">
        <v>0</v>
      </c>
      <c r="G382" s="605">
        <v>4782.4799999999996</v>
      </c>
      <c r="H382" s="679">
        <v>45303</v>
      </c>
      <c r="I382" s="1735"/>
      <c r="J382" s="1733"/>
      <c r="K382" s="1731"/>
      <c r="L382" s="226"/>
      <c r="M382"/>
    </row>
    <row r="383" spans="1:13" s="168" customFormat="1" ht="15">
      <c r="A383" s="681">
        <v>45243</v>
      </c>
      <c r="B383" s="681" t="s">
        <v>2644</v>
      </c>
      <c r="C383" s="681" t="s">
        <v>4394</v>
      </c>
      <c r="D383" s="682" t="s">
        <v>6551</v>
      </c>
      <c r="E383" s="603">
        <v>-10.78</v>
      </c>
      <c r="F383" s="644">
        <v>0</v>
      </c>
      <c r="G383" s="605">
        <v>-10.78</v>
      </c>
      <c r="H383" s="679"/>
      <c r="I383" s="1676"/>
      <c r="J383" s="1674"/>
      <c r="K383" s="1667"/>
      <c r="L383" s="226"/>
      <c r="M383"/>
    </row>
    <row r="384" spans="1:13" s="168" customFormat="1" ht="15">
      <c r="A384" s="681">
        <v>45245</v>
      </c>
      <c r="B384" s="681" t="s">
        <v>2644</v>
      </c>
      <c r="C384" s="681" t="s">
        <v>4394</v>
      </c>
      <c r="D384" s="682" t="s">
        <v>6552</v>
      </c>
      <c r="E384" s="603">
        <v>207.38</v>
      </c>
      <c r="F384" s="644">
        <v>0</v>
      </c>
      <c r="G384" s="605">
        <v>207.38</v>
      </c>
      <c r="H384" s="679">
        <v>45305</v>
      </c>
      <c r="I384" s="1676"/>
      <c r="J384" s="1674"/>
      <c r="K384" s="1667"/>
      <c r="L384" s="226"/>
      <c r="M384"/>
    </row>
    <row r="385" spans="1:26" s="168" customFormat="1" ht="15">
      <c r="A385" s="681">
        <v>45245</v>
      </c>
      <c r="B385" s="681" t="s">
        <v>2644</v>
      </c>
      <c r="C385" s="681" t="s">
        <v>4394</v>
      </c>
      <c r="D385" s="682" t="s">
        <v>6553</v>
      </c>
      <c r="E385" s="603">
        <v>-248.43</v>
      </c>
      <c r="F385" s="644">
        <v>0</v>
      </c>
      <c r="G385" s="605">
        <v>-248.43</v>
      </c>
      <c r="H385" s="679"/>
      <c r="I385" s="1676"/>
      <c r="J385" s="1674"/>
      <c r="K385" s="1667"/>
      <c r="L385" s="226"/>
      <c r="M385"/>
    </row>
    <row r="386" spans="1:26" s="168" customFormat="1" ht="15">
      <c r="A386" s="681"/>
      <c r="B386" s="681"/>
      <c r="C386" s="681"/>
      <c r="D386" s="682"/>
      <c r="E386" s="603"/>
      <c r="F386" s="644"/>
      <c r="G386" s="605"/>
      <c r="H386" s="679"/>
      <c r="I386" s="1853"/>
      <c r="J386" s="1850"/>
      <c r="K386" s="1845"/>
      <c r="L386" s="226"/>
      <c r="M386"/>
    </row>
    <row r="387" spans="1:26" s="168" customFormat="1" ht="15">
      <c r="A387" s="681"/>
      <c r="B387" s="681"/>
      <c r="C387" s="681"/>
      <c r="D387" s="682"/>
      <c r="E387" s="603"/>
      <c r="F387" s="644"/>
      <c r="G387" s="605"/>
      <c r="H387" s="679"/>
      <c r="I387" s="1853"/>
      <c r="J387" s="1850"/>
      <c r="K387" s="1845"/>
      <c r="L387" s="226"/>
      <c r="M387"/>
    </row>
    <row r="388" spans="1:26" s="168" customFormat="1" ht="15">
      <c r="A388" s="681"/>
      <c r="B388" s="681"/>
      <c r="C388" s="681"/>
      <c r="D388" s="682"/>
      <c r="E388" s="603"/>
      <c r="F388" s="644"/>
      <c r="G388" s="605"/>
      <c r="H388" s="679"/>
      <c r="I388" s="1853"/>
      <c r="J388" s="1850"/>
      <c r="K388" s="1845"/>
      <c r="L388" s="226"/>
      <c r="M388"/>
    </row>
    <row r="389" spans="1:26" s="168" customFormat="1" ht="15">
      <c r="A389" s="681"/>
      <c r="B389" s="681"/>
      <c r="C389" s="681"/>
      <c r="D389" s="682"/>
      <c r="E389" s="603"/>
      <c r="F389" s="644"/>
      <c r="G389" s="605"/>
      <c r="H389" s="679"/>
      <c r="I389" s="1853"/>
      <c r="J389" s="1850"/>
      <c r="K389" s="1845"/>
      <c r="L389" s="226"/>
      <c r="M389"/>
    </row>
    <row r="390" spans="1:26" s="168" customFormat="1" ht="15">
      <c r="A390" s="681"/>
      <c r="B390" s="681"/>
      <c r="C390" s="681"/>
      <c r="D390" s="682"/>
      <c r="E390" s="603"/>
      <c r="F390" s="644"/>
      <c r="G390" s="605"/>
      <c r="H390" s="679"/>
      <c r="I390" s="1853"/>
      <c r="J390" s="1850"/>
      <c r="K390" s="1845"/>
      <c r="L390" s="226"/>
      <c r="M390"/>
    </row>
    <row r="391" spans="1:26" s="168" customFormat="1" ht="15">
      <c r="A391" s="681"/>
      <c r="B391" s="681"/>
      <c r="C391" s="681"/>
      <c r="D391" s="682"/>
      <c r="E391" s="603"/>
      <c r="F391" s="644"/>
      <c r="G391" s="605"/>
      <c r="H391" s="679"/>
      <c r="I391" s="1853"/>
      <c r="J391" s="1850"/>
      <c r="K391" s="1845"/>
      <c r="L391" s="226"/>
      <c r="M391"/>
    </row>
    <row r="392" spans="1:26" s="168" customFormat="1" ht="15">
      <c r="A392" s="681"/>
      <c r="B392" s="681"/>
      <c r="C392" s="681"/>
      <c r="D392" s="682"/>
      <c r="E392" s="603"/>
      <c r="F392" s="644"/>
      <c r="G392" s="605"/>
      <c r="H392" s="679"/>
      <c r="I392" s="1246"/>
      <c r="J392" s="891"/>
      <c r="K392" s="890"/>
      <c r="L392" s="226"/>
      <c r="M392"/>
    </row>
    <row r="393" spans="1:26" ht="15">
      <c r="A393" s="664"/>
      <c r="B393" s="1127"/>
      <c r="C393" s="1127"/>
      <c r="D393" s="662"/>
      <c r="E393" s="663"/>
      <c r="F393" s="1144" t="s">
        <v>545</v>
      </c>
      <c r="G393" s="651">
        <f>SUM(G112:G392)-SUM(I112:I392)</f>
        <v>33708.550000000047</v>
      </c>
      <c r="H393" s="683"/>
      <c r="I393" s="1246"/>
      <c r="J393" s="620"/>
      <c r="K393" s="228"/>
      <c r="L393" s="88"/>
    </row>
    <row r="396" spans="1:26">
      <c r="G396" s="224"/>
    </row>
    <row r="397" spans="1:26">
      <c r="A397" s="168"/>
      <c r="B397" s="168"/>
      <c r="C397" s="168"/>
      <c r="D397" s="168"/>
      <c r="E397" s="509"/>
      <c r="F397" s="527"/>
      <c r="G397" s="270"/>
      <c r="H397" s="266"/>
      <c r="I397" s="1420"/>
      <c r="J397" s="266"/>
      <c r="K397" s="267"/>
      <c r="L397" s="268"/>
      <c r="M397" s="268"/>
      <c r="N397" s="266"/>
      <c r="O397" s="266"/>
      <c r="P397" s="266"/>
      <c r="Q397" s="268"/>
      <c r="R397" s="268"/>
      <c r="S397" s="266"/>
      <c r="T397" s="266"/>
      <c r="U397" s="266"/>
      <c r="V397" s="266"/>
      <c r="W397" s="266">
        <v>11</v>
      </c>
      <c r="X397" s="266" t="s">
        <v>1830</v>
      </c>
      <c r="Y397" s="164"/>
      <c r="Z397" s="164"/>
    </row>
    <row r="398" spans="1:26">
      <c r="A398" s="164"/>
      <c r="B398" s="164"/>
      <c r="C398" s="164"/>
      <c r="D398" s="269"/>
      <c r="E398" s="530"/>
      <c r="F398" s="528"/>
      <c r="G398" s="266"/>
      <c r="H398" s="266"/>
      <c r="I398" s="1420"/>
      <c r="J398" s="266"/>
      <c r="K398" s="267"/>
      <c r="L398" s="268"/>
      <c r="M398" s="268"/>
      <c r="N398" s="266"/>
      <c r="O398" s="266"/>
      <c r="P398" s="266"/>
      <c r="Q398" s="268"/>
      <c r="R398" s="268"/>
      <c r="S398" s="266"/>
      <c r="T398" s="266"/>
      <c r="U398" s="266"/>
      <c r="V398" s="266"/>
      <c r="W398" s="266">
        <v>11</v>
      </c>
      <c r="X398" s="266" t="s">
        <v>1830</v>
      </c>
    </row>
    <row r="399" spans="1:26">
      <c r="A399" s="164"/>
      <c r="B399" s="164"/>
      <c r="C399" s="164"/>
      <c r="D399" s="269"/>
      <c r="E399" s="530"/>
      <c r="F399" s="528"/>
      <c r="G399" s="266"/>
      <c r="H399" s="266"/>
      <c r="I399" s="1420"/>
      <c r="J399" s="266"/>
      <c r="K399" s="267"/>
      <c r="L399" s="268"/>
      <c r="M399" s="268"/>
      <c r="N399" s="266"/>
      <c r="O399" s="266"/>
      <c r="P399" s="267"/>
      <c r="Q399" s="268"/>
      <c r="R399" s="268"/>
      <c r="S399" s="266"/>
      <c r="T399" s="266"/>
      <c r="U399" s="266"/>
      <c r="V399" s="266" t="s">
        <v>433</v>
      </c>
      <c r="W399" s="266">
        <v>11</v>
      </c>
      <c r="X399" s="266" t="s">
        <v>1830</v>
      </c>
    </row>
    <row r="400" spans="1:26">
      <c r="A400" s="164"/>
      <c r="B400" s="164"/>
      <c r="C400" s="164"/>
      <c r="D400" s="269"/>
      <c r="E400" s="530"/>
      <c r="F400" s="528"/>
      <c r="G400" s="266"/>
      <c r="H400" s="266"/>
      <c r="I400" s="1420"/>
      <c r="J400" s="266"/>
      <c r="K400" s="267"/>
      <c r="L400" s="268"/>
      <c r="M400" s="268"/>
      <c r="N400" s="266"/>
      <c r="O400" s="266"/>
      <c r="P400" s="266"/>
      <c r="Q400" s="268"/>
      <c r="R400" s="268"/>
      <c r="S400" s="266"/>
      <c r="T400" s="266"/>
      <c r="U400" s="266"/>
      <c r="V400" s="266"/>
      <c r="W400" s="266">
        <v>11</v>
      </c>
      <c r="X400" s="266" t="s">
        <v>1830</v>
      </c>
    </row>
    <row r="401" spans="1:24">
      <c r="A401" s="164"/>
      <c r="B401" s="164"/>
      <c r="C401" s="164"/>
      <c r="D401" s="269"/>
      <c r="E401" s="530"/>
      <c r="F401" s="528"/>
      <c r="G401" s="266"/>
      <c r="H401" s="266"/>
      <c r="I401" s="1420"/>
      <c r="J401" s="266"/>
      <c r="K401" s="267"/>
      <c r="L401" s="268"/>
      <c r="M401" s="268"/>
      <c r="N401" s="266"/>
      <c r="O401" s="266"/>
      <c r="P401" s="266"/>
      <c r="Q401" s="268"/>
      <c r="R401" s="268"/>
      <c r="S401" s="266"/>
      <c r="T401" s="266"/>
      <c r="U401" s="266"/>
      <c r="V401" s="266"/>
      <c r="W401" s="266">
        <v>11</v>
      </c>
      <c r="X401" s="266" t="s">
        <v>1830</v>
      </c>
    </row>
    <row r="402" spans="1:24">
      <c r="A402" s="164"/>
      <c r="B402" s="164"/>
      <c r="C402" s="164"/>
      <c r="D402" s="269"/>
      <c r="E402" s="530"/>
      <c r="F402" s="528"/>
      <c r="G402" s="266"/>
      <c r="H402" s="266"/>
      <c r="I402" s="1420"/>
      <c r="J402" s="266"/>
      <c r="K402" s="267"/>
      <c r="L402" s="268"/>
      <c r="M402" s="268"/>
      <c r="N402" s="266"/>
      <c r="O402" s="266"/>
      <c r="P402" s="266"/>
      <c r="Q402" s="268"/>
      <c r="R402" s="268"/>
      <c r="S402" s="266"/>
      <c r="T402" s="266"/>
      <c r="U402" s="266"/>
      <c r="V402" s="266"/>
      <c r="W402" s="266">
        <v>11</v>
      </c>
      <c r="X402" s="266" t="s">
        <v>1830</v>
      </c>
    </row>
    <row r="403" spans="1:24">
      <c r="A403" s="164"/>
      <c r="B403" s="164"/>
      <c r="C403" s="164"/>
      <c r="D403" s="269"/>
      <c r="E403" s="530"/>
      <c r="F403" s="528"/>
      <c r="G403" s="266"/>
      <c r="H403" s="266"/>
      <c r="I403" s="1420"/>
      <c r="J403" s="266"/>
      <c r="K403" s="267"/>
      <c r="L403" s="268"/>
      <c r="M403" s="268"/>
      <c r="N403" s="266"/>
      <c r="O403" s="266"/>
      <c r="P403" s="266"/>
      <c r="Q403" s="268"/>
      <c r="R403" s="268"/>
      <c r="S403" s="266"/>
      <c r="T403" s="266"/>
      <c r="U403" s="266"/>
      <c r="V403" s="266"/>
      <c r="W403" s="266">
        <v>11</v>
      </c>
      <c r="X403" s="266" t="s">
        <v>1836</v>
      </c>
    </row>
    <row r="404" spans="1:24">
      <c r="J404" s="102"/>
      <c r="K404" s="102"/>
    </row>
  </sheetData>
  <mergeCells count="236">
    <mergeCell ref="A361:A362"/>
    <mergeCell ref="B361:B362"/>
    <mergeCell ref="C361:C362"/>
    <mergeCell ref="D361:D362"/>
    <mergeCell ref="E361:E362"/>
    <mergeCell ref="F361:F362"/>
    <mergeCell ref="K342:K361"/>
    <mergeCell ref="J342:J361"/>
    <mergeCell ref="I342:I361"/>
    <mergeCell ref="A341:A342"/>
    <mergeCell ref="B341:B342"/>
    <mergeCell ref="C341:C342"/>
    <mergeCell ref="D341:D342"/>
    <mergeCell ref="E341:E342"/>
    <mergeCell ref="F341:F342"/>
    <mergeCell ref="K324:K341"/>
    <mergeCell ref="J324:J341"/>
    <mergeCell ref="I324:I341"/>
    <mergeCell ref="F323:F324"/>
    <mergeCell ref="E323:E324"/>
    <mergeCell ref="D323:D324"/>
    <mergeCell ref="C323:C324"/>
    <mergeCell ref="B323:B324"/>
    <mergeCell ref="A323:A324"/>
    <mergeCell ref="K313:K323"/>
    <mergeCell ref="J313:J323"/>
    <mergeCell ref="I313:I323"/>
    <mergeCell ref="F312:F313"/>
    <mergeCell ref="E312:E313"/>
    <mergeCell ref="D312:D313"/>
    <mergeCell ref="C312:C313"/>
    <mergeCell ref="B312:B313"/>
    <mergeCell ref="A312:A313"/>
    <mergeCell ref="K309:K312"/>
    <mergeCell ref="J309:J312"/>
    <mergeCell ref="I309:I312"/>
    <mergeCell ref="A238:A239"/>
    <mergeCell ref="F238:F239"/>
    <mergeCell ref="K222:K238"/>
    <mergeCell ref="J222:J238"/>
    <mergeCell ref="I222:I238"/>
    <mergeCell ref="F221:F222"/>
    <mergeCell ref="E221:E222"/>
    <mergeCell ref="D221:D222"/>
    <mergeCell ref="C221:C222"/>
    <mergeCell ref="B221:B222"/>
    <mergeCell ref="A221:A222"/>
    <mergeCell ref="I219:I221"/>
    <mergeCell ref="K219:K221"/>
    <mergeCell ref="J219:J221"/>
    <mergeCell ref="K239:K283"/>
    <mergeCell ref="J239:J283"/>
    <mergeCell ref="I239:I283"/>
    <mergeCell ref="K284:K296"/>
    <mergeCell ref="J284:J296"/>
    <mergeCell ref="I284:I296"/>
    <mergeCell ref="E238:E239"/>
    <mergeCell ref="K307:K308"/>
    <mergeCell ref="B200:B201"/>
    <mergeCell ref="C200:C201"/>
    <mergeCell ref="B210:B211"/>
    <mergeCell ref="C210:C211"/>
    <mergeCell ref="J307:J308"/>
    <mergeCell ref="F216:F217"/>
    <mergeCell ref="E216:E217"/>
    <mergeCell ref="D216:D217"/>
    <mergeCell ref="D238:D239"/>
    <mergeCell ref="C238:C239"/>
    <mergeCell ref="B238:B239"/>
    <mergeCell ref="L157:L160"/>
    <mergeCell ref="D160:D161"/>
    <mergeCell ref="L161:L176"/>
    <mergeCell ref="B160:B161"/>
    <mergeCell ref="C160:C161"/>
    <mergeCell ref="B136:B137"/>
    <mergeCell ref="C136:C137"/>
    <mergeCell ref="B122:B123"/>
    <mergeCell ref="C122:C123"/>
    <mergeCell ref="B124:B125"/>
    <mergeCell ref="C124:C125"/>
    <mergeCell ref="K125:K136"/>
    <mergeCell ref="J125:J136"/>
    <mergeCell ref="D124:D125"/>
    <mergeCell ref="B156:B157"/>
    <mergeCell ref="E124:E125"/>
    <mergeCell ref="K137:K146"/>
    <mergeCell ref="J137:J146"/>
    <mergeCell ref="F136:F137"/>
    <mergeCell ref="E136:E137"/>
    <mergeCell ref="L177:L185"/>
    <mergeCell ref="K177:K185"/>
    <mergeCell ref="J177:J185"/>
    <mergeCell ref="D136:D137"/>
    <mergeCell ref="L123:L124"/>
    <mergeCell ref="L112:L122"/>
    <mergeCell ref="I157:I160"/>
    <mergeCell ref="J157:J160"/>
    <mergeCell ref="K157:K160"/>
    <mergeCell ref="K147:K156"/>
    <mergeCell ref="J147:J156"/>
    <mergeCell ref="I147:I156"/>
    <mergeCell ref="F160:F161"/>
    <mergeCell ref="E160:E161"/>
    <mergeCell ref="F156:F157"/>
    <mergeCell ref="E156:E157"/>
    <mergeCell ref="D156:D157"/>
    <mergeCell ref="I161:I176"/>
    <mergeCell ref="K161:K176"/>
    <mergeCell ref="J161:J176"/>
    <mergeCell ref="I125:I136"/>
    <mergeCell ref="K123:K124"/>
    <mergeCell ref="J123:J124"/>
    <mergeCell ref="D122:D123"/>
    <mergeCell ref="L65:L68"/>
    <mergeCell ref="K65:K68"/>
    <mergeCell ref="J65:J68"/>
    <mergeCell ref="L82:L92"/>
    <mergeCell ref="I74:I76"/>
    <mergeCell ref="L74:L76"/>
    <mergeCell ref="K74:K76"/>
    <mergeCell ref="J74:J76"/>
    <mergeCell ref="I77:I81"/>
    <mergeCell ref="L77:L81"/>
    <mergeCell ref="K77:K81"/>
    <mergeCell ref="J77:J81"/>
    <mergeCell ref="I65:I68"/>
    <mergeCell ref="I82:I92"/>
    <mergeCell ref="K82:K92"/>
    <mergeCell ref="K70:K73"/>
    <mergeCell ref="J70:J73"/>
    <mergeCell ref="H65:H68"/>
    <mergeCell ref="I5:I6"/>
    <mergeCell ref="I7:I18"/>
    <mergeCell ref="K5:K6"/>
    <mergeCell ref="K7:K18"/>
    <mergeCell ref="K19:K26"/>
    <mergeCell ref="J5:J6"/>
    <mergeCell ref="J7:J18"/>
    <mergeCell ref="J19:J26"/>
    <mergeCell ref="J27:J35"/>
    <mergeCell ref="J36:J38"/>
    <mergeCell ref="J46:J47"/>
    <mergeCell ref="J48:J53"/>
    <mergeCell ref="J54:J55"/>
    <mergeCell ref="J62:J64"/>
    <mergeCell ref="K62:K64"/>
    <mergeCell ref="L62:L64"/>
    <mergeCell ref="K54:K55"/>
    <mergeCell ref="I46:I47"/>
    <mergeCell ref="I48:I53"/>
    <mergeCell ref="I54:I55"/>
    <mergeCell ref="I62:I64"/>
    <mergeCell ref="K46:K47"/>
    <mergeCell ref="K48:K53"/>
    <mergeCell ref="I19:I26"/>
    <mergeCell ref="I27:I35"/>
    <mergeCell ref="I36:I38"/>
    <mergeCell ref="I39:I45"/>
    <mergeCell ref="K39:K45"/>
    <mergeCell ref="J39:J45"/>
    <mergeCell ref="K27:K35"/>
    <mergeCell ref="K36:K38"/>
    <mergeCell ref="L104:L111"/>
    <mergeCell ref="K104:K111"/>
    <mergeCell ref="J104:J111"/>
    <mergeCell ref="I70:I73"/>
    <mergeCell ref="L70:L73"/>
    <mergeCell ref="L93:L102"/>
    <mergeCell ref="I93:I102"/>
    <mergeCell ref="K93:K102"/>
    <mergeCell ref="J93:J102"/>
    <mergeCell ref="J82:J92"/>
    <mergeCell ref="A122:A123"/>
    <mergeCell ref="I112:I122"/>
    <mergeCell ref="K112:K122"/>
    <mergeCell ref="J112:J122"/>
    <mergeCell ref="I104:I111"/>
    <mergeCell ref="A196:A197"/>
    <mergeCell ref="I177:I185"/>
    <mergeCell ref="F122:F123"/>
    <mergeCell ref="E122:E123"/>
    <mergeCell ref="F124:F125"/>
    <mergeCell ref="A160:A161"/>
    <mergeCell ref="A156:A157"/>
    <mergeCell ref="A136:A137"/>
    <mergeCell ref="C156:C157"/>
    <mergeCell ref="C196:C197"/>
    <mergeCell ref="A124:A125"/>
    <mergeCell ref="I123:I124"/>
    <mergeCell ref="I137:I146"/>
    <mergeCell ref="F196:F197"/>
    <mergeCell ref="E196:E197"/>
    <mergeCell ref="D196:D197"/>
    <mergeCell ref="A216:A217"/>
    <mergeCell ref="K211:K216"/>
    <mergeCell ref="J211:J216"/>
    <mergeCell ref="I211:I216"/>
    <mergeCell ref="A210:A211"/>
    <mergeCell ref="K201:K210"/>
    <mergeCell ref="J201:J210"/>
    <mergeCell ref="I201:I210"/>
    <mergeCell ref="A200:A201"/>
    <mergeCell ref="K197:K200"/>
    <mergeCell ref="J197:J200"/>
    <mergeCell ref="I197:I200"/>
    <mergeCell ref="B216:B217"/>
    <mergeCell ref="C216:C217"/>
    <mergeCell ref="F210:F211"/>
    <mergeCell ref="E210:E211"/>
    <mergeCell ref="D210:D211"/>
    <mergeCell ref="F200:F201"/>
    <mergeCell ref="E200:E201"/>
    <mergeCell ref="D200:D201"/>
    <mergeCell ref="B196:B197"/>
    <mergeCell ref="K186:K196"/>
    <mergeCell ref="J186:J196"/>
    <mergeCell ref="I186:I196"/>
    <mergeCell ref="A304:A307"/>
    <mergeCell ref="K303:K304"/>
    <mergeCell ref="J303:J304"/>
    <mergeCell ref="I303:I304"/>
    <mergeCell ref="F301:F303"/>
    <mergeCell ref="E301:E303"/>
    <mergeCell ref="D301:D303"/>
    <mergeCell ref="C301:C303"/>
    <mergeCell ref="B301:B303"/>
    <mergeCell ref="A301:A303"/>
    <mergeCell ref="K298:K301"/>
    <mergeCell ref="J298:J301"/>
    <mergeCell ref="I298:I301"/>
    <mergeCell ref="I307:I308"/>
    <mergeCell ref="F304:F307"/>
    <mergeCell ref="E304:E307"/>
    <mergeCell ref="D304:D307"/>
    <mergeCell ref="C304:C307"/>
    <mergeCell ref="B304:B307"/>
  </mergeCells>
  <phoneticPr fontId="15" type="noConversion"/>
  <hyperlinks>
    <hyperlink ref="F393" location="汇总!A1" display="剩余欠款"/>
  </hyperlinks>
  <pageMargins left="0.7" right="0.7" top="0.75" bottom="0.75" header="0.3" footer="0.3"/>
  <pageSetup paperSize="9"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pane ySplit="1" topLeftCell="A2" activePane="bottomLeft" state="frozen"/>
      <selection pane="bottomLeft" activeCell="F26" sqref="F26"/>
    </sheetView>
  </sheetViews>
  <sheetFormatPr defaultColWidth="8.75" defaultRowHeight="14.25"/>
  <cols>
    <col min="1" max="1" width="13" style="168" customWidth="1"/>
    <col min="2" max="2" width="13.875" style="168" bestFit="1" customWidth="1"/>
    <col min="3" max="3" width="29.375" style="168" bestFit="1" customWidth="1"/>
    <col min="4" max="5" width="15" style="168" customWidth="1"/>
    <col min="6" max="6" width="13.375" style="527" customWidth="1"/>
    <col min="7" max="7" width="11.375" style="168" bestFit="1" customWidth="1"/>
    <col min="8" max="8" width="16.625" style="168" bestFit="1" customWidth="1"/>
    <col min="9" max="9" width="12.875" style="168" customWidth="1"/>
    <col min="10" max="10" width="11.625" style="168" bestFit="1" customWidth="1"/>
    <col min="11" max="11" width="15.5" style="168" customWidth="1"/>
    <col min="12" max="12" width="25" style="168" bestFit="1" customWidth="1"/>
    <col min="13" max="13" width="13.875" style="168" bestFit="1" customWidth="1"/>
    <col min="14" max="16384" width="8.75" style="168"/>
  </cols>
  <sheetData>
    <row r="1" spans="1:14" customFormat="1" ht="18.75">
      <c r="A1" s="1385" t="s">
        <v>536</v>
      </c>
      <c r="B1" s="1385" t="s">
        <v>516</v>
      </c>
      <c r="C1" s="1385" t="s">
        <v>515</v>
      </c>
      <c r="D1" s="1433" t="s">
        <v>2150</v>
      </c>
      <c r="E1" s="1433" t="s">
        <v>2718</v>
      </c>
      <c r="F1" s="1434" t="s">
        <v>2719</v>
      </c>
      <c r="G1" s="1435" t="s">
        <v>2721</v>
      </c>
      <c r="H1" s="1435" t="s">
        <v>4099</v>
      </c>
      <c r="I1" s="1433" t="s">
        <v>3043</v>
      </c>
      <c r="J1" s="1433" t="s">
        <v>4100</v>
      </c>
      <c r="K1" s="257" t="s">
        <v>541</v>
      </c>
      <c r="L1" s="257" t="s">
        <v>542</v>
      </c>
    </row>
    <row r="2" spans="1:14" ht="15">
      <c r="A2" s="1903">
        <v>45105</v>
      </c>
      <c r="B2" s="2392" t="s">
        <v>5469</v>
      </c>
      <c r="C2" s="1903" t="s">
        <v>5468</v>
      </c>
      <c r="D2" s="1909" t="s">
        <v>5502</v>
      </c>
      <c r="E2" s="1951">
        <v>4378.6400000000003</v>
      </c>
      <c r="F2" s="1933">
        <v>0</v>
      </c>
      <c r="G2" s="611">
        <v>2189.3200000000002</v>
      </c>
      <c r="H2" s="1315">
        <v>45165</v>
      </c>
      <c r="I2" s="611">
        <v>2189.3200000000002</v>
      </c>
      <c r="J2" s="1697">
        <v>45111</v>
      </c>
      <c r="K2" s="1698" t="s">
        <v>6066</v>
      </c>
      <c r="L2" s="166"/>
      <c r="M2"/>
      <c r="N2"/>
    </row>
    <row r="3" spans="1:14" ht="15">
      <c r="A3" s="1905"/>
      <c r="B3" s="2394"/>
      <c r="C3" s="1905"/>
      <c r="D3" s="1911"/>
      <c r="E3" s="1953"/>
      <c r="F3" s="1934"/>
      <c r="G3" s="611">
        <f>4378.64-2189.32</f>
        <v>2189.3200000000002</v>
      </c>
      <c r="H3" s="1315">
        <v>45165</v>
      </c>
      <c r="I3" s="611">
        <v>2189.3200000000002</v>
      </c>
      <c r="J3" s="1697">
        <v>45180</v>
      </c>
      <c r="K3" s="1698" t="s">
        <v>6065</v>
      </c>
      <c r="L3" s="166"/>
      <c r="M3"/>
      <c r="N3"/>
    </row>
    <row r="4" spans="1:14" ht="15">
      <c r="A4" s="623">
        <v>45190</v>
      </c>
      <c r="B4" s="1436" t="s">
        <v>5469</v>
      </c>
      <c r="C4" s="623" t="s">
        <v>5468</v>
      </c>
      <c r="D4" s="624" t="s">
        <v>6075</v>
      </c>
      <c r="E4" s="605">
        <v>2025.3</v>
      </c>
      <c r="F4" s="732">
        <v>0</v>
      </c>
      <c r="G4" s="605">
        <v>2025.3</v>
      </c>
      <c r="H4" s="1358">
        <v>45249</v>
      </c>
      <c r="I4" s="611"/>
      <c r="J4" s="1497"/>
      <c r="K4" s="1493"/>
      <c r="L4" s="166"/>
      <c r="M4"/>
      <c r="N4"/>
    </row>
    <row r="5" spans="1:14" ht="15">
      <c r="A5" s="623">
        <v>45198</v>
      </c>
      <c r="B5" s="1436" t="s">
        <v>5469</v>
      </c>
      <c r="C5" s="623" t="s">
        <v>5468</v>
      </c>
      <c r="D5" s="624" t="s">
        <v>6233</v>
      </c>
      <c r="E5" s="605">
        <v>-15.83</v>
      </c>
      <c r="F5" s="732">
        <v>0</v>
      </c>
      <c r="G5" s="605">
        <v>-15.83</v>
      </c>
      <c r="H5" s="1358"/>
      <c r="I5" s="611"/>
      <c r="J5" s="1497"/>
      <c r="K5" s="1493"/>
      <c r="L5" s="166"/>
      <c r="M5"/>
      <c r="N5"/>
    </row>
    <row r="6" spans="1:14" ht="15">
      <c r="A6" s="623"/>
      <c r="B6" s="1436"/>
      <c r="C6" s="623"/>
      <c r="D6" s="624"/>
      <c r="E6" s="605"/>
      <c r="F6" s="732"/>
      <c r="G6" s="605"/>
      <c r="H6" s="1358"/>
      <c r="I6" s="611"/>
      <c r="J6" s="1497"/>
      <c r="K6" s="1493"/>
      <c r="L6" s="166"/>
      <c r="M6"/>
      <c r="N6"/>
    </row>
    <row r="7" spans="1:14" ht="15">
      <c r="A7" s="623"/>
      <c r="B7" s="1436"/>
      <c r="C7" s="623"/>
      <c r="D7" s="624"/>
      <c r="E7" s="605"/>
      <c r="F7" s="732"/>
      <c r="G7" s="605"/>
      <c r="H7" s="1358"/>
      <c r="I7" s="611"/>
      <c r="J7" s="1497"/>
      <c r="K7" s="1493"/>
      <c r="L7" s="166"/>
      <c r="M7"/>
      <c r="N7"/>
    </row>
    <row r="8" spans="1:14" ht="15">
      <c r="A8" s="623"/>
      <c r="B8" s="1436"/>
      <c r="C8" s="623"/>
      <c r="D8" s="624"/>
      <c r="E8" s="605"/>
      <c r="F8" s="732"/>
      <c r="G8" s="605"/>
      <c r="H8" s="1358"/>
      <c r="I8" s="611"/>
      <c r="J8" s="1497"/>
      <c r="K8" s="1493"/>
      <c r="L8" s="166"/>
      <c r="M8"/>
      <c r="N8"/>
    </row>
    <row r="9" spans="1:14" ht="15">
      <c r="A9" s="623"/>
      <c r="B9" s="1436"/>
      <c r="C9" s="623"/>
      <c r="D9" s="624"/>
      <c r="E9" s="605"/>
      <c r="F9" s="732"/>
      <c r="G9" s="605"/>
      <c r="H9" s="1358"/>
      <c r="I9" s="611"/>
      <c r="J9" s="1497"/>
      <c r="K9" s="1493"/>
      <c r="L9" s="166"/>
      <c r="M9"/>
      <c r="N9"/>
    </row>
    <row r="10" spans="1:14" ht="15">
      <c r="A10" s="623"/>
      <c r="B10" s="1436"/>
      <c r="C10" s="623"/>
      <c r="D10" s="624"/>
      <c r="E10" s="605"/>
      <c r="F10" s="732"/>
      <c r="G10" s="605"/>
      <c r="H10" s="1358"/>
      <c r="I10" s="611"/>
      <c r="J10" s="1497"/>
      <c r="K10" s="1493"/>
      <c r="L10" s="166"/>
      <c r="M10"/>
      <c r="N10"/>
    </row>
    <row r="11" spans="1:14" ht="15">
      <c r="A11" s="623"/>
      <c r="B11" s="1436"/>
      <c r="C11" s="623"/>
      <c r="D11" s="624"/>
      <c r="E11" s="605"/>
      <c r="F11" s="732"/>
      <c r="G11" s="605"/>
      <c r="H11" s="1358"/>
      <c r="I11" s="611"/>
      <c r="J11" s="1497"/>
      <c r="K11" s="1493"/>
      <c r="L11" s="166"/>
      <c r="M11"/>
      <c r="N11"/>
    </row>
    <row r="12" spans="1:14" ht="15">
      <c r="A12" s="623"/>
      <c r="B12" s="1436"/>
      <c r="C12" s="623"/>
      <c r="D12" s="624"/>
      <c r="E12" s="605"/>
      <c r="F12" s="732"/>
      <c r="G12" s="605"/>
      <c r="H12" s="1358"/>
      <c r="I12" s="611"/>
      <c r="J12" s="1497"/>
      <c r="K12" s="1493"/>
      <c r="L12" s="166"/>
      <c r="M12"/>
      <c r="N12"/>
    </row>
    <row r="13" spans="1:14" ht="15">
      <c r="A13" s="623"/>
      <c r="B13" s="1436"/>
      <c r="C13" s="623"/>
      <c r="D13" s="624"/>
      <c r="E13" s="605"/>
      <c r="F13" s="732"/>
      <c r="G13" s="605"/>
      <c r="H13" s="1358"/>
      <c r="I13" s="611"/>
      <c r="J13" s="1497"/>
      <c r="K13" s="1493"/>
      <c r="L13" s="166"/>
      <c r="M13"/>
      <c r="N13"/>
    </row>
    <row r="14" spans="1:14" ht="15">
      <c r="A14" s="623"/>
      <c r="B14" s="623"/>
      <c r="C14" s="623"/>
      <c r="D14" s="624"/>
      <c r="E14" s="605"/>
      <c r="F14" s="732"/>
      <c r="G14" s="605"/>
      <c r="H14" s="623"/>
      <c r="I14" s="639"/>
      <c r="J14" s="1494"/>
      <c r="K14" s="1493"/>
      <c r="L14" s="226"/>
      <c r="M14"/>
      <c r="N14"/>
    </row>
    <row r="15" spans="1:14" ht="15">
      <c r="A15" s="623"/>
      <c r="B15" s="623"/>
      <c r="C15" s="623"/>
      <c r="D15" s="624"/>
      <c r="E15" s="605"/>
      <c r="F15" s="732"/>
      <c r="G15" s="605"/>
      <c r="H15" s="623"/>
      <c r="I15" s="639"/>
      <c r="J15" s="1494"/>
      <c r="K15" s="1493"/>
      <c r="L15" s="226"/>
      <c r="M15"/>
      <c r="N15"/>
    </row>
    <row r="16" spans="1:14" ht="15">
      <c r="A16" s="623"/>
      <c r="B16" s="623"/>
      <c r="C16" s="623"/>
      <c r="D16" s="624"/>
      <c r="E16" s="605"/>
      <c r="F16" s="732"/>
      <c r="G16" s="605"/>
      <c r="H16" s="623"/>
      <c r="I16" s="639"/>
      <c r="J16" s="1494"/>
      <c r="K16" s="1493"/>
      <c r="L16" s="226"/>
    </row>
    <row r="17" spans="1:12" ht="15">
      <c r="A17" s="623"/>
      <c r="B17" s="623"/>
      <c r="C17" s="623"/>
      <c r="D17" s="624"/>
      <c r="E17" s="605"/>
      <c r="F17" s="732"/>
      <c r="G17" s="605"/>
      <c r="H17" s="623"/>
      <c r="I17" s="639"/>
      <c r="J17" s="1494"/>
      <c r="K17" s="1493"/>
      <c r="L17" s="226"/>
    </row>
    <row r="18" spans="1:12" ht="15">
      <c r="A18" s="623"/>
      <c r="B18" s="623"/>
      <c r="C18" s="623"/>
      <c r="D18" s="624"/>
      <c r="E18" s="605"/>
      <c r="F18" s="732"/>
      <c r="G18" s="605"/>
      <c r="H18" s="623"/>
      <c r="I18" s="639"/>
      <c r="J18" s="1494"/>
      <c r="K18" s="1493"/>
      <c r="L18" s="226"/>
    </row>
    <row r="19" spans="1:12" ht="15">
      <c r="A19" s="623"/>
      <c r="B19" s="623"/>
      <c r="C19" s="623"/>
      <c r="D19" s="624"/>
      <c r="E19" s="605"/>
      <c r="F19" s="732"/>
      <c r="G19" s="605"/>
      <c r="H19" s="623"/>
      <c r="I19" s="639"/>
      <c r="J19" s="1494"/>
      <c r="K19" s="1493"/>
      <c r="L19" s="226"/>
    </row>
    <row r="20" spans="1:12" ht="15">
      <c r="A20" s="623"/>
      <c r="B20" s="623"/>
      <c r="C20" s="623"/>
      <c r="D20" s="624"/>
      <c r="E20" s="605"/>
      <c r="F20" s="732"/>
      <c r="G20" s="605"/>
      <c r="H20" s="623"/>
      <c r="I20" s="639"/>
      <c r="J20" s="1494"/>
      <c r="K20" s="1493"/>
      <c r="L20" s="226"/>
    </row>
    <row r="21" spans="1:12" ht="15">
      <c r="A21" s="623"/>
      <c r="B21" s="623"/>
      <c r="C21" s="623"/>
      <c r="D21" s="624"/>
      <c r="E21" s="605"/>
      <c r="F21" s="732"/>
      <c r="G21" s="605"/>
      <c r="H21" s="623"/>
      <c r="I21" s="639"/>
      <c r="J21" s="1494"/>
      <c r="K21" s="1493"/>
      <c r="L21" s="226"/>
    </row>
    <row r="22" spans="1:12" ht="15">
      <c r="A22" s="623"/>
      <c r="B22" s="623"/>
      <c r="C22" s="623"/>
      <c r="D22" s="624"/>
      <c r="E22" s="605"/>
      <c r="F22" s="732"/>
      <c r="G22" s="605"/>
      <c r="H22" s="623"/>
      <c r="I22" s="639"/>
      <c r="J22" s="1494"/>
      <c r="K22" s="1493"/>
      <c r="L22" s="226"/>
    </row>
    <row r="23" spans="1:12" ht="15">
      <c r="A23" s="623"/>
      <c r="B23" s="623"/>
      <c r="C23" s="623"/>
      <c r="D23" s="624"/>
      <c r="E23" s="605"/>
      <c r="F23" s="732"/>
      <c r="G23" s="605"/>
      <c r="H23" s="623"/>
      <c r="I23" s="639"/>
      <c r="J23" s="1494"/>
      <c r="K23" s="1493"/>
      <c r="L23" s="226"/>
    </row>
    <row r="24" spans="1:12" ht="15">
      <c r="A24" s="623"/>
      <c r="B24" s="623"/>
      <c r="C24" s="623"/>
      <c r="D24" s="624"/>
      <c r="E24" s="605"/>
      <c r="F24" s="732"/>
      <c r="G24" s="605"/>
      <c r="H24" s="623"/>
      <c r="I24" s="639"/>
      <c r="J24" s="1494"/>
      <c r="K24" s="1493"/>
      <c r="L24" s="226"/>
    </row>
    <row r="25" spans="1:12" ht="15">
      <c r="A25" s="1494"/>
      <c r="B25" s="1494"/>
      <c r="C25" s="1494"/>
      <c r="D25" s="1495"/>
      <c r="E25" s="605"/>
      <c r="F25" s="732"/>
      <c r="G25" s="639"/>
      <c r="H25" s="1494"/>
      <c r="I25" s="639"/>
      <c r="J25" s="1494"/>
      <c r="K25" s="1493"/>
      <c r="L25" s="226"/>
    </row>
    <row r="26" spans="1:12" ht="15">
      <c r="A26" s="1495"/>
      <c r="B26" s="1495"/>
      <c r="C26" s="1495"/>
      <c r="D26" s="619"/>
      <c r="E26" s="619"/>
      <c r="F26" s="1144" t="s">
        <v>545</v>
      </c>
      <c r="G26" s="651">
        <f>SUM(G2:G25)-SUM(I2:I25)</f>
        <v>2009.4700000000003</v>
      </c>
      <c r="H26" s="634"/>
      <c r="I26" s="639"/>
      <c r="J26" s="1494"/>
      <c r="K26" s="1493"/>
      <c r="L26" s="226"/>
    </row>
    <row r="27" spans="1:12">
      <c r="K27" s="237"/>
    </row>
    <row r="28" spans="1:12">
      <c r="K28" s="237"/>
    </row>
    <row r="29" spans="1:12">
      <c r="K29" s="237"/>
    </row>
  </sheetData>
  <mergeCells count="6">
    <mergeCell ref="A2:A3"/>
    <mergeCell ref="F2:F3"/>
    <mergeCell ref="E2:E3"/>
    <mergeCell ref="D2:D3"/>
    <mergeCell ref="C2:C3"/>
    <mergeCell ref="B2:B3"/>
  </mergeCells>
  <phoneticPr fontId="15" type="noConversion"/>
  <hyperlinks>
    <hyperlink ref="F26" location="汇总!A1" display="剩余欠款"/>
  </hyperlinks>
  <pageMargins left="0.7" right="0.7" top="0.75" bottom="0.75" header="0.3" footer="0.3"/>
  <pageSetup paperSize="9"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pane ySplit="1" topLeftCell="A2" activePane="bottomLeft" state="frozen"/>
      <selection pane="bottomLeft" activeCell="F15" sqref="F15"/>
    </sheetView>
  </sheetViews>
  <sheetFormatPr defaultColWidth="8.75" defaultRowHeight="14.25"/>
  <cols>
    <col min="1" max="1" width="13" style="168" customWidth="1"/>
    <col min="2" max="2" width="13.875" style="168" bestFit="1" customWidth="1"/>
    <col min="3" max="3" width="29.375" style="168" bestFit="1" customWidth="1"/>
    <col min="4" max="5" width="15" style="168" customWidth="1"/>
    <col min="6" max="6" width="13.375" style="527" customWidth="1"/>
    <col min="7" max="7" width="11.375" style="168" bestFit="1" customWidth="1"/>
    <col min="8" max="8" width="16.625" style="168" bestFit="1" customWidth="1"/>
    <col min="9" max="9" width="12.875" style="168" customWidth="1"/>
    <col min="10" max="10" width="11.625" style="168" bestFit="1" customWidth="1"/>
    <col min="11" max="11" width="11.375" style="168" bestFit="1" customWidth="1"/>
    <col min="12" max="12" width="25" style="168" bestFit="1" customWidth="1"/>
    <col min="13" max="13" width="13.875" style="168" bestFit="1" customWidth="1"/>
    <col min="14" max="16384" width="8.75" style="168"/>
  </cols>
  <sheetData>
    <row r="1" spans="1:14" customFormat="1" ht="18.75">
      <c r="A1" s="1385" t="s">
        <v>536</v>
      </c>
      <c r="B1" s="1385" t="s">
        <v>516</v>
      </c>
      <c r="C1" s="1385" t="s">
        <v>515</v>
      </c>
      <c r="D1" s="1433" t="s">
        <v>2150</v>
      </c>
      <c r="E1" s="1433" t="s">
        <v>2718</v>
      </c>
      <c r="F1" s="1434" t="s">
        <v>2719</v>
      </c>
      <c r="G1" s="1435" t="s">
        <v>2721</v>
      </c>
      <c r="H1" s="1435" t="s">
        <v>4099</v>
      </c>
      <c r="I1" s="1433" t="s">
        <v>3043</v>
      </c>
      <c r="J1" s="1433" t="s">
        <v>4100</v>
      </c>
      <c r="K1" s="257" t="s">
        <v>541</v>
      </c>
      <c r="L1" s="257" t="s">
        <v>542</v>
      </c>
    </row>
    <row r="2" spans="1:14" ht="15">
      <c r="A2" s="623">
        <v>45156</v>
      </c>
      <c r="B2" s="1436" t="s">
        <v>5522</v>
      </c>
      <c r="C2" s="623" t="s">
        <v>6439</v>
      </c>
      <c r="D2" s="624" t="s">
        <v>5890</v>
      </c>
      <c r="E2" s="605">
        <v>10292.48</v>
      </c>
      <c r="F2" s="732">
        <v>0</v>
      </c>
      <c r="G2" s="605">
        <v>10292.48</v>
      </c>
      <c r="H2" s="1358">
        <v>45245</v>
      </c>
      <c r="I2" s="611"/>
      <c r="J2" s="1619"/>
      <c r="K2" s="1616"/>
      <c r="L2" s="166"/>
      <c r="M2"/>
      <c r="N2"/>
    </row>
    <row r="3" spans="1:14" ht="15">
      <c r="A3" s="623">
        <v>45187</v>
      </c>
      <c r="B3" s="1436" t="s">
        <v>5522</v>
      </c>
      <c r="C3" s="623" t="s">
        <v>6439</v>
      </c>
      <c r="D3" s="624" t="s">
        <v>6454</v>
      </c>
      <c r="E3" s="605">
        <v>3547.13</v>
      </c>
      <c r="F3" s="732">
        <v>0</v>
      </c>
      <c r="G3" s="605">
        <v>3547.13</v>
      </c>
      <c r="H3" s="623">
        <v>45188</v>
      </c>
      <c r="I3" s="639"/>
      <c r="J3" s="1617"/>
      <c r="K3" s="1616"/>
      <c r="L3" s="226"/>
      <c r="M3"/>
      <c r="N3"/>
    </row>
    <row r="4" spans="1:14" ht="15">
      <c r="A4" s="623">
        <v>45229</v>
      </c>
      <c r="B4" s="623" t="s">
        <v>5522</v>
      </c>
      <c r="C4" s="623" t="s">
        <v>6468</v>
      </c>
      <c r="D4" s="624" t="s">
        <v>6469</v>
      </c>
      <c r="E4" s="605">
        <v>885.2</v>
      </c>
      <c r="F4" s="732">
        <v>0</v>
      </c>
      <c r="G4" s="605">
        <v>885.2</v>
      </c>
      <c r="H4" s="623">
        <v>45289</v>
      </c>
      <c r="I4" s="639"/>
      <c r="J4" s="1617"/>
      <c r="K4" s="1616"/>
      <c r="L4" s="226"/>
      <c r="M4"/>
      <c r="N4"/>
    </row>
    <row r="5" spans="1:14" ht="15">
      <c r="A5" s="623"/>
      <c r="B5" s="623"/>
      <c r="C5" s="623"/>
      <c r="D5" s="624"/>
      <c r="E5" s="605"/>
      <c r="F5" s="732"/>
      <c r="G5" s="605"/>
      <c r="H5" s="623"/>
      <c r="I5" s="639"/>
      <c r="J5" s="1617"/>
      <c r="K5" s="1616"/>
      <c r="L5" s="226"/>
    </row>
    <row r="6" spans="1:14" ht="15">
      <c r="A6" s="623"/>
      <c r="B6" s="623"/>
      <c r="C6" s="623"/>
      <c r="D6" s="624"/>
      <c r="E6" s="605"/>
      <c r="F6" s="732"/>
      <c r="G6" s="605"/>
      <c r="H6" s="623"/>
      <c r="I6" s="639"/>
      <c r="J6" s="1617"/>
      <c r="K6" s="1616"/>
      <c r="L6" s="226"/>
    </row>
    <row r="7" spans="1:14" ht="15">
      <c r="A7" s="623"/>
      <c r="B7" s="623"/>
      <c r="C7" s="623"/>
      <c r="D7" s="624"/>
      <c r="E7" s="605"/>
      <c r="F7" s="732"/>
      <c r="G7" s="605"/>
      <c r="H7" s="623"/>
      <c r="I7" s="639"/>
      <c r="J7" s="1617"/>
      <c r="K7" s="1616"/>
      <c r="L7" s="226"/>
    </row>
    <row r="8" spans="1:14" ht="15">
      <c r="A8" s="623"/>
      <c r="B8" s="623"/>
      <c r="C8" s="623"/>
      <c r="D8" s="624"/>
      <c r="E8" s="605"/>
      <c r="F8" s="732"/>
      <c r="G8" s="605"/>
      <c r="H8" s="623"/>
      <c r="I8" s="639"/>
      <c r="J8" s="1617"/>
      <c r="K8" s="1616"/>
      <c r="L8" s="226"/>
    </row>
    <row r="9" spans="1:14" ht="15">
      <c r="A9" s="623"/>
      <c r="B9" s="623"/>
      <c r="C9" s="623"/>
      <c r="D9" s="624"/>
      <c r="E9" s="605"/>
      <c r="F9" s="732"/>
      <c r="G9" s="605"/>
      <c r="H9" s="623"/>
      <c r="I9" s="639"/>
      <c r="J9" s="1617"/>
      <c r="K9" s="1616"/>
      <c r="L9" s="226"/>
    </row>
    <row r="10" spans="1:14" ht="15">
      <c r="A10" s="623"/>
      <c r="B10" s="623"/>
      <c r="C10" s="623"/>
      <c r="D10" s="624"/>
      <c r="E10" s="605"/>
      <c r="F10" s="732"/>
      <c r="G10" s="605"/>
      <c r="H10" s="623"/>
      <c r="I10" s="639"/>
      <c r="J10" s="1617"/>
      <c r="K10" s="1616"/>
      <c r="L10" s="226"/>
    </row>
    <row r="11" spans="1:14" ht="15">
      <c r="A11" s="623"/>
      <c r="B11" s="623"/>
      <c r="C11" s="623"/>
      <c r="D11" s="624"/>
      <c r="E11" s="605"/>
      <c r="F11" s="732"/>
      <c r="G11" s="605"/>
      <c r="H11" s="623"/>
      <c r="I11" s="639"/>
      <c r="J11" s="1617"/>
      <c r="K11" s="1616"/>
      <c r="L11" s="226"/>
    </row>
    <row r="12" spans="1:14" ht="15">
      <c r="A12" s="623"/>
      <c r="B12" s="623"/>
      <c r="C12" s="623"/>
      <c r="D12" s="624"/>
      <c r="E12" s="605"/>
      <c r="F12" s="732"/>
      <c r="G12" s="605"/>
      <c r="H12" s="623"/>
      <c r="I12" s="639"/>
      <c r="J12" s="1617"/>
      <c r="K12" s="1616"/>
      <c r="L12" s="226"/>
    </row>
    <row r="13" spans="1:14" ht="15">
      <c r="A13" s="1617"/>
      <c r="B13" s="1617"/>
      <c r="C13" s="1617"/>
      <c r="D13" s="1618"/>
      <c r="E13" s="605"/>
      <c r="F13" s="732"/>
      <c r="G13" s="639"/>
      <c r="H13" s="1617"/>
      <c r="I13" s="639"/>
      <c r="J13" s="1617"/>
      <c r="K13" s="1616"/>
      <c r="L13" s="226"/>
    </row>
    <row r="14" spans="1:14" ht="15">
      <c r="A14" s="1617"/>
      <c r="B14" s="1617"/>
      <c r="C14" s="1617"/>
      <c r="D14" s="1618"/>
      <c r="E14" s="605"/>
      <c r="F14" s="732"/>
      <c r="G14" s="639"/>
      <c r="H14" s="1617"/>
      <c r="I14" s="639"/>
      <c r="J14" s="1617"/>
      <c r="K14" s="1616"/>
      <c r="L14" s="226"/>
    </row>
    <row r="15" spans="1:14" ht="15">
      <c r="A15" s="1618"/>
      <c r="B15" s="1618"/>
      <c r="C15" s="1618"/>
      <c r="D15" s="619"/>
      <c r="E15" s="619"/>
      <c r="F15" s="1144" t="s">
        <v>545</v>
      </c>
      <c r="G15" s="651">
        <f>SUM(G2:G14)-SUM(I2:I14)</f>
        <v>14724.810000000001</v>
      </c>
      <c r="H15" s="634"/>
      <c r="I15" s="639"/>
      <c r="J15" s="1617"/>
      <c r="K15" s="1616"/>
      <c r="L15" s="226"/>
    </row>
    <row r="16" spans="1:14">
      <c r="K16" s="237"/>
    </row>
    <row r="17" spans="11:11">
      <c r="K17" s="237"/>
    </row>
    <row r="18" spans="11:11">
      <c r="K18" s="237"/>
    </row>
  </sheetData>
  <phoneticPr fontId="15" type="noConversion"/>
  <hyperlinks>
    <hyperlink ref="F15" location="汇总!A1" display="剩余欠款"/>
  </hyperlinks>
  <pageMargins left="0.7" right="0.7" top="0.75" bottom="0.75" header="0.3" footer="0.3"/>
  <pageSetup paperSize="9"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pane ySplit="1" topLeftCell="A2" activePane="bottomLeft" state="frozen"/>
      <selection pane="bottomLeft" activeCell="F15" sqref="F15"/>
    </sheetView>
  </sheetViews>
  <sheetFormatPr defaultColWidth="8.75" defaultRowHeight="14.25"/>
  <cols>
    <col min="1" max="1" width="13" style="168" customWidth="1"/>
    <col min="2" max="2" width="13.875" style="168" bestFit="1" customWidth="1"/>
    <col min="3" max="3" width="29.375" style="168" bestFit="1" customWidth="1"/>
    <col min="4" max="5" width="15" style="168" customWidth="1"/>
    <col min="6" max="6" width="13.375" style="527" customWidth="1"/>
    <col min="7" max="7" width="11.375" style="168" bestFit="1" customWidth="1"/>
    <col min="8" max="8" width="16.625" style="168" bestFit="1" customWidth="1"/>
    <col min="9" max="9" width="12.875" style="168" customWidth="1"/>
    <col min="10" max="10" width="11.625" style="168" bestFit="1" customWidth="1"/>
    <col min="11" max="11" width="11.375" style="168" bestFit="1" customWidth="1"/>
    <col min="12" max="12" width="35.375" style="168" customWidth="1"/>
    <col min="13" max="13" width="13.875" style="168" bestFit="1" customWidth="1"/>
    <col min="14" max="16384" width="8.75" style="168"/>
  </cols>
  <sheetData>
    <row r="1" spans="1:14" customFormat="1" ht="18.75">
      <c r="A1" s="1385" t="s">
        <v>536</v>
      </c>
      <c r="B1" s="1385" t="s">
        <v>516</v>
      </c>
      <c r="C1" s="1385" t="s">
        <v>515</v>
      </c>
      <c r="D1" s="1433" t="s">
        <v>2150</v>
      </c>
      <c r="E1" s="1433" t="s">
        <v>2718</v>
      </c>
      <c r="F1" s="1434" t="s">
        <v>2719</v>
      </c>
      <c r="G1" s="1435" t="s">
        <v>2721</v>
      </c>
      <c r="H1" s="1435" t="s">
        <v>4099</v>
      </c>
      <c r="I1" s="1433" t="s">
        <v>3043</v>
      </c>
      <c r="J1" s="1433" t="s">
        <v>4100</v>
      </c>
      <c r="K1" s="257" t="s">
        <v>541</v>
      </c>
      <c r="L1" s="257" t="s">
        <v>542</v>
      </c>
    </row>
    <row r="2" spans="1:14" ht="15">
      <c r="A2" s="623">
        <v>45189</v>
      </c>
      <c r="B2" s="1436" t="s">
        <v>2644</v>
      </c>
      <c r="C2" s="623" t="s">
        <v>6123</v>
      </c>
      <c r="D2" s="624" t="s">
        <v>6125</v>
      </c>
      <c r="E2" s="605">
        <v>1049.58</v>
      </c>
      <c r="F2" s="732">
        <v>0</v>
      </c>
      <c r="G2" s="605">
        <v>1049.58</v>
      </c>
      <c r="H2" s="1358">
        <v>45248</v>
      </c>
      <c r="I2" s="611"/>
      <c r="J2" s="1718"/>
      <c r="K2" s="1707"/>
      <c r="L2" s="166" t="s">
        <v>6127</v>
      </c>
      <c r="M2"/>
      <c r="N2"/>
    </row>
    <row r="3" spans="1:14" ht="15">
      <c r="A3" s="623">
        <v>45189</v>
      </c>
      <c r="B3" s="623" t="s">
        <v>2644</v>
      </c>
      <c r="C3" s="623" t="s">
        <v>6123</v>
      </c>
      <c r="D3" s="624" t="s">
        <v>6126</v>
      </c>
      <c r="E3" s="605">
        <v>1252.5</v>
      </c>
      <c r="F3" s="732">
        <v>0</v>
      </c>
      <c r="G3" s="605">
        <v>1252.5</v>
      </c>
      <c r="H3" s="623">
        <v>45248</v>
      </c>
      <c r="I3" s="639"/>
      <c r="J3" s="1713"/>
      <c r="K3" s="1707"/>
      <c r="L3" s="226"/>
      <c r="M3"/>
      <c r="N3"/>
    </row>
    <row r="4" spans="1:14" ht="15">
      <c r="A4" s="623"/>
      <c r="B4" s="623"/>
      <c r="C4" s="623"/>
      <c r="D4" s="624"/>
      <c r="E4" s="605"/>
      <c r="F4" s="732"/>
      <c r="G4" s="605"/>
      <c r="H4" s="623"/>
      <c r="I4" s="639"/>
      <c r="J4" s="1713"/>
      <c r="K4" s="1707"/>
      <c r="L4" s="226"/>
      <c r="M4"/>
      <c r="N4"/>
    </row>
    <row r="5" spans="1:14" ht="15">
      <c r="A5" s="623"/>
      <c r="B5" s="623"/>
      <c r="C5" s="623"/>
      <c r="D5" s="624"/>
      <c r="E5" s="605"/>
      <c r="F5" s="732"/>
      <c r="G5" s="605"/>
      <c r="H5" s="623"/>
      <c r="I5" s="639"/>
      <c r="J5" s="1713"/>
      <c r="K5" s="1707"/>
      <c r="L5" s="226"/>
    </row>
    <row r="6" spans="1:14" ht="15">
      <c r="A6" s="623"/>
      <c r="B6" s="623"/>
      <c r="C6" s="623"/>
      <c r="D6" s="624"/>
      <c r="E6" s="605"/>
      <c r="F6" s="732"/>
      <c r="G6" s="605"/>
      <c r="H6" s="623"/>
      <c r="I6" s="639"/>
      <c r="J6" s="1713"/>
      <c r="K6" s="1707"/>
      <c r="L6" s="226"/>
    </row>
    <row r="7" spans="1:14" ht="15">
      <c r="A7" s="623"/>
      <c r="B7" s="623"/>
      <c r="C7" s="623"/>
      <c r="D7" s="624"/>
      <c r="E7" s="605"/>
      <c r="F7" s="732"/>
      <c r="G7" s="605"/>
      <c r="H7" s="623"/>
      <c r="I7" s="639"/>
      <c r="J7" s="1713"/>
      <c r="K7" s="1707"/>
      <c r="L7" s="226"/>
    </row>
    <row r="8" spans="1:14" ht="15">
      <c r="A8" s="623"/>
      <c r="B8" s="623"/>
      <c r="C8" s="623"/>
      <c r="D8" s="624"/>
      <c r="E8" s="605"/>
      <c r="F8" s="732"/>
      <c r="G8" s="605"/>
      <c r="H8" s="623"/>
      <c r="I8" s="639"/>
      <c r="J8" s="1713"/>
      <c r="K8" s="1707"/>
      <c r="L8" s="226"/>
    </row>
    <row r="9" spans="1:14" ht="15">
      <c r="A9" s="623"/>
      <c r="B9" s="623"/>
      <c r="C9" s="623"/>
      <c r="D9" s="624"/>
      <c r="E9" s="605"/>
      <c r="F9" s="732"/>
      <c r="G9" s="605"/>
      <c r="H9" s="623"/>
      <c r="I9" s="639"/>
      <c r="J9" s="1713"/>
      <c r="K9" s="1707"/>
      <c r="L9" s="226"/>
    </row>
    <row r="10" spans="1:14" ht="15">
      <c r="A10" s="623"/>
      <c r="B10" s="623"/>
      <c r="C10" s="623"/>
      <c r="D10" s="624"/>
      <c r="E10" s="605"/>
      <c r="F10" s="732"/>
      <c r="G10" s="605"/>
      <c r="H10" s="623"/>
      <c r="I10" s="639"/>
      <c r="J10" s="1713"/>
      <c r="K10" s="1707"/>
      <c r="L10" s="226"/>
    </row>
    <row r="11" spans="1:14" ht="15">
      <c r="A11" s="623"/>
      <c r="B11" s="623"/>
      <c r="C11" s="623"/>
      <c r="D11" s="624"/>
      <c r="E11" s="605"/>
      <c r="F11" s="732"/>
      <c r="G11" s="605"/>
      <c r="H11" s="623"/>
      <c r="I11" s="639"/>
      <c r="J11" s="1713"/>
      <c r="K11" s="1707"/>
      <c r="L11" s="226"/>
    </row>
    <row r="12" spans="1:14" ht="15">
      <c r="A12" s="623"/>
      <c r="B12" s="623"/>
      <c r="C12" s="623"/>
      <c r="D12" s="624"/>
      <c r="E12" s="605"/>
      <c r="F12" s="732"/>
      <c r="G12" s="605"/>
      <c r="H12" s="623"/>
      <c r="I12" s="639"/>
      <c r="J12" s="1713"/>
      <c r="K12" s="1707"/>
      <c r="L12" s="226"/>
    </row>
    <row r="13" spans="1:14" ht="15">
      <c r="A13" s="1713"/>
      <c r="B13" s="1713"/>
      <c r="C13" s="1713"/>
      <c r="D13" s="1714"/>
      <c r="E13" s="605"/>
      <c r="F13" s="732"/>
      <c r="G13" s="639"/>
      <c r="H13" s="1713"/>
      <c r="I13" s="639"/>
      <c r="J13" s="1713"/>
      <c r="K13" s="1707"/>
      <c r="L13" s="226"/>
    </row>
    <row r="14" spans="1:14" ht="15">
      <c r="A14" s="1713"/>
      <c r="B14" s="1713"/>
      <c r="C14" s="1713"/>
      <c r="D14" s="1714"/>
      <c r="E14" s="605"/>
      <c r="F14" s="732"/>
      <c r="G14" s="639"/>
      <c r="H14" s="1713"/>
      <c r="I14" s="639"/>
      <c r="J14" s="1713"/>
      <c r="K14" s="1707"/>
      <c r="L14" s="226"/>
    </row>
    <row r="15" spans="1:14" ht="15">
      <c r="A15" s="1714"/>
      <c r="B15" s="1714"/>
      <c r="C15" s="1714"/>
      <c r="D15" s="619"/>
      <c r="E15" s="619"/>
      <c r="F15" s="1144" t="s">
        <v>545</v>
      </c>
      <c r="G15" s="651">
        <f>SUM(G2:G14)-SUM(I2:I14)</f>
        <v>2302.08</v>
      </c>
      <c r="H15" s="634"/>
      <c r="I15" s="639"/>
      <c r="J15" s="1713"/>
      <c r="K15" s="1707"/>
      <c r="L15" s="226"/>
    </row>
    <row r="16" spans="1:14">
      <c r="K16" s="237"/>
    </row>
    <row r="17" spans="11:11">
      <c r="K17" s="237"/>
    </row>
    <row r="18" spans="11:11">
      <c r="K18" s="237"/>
    </row>
  </sheetData>
  <phoneticPr fontId="15" type="noConversion"/>
  <hyperlinks>
    <hyperlink ref="F15" location="汇总!A1" display="剩余欠款"/>
  </hyperlinks>
  <pageMargins left="0.7" right="0.7" top="0.75" bottom="0.75" header="0.3" footer="0.3"/>
  <pageSetup paperSize="9"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pane ySplit="1" topLeftCell="A2" activePane="bottomLeft" state="frozen"/>
      <selection pane="bottomLeft" activeCell="F15" sqref="F15"/>
    </sheetView>
  </sheetViews>
  <sheetFormatPr defaultColWidth="8.75" defaultRowHeight="14.25"/>
  <cols>
    <col min="1" max="1" width="13" style="168" customWidth="1"/>
    <col min="2" max="2" width="13.875" style="168" bestFit="1" customWidth="1"/>
    <col min="3" max="3" width="29.375" style="168" bestFit="1" customWidth="1"/>
    <col min="4" max="5" width="15" style="168" customWidth="1"/>
    <col min="6" max="6" width="13.375" style="527" customWidth="1"/>
    <col min="7" max="7" width="11.375" style="168" bestFit="1" customWidth="1"/>
    <col min="8" max="8" width="16.625" style="168" bestFit="1" customWidth="1"/>
    <col min="9" max="9" width="12.875" style="168" customWidth="1"/>
    <col min="10" max="10" width="11.625" style="168" bestFit="1" customWidth="1"/>
    <col min="11" max="11" width="11.375" style="168" bestFit="1" customWidth="1"/>
    <col min="12" max="12" width="35.375" style="168" customWidth="1"/>
    <col min="13" max="13" width="13.875" style="168" bestFit="1" customWidth="1"/>
    <col min="14" max="16384" width="8.75" style="168"/>
  </cols>
  <sheetData>
    <row r="1" spans="1:14" customFormat="1" ht="18.75">
      <c r="A1" s="1385" t="s">
        <v>536</v>
      </c>
      <c r="B1" s="1385" t="s">
        <v>516</v>
      </c>
      <c r="C1" s="1385" t="s">
        <v>515</v>
      </c>
      <c r="D1" s="1433" t="s">
        <v>2150</v>
      </c>
      <c r="E1" s="1433" t="s">
        <v>2718</v>
      </c>
      <c r="F1" s="1434" t="s">
        <v>2719</v>
      </c>
      <c r="G1" s="1435" t="s">
        <v>2721</v>
      </c>
      <c r="H1" s="1435" t="s">
        <v>4099</v>
      </c>
      <c r="I1" s="1433" t="s">
        <v>3043</v>
      </c>
      <c r="J1" s="1433" t="s">
        <v>4100</v>
      </c>
      <c r="K1" s="257" t="s">
        <v>541</v>
      </c>
      <c r="L1" s="257" t="s">
        <v>542</v>
      </c>
    </row>
    <row r="2" spans="1:14" ht="15">
      <c r="A2" s="623">
        <v>45237</v>
      </c>
      <c r="B2" s="1436" t="s">
        <v>521</v>
      </c>
      <c r="C2" s="623" t="s">
        <v>6505</v>
      </c>
      <c r="D2" s="624" t="s">
        <v>6529</v>
      </c>
      <c r="E2" s="605">
        <v>5239.66</v>
      </c>
      <c r="F2" s="732">
        <v>0</v>
      </c>
      <c r="G2" s="605">
        <v>5239.66</v>
      </c>
      <c r="H2" s="1358">
        <v>45238</v>
      </c>
      <c r="I2" s="611"/>
      <c r="J2" s="1835"/>
      <c r="K2" s="1831"/>
      <c r="L2" s="166"/>
      <c r="M2"/>
      <c r="N2"/>
    </row>
    <row r="3" spans="1:14" ht="15">
      <c r="A3" s="1835">
        <v>45239</v>
      </c>
      <c r="B3" s="1835" t="s">
        <v>521</v>
      </c>
      <c r="C3" s="1835" t="s">
        <v>6505</v>
      </c>
      <c r="D3" s="1837" t="s">
        <v>6530</v>
      </c>
      <c r="E3" s="611">
        <v>0.12</v>
      </c>
      <c r="F3" s="731">
        <v>0</v>
      </c>
      <c r="G3" s="611">
        <v>0.12</v>
      </c>
      <c r="H3" s="1835">
        <v>45240</v>
      </c>
      <c r="I3" s="611">
        <v>0.12</v>
      </c>
      <c r="J3" s="1835">
        <v>45243</v>
      </c>
      <c r="K3" s="1836" t="s">
        <v>6543</v>
      </c>
      <c r="L3" s="226" t="s">
        <v>6531</v>
      </c>
      <c r="M3"/>
      <c r="N3"/>
    </row>
    <row r="4" spans="1:14" ht="15">
      <c r="A4" s="623"/>
      <c r="B4" s="623"/>
      <c r="C4" s="623"/>
      <c r="D4" s="624"/>
      <c r="E4" s="605"/>
      <c r="F4" s="732"/>
      <c r="G4" s="605"/>
      <c r="H4" s="623"/>
      <c r="I4" s="639"/>
      <c r="J4" s="1832"/>
      <c r="K4" s="1831"/>
      <c r="L4" s="226"/>
      <c r="M4"/>
      <c r="N4"/>
    </row>
    <row r="5" spans="1:14" ht="15">
      <c r="A5" s="623"/>
      <c r="B5" s="623"/>
      <c r="C5" s="623"/>
      <c r="D5" s="624"/>
      <c r="E5" s="605"/>
      <c r="F5" s="732"/>
      <c r="G5" s="605"/>
      <c r="H5" s="623"/>
      <c r="I5" s="639"/>
      <c r="J5" s="1832"/>
      <c r="K5" s="1831"/>
      <c r="L5" s="226"/>
    </row>
    <row r="6" spans="1:14" ht="15">
      <c r="A6" s="623"/>
      <c r="B6" s="623"/>
      <c r="C6" s="623"/>
      <c r="D6" s="624"/>
      <c r="E6" s="605"/>
      <c r="F6" s="732"/>
      <c r="G6" s="605"/>
      <c r="H6" s="623"/>
      <c r="I6" s="639"/>
      <c r="J6" s="1832"/>
      <c r="K6" s="1831"/>
      <c r="L6" s="226"/>
    </row>
    <row r="7" spans="1:14" ht="15">
      <c r="A7" s="623"/>
      <c r="B7" s="623"/>
      <c r="C7" s="623"/>
      <c r="D7" s="624"/>
      <c r="E7" s="605"/>
      <c r="F7" s="732"/>
      <c r="G7" s="605"/>
      <c r="H7" s="623"/>
      <c r="I7" s="639"/>
      <c r="J7" s="1832"/>
      <c r="K7" s="1831"/>
      <c r="L7" s="226"/>
    </row>
    <row r="8" spans="1:14" ht="15">
      <c r="A8" s="623"/>
      <c r="B8" s="623"/>
      <c r="C8" s="623"/>
      <c r="D8" s="624"/>
      <c r="E8" s="605"/>
      <c r="F8" s="732"/>
      <c r="G8" s="605"/>
      <c r="H8" s="623"/>
      <c r="I8" s="639"/>
      <c r="J8" s="1832"/>
      <c r="K8" s="1831"/>
      <c r="L8" s="226"/>
    </row>
    <row r="9" spans="1:14" ht="15">
      <c r="A9" s="623"/>
      <c r="B9" s="623"/>
      <c r="C9" s="623"/>
      <c r="D9" s="624"/>
      <c r="E9" s="605"/>
      <c r="F9" s="732"/>
      <c r="G9" s="605"/>
      <c r="H9" s="623"/>
      <c r="I9" s="639"/>
      <c r="J9" s="1832"/>
      <c r="K9" s="1831"/>
      <c r="L9" s="226"/>
    </row>
    <row r="10" spans="1:14" ht="15">
      <c r="A10" s="623"/>
      <c r="B10" s="623"/>
      <c r="C10" s="623"/>
      <c r="D10" s="624"/>
      <c r="E10" s="605"/>
      <c r="F10" s="732"/>
      <c r="G10" s="605"/>
      <c r="H10" s="623"/>
      <c r="I10" s="639"/>
      <c r="J10" s="1832"/>
      <c r="K10" s="1831"/>
      <c r="L10" s="226"/>
    </row>
    <row r="11" spans="1:14" ht="15">
      <c r="A11" s="623"/>
      <c r="B11" s="623"/>
      <c r="C11" s="623"/>
      <c r="D11" s="624"/>
      <c r="E11" s="605"/>
      <c r="F11" s="732"/>
      <c r="G11" s="605"/>
      <c r="H11" s="623"/>
      <c r="I11" s="639"/>
      <c r="J11" s="1832"/>
      <c r="K11" s="1831"/>
      <c r="L11" s="226"/>
    </row>
    <row r="12" spans="1:14" ht="15">
      <c r="A12" s="623"/>
      <c r="B12" s="623"/>
      <c r="C12" s="623"/>
      <c r="D12" s="624"/>
      <c r="E12" s="605"/>
      <c r="F12" s="732"/>
      <c r="G12" s="605"/>
      <c r="H12" s="623"/>
      <c r="I12" s="639"/>
      <c r="J12" s="1832"/>
      <c r="K12" s="1831"/>
      <c r="L12" s="226"/>
    </row>
    <row r="13" spans="1:14" ht="15">
      <c r="A13" s="1832"/>
      <c r="B13" s="1832"/>
      <c r="C13" s="1832"/>
      <c r="D13" s="1833"/>
      <c r="E13" s="605"/>
      <c r="F13" s="732"/>
      <c r="G13" s="639"/>
      <c r="H13" s="1832"/>
      <c r="I13" s="639"/>
      <c r="J13" s="1832"/>
      <c r="K13" s="1831"/>
      <c r="L13" s="226"/>
    </row>
    <row r="14" spans="1:14" ht="15">
      <c r="A14" s="1832"/>
      <c r="B14" s="1832"/>
      <c r="C14" s="1832"/>
      <c r="D14" s="1833"/>
      <c r="E14" s="605"/>
      <c r="F14" s="732"/>
      <c r="G14" s="639"/>
      <c r="H14" s="1832"/>
      <c r="I14" s="639"/>
      <c r="J14" s="1832"/>
      <c r="K14" s="1831"/>
      <c r="L14" s="226"/>
    </row>
    <row r="15" spans="1:14" ht="15">
      <c r="A15" s="1833"/>
      <c r="B15" s="1833"/>
      <c r="C15" s="1833"/>
      <c r="D15" s="619"/>
      <c r="E15" s="619"/>
      <c r="F15" s="1144" t="s">
        <v>545</v>
      </c>
      <c r="G15" s="651">
        <f>SUM(G2:G14)-SUM(I2:I14)</f>
        <v>5239.66</v>
      </c>
      <c r="H15" s="634"/>
      <c r="I15" s="639"/>
      <c r="J15" s="1832"/>
      <c r="K15" s="1831"/>
      <c r="L15" s="226"/>
    </row>
    <row r="16" spans="1:14">
      <c r="K16" s="237"/>
    </row>
    <row r="17" spans="11:11">
      <c r="K17" s="237"/>
    </row>
    <row r="18" spans="11:11">
      <c r="K18" s="237"/>
    </row>
  </sheetData>
  <phoneticPr fontId="15" type="noConversion"/>
  <hyperlinks>
    <hyperlink ref="F15" location="汇总!A1" display="剩余欠款"/>
  </hyperlinks>
  <pageMargins left="0.7" right="0.7" top="0.75" bottom="0.75" header="0.3" footer="0.3"/>
  <pageSetup paperSize="9"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pane ySplit="1" topLeftCell="A2" activePane="bottomLeft" state="frozen"/>
      <selection pane="bottomLeft" activeCell="I3" sqref="I3:L3"/>
    </sheetView>
  </sheetViews>
  <sheetFormatPr defaultColWidth="8.75" defaultRowHeight="14.25"/>
  <cols>
    <col min="1" max="1" width="13" style="168" customWidth="1"/>
    <col min="2" max="2" width="13.875" style="168" bestFit="1" customWidth="1"/>
    <col min="3" max="3" width="19.375" style="168" bestFit="1" customWidth="1"/>
    <col min="4" max="5" width="15" style="168" customWidth="1"/>
    <col min="6" max="6" width="13.375" style="527" customWidth="1"/>
    <col min="7" max="7" width="11.375" style="168" bestFit="1" customWidth="1"/>
    <col min="8" max="8" width="16.625" style="168" bestFit="1" customWidth="1"/>
    <col min="9" max="9" width="12.875" style="168" customWidth="1"/>
    <col min="10" max="10" width="11.625" style="168" bestFit="1" customWidth="1"/>
    <col min="11" max="11" width="11.375" style="168" bestFit="1" customWidth="1"/>
    <col min="12" max="12" width="35.375" style="168" customWidth="1"/>
    <col min="13" max="13" width="13.875" style="168" bestFit="1" customWidth="1"/>
    <col min="14" max="16384" width="8.75" style="168"/>
  </cols>
  <sheetData>
    <row r="1" spans="1:14" customFormat="1" ht="18.75">
      <c r="A1" s="1385" t="s">
        <v>536</v>
      </c>
      <c r="B1" s="1385" t="s">
        <v>516</v>
      </c>
      <c r="C1" s="1385" t="s">
        <v>515</v>
      </c>
      <c r="D1" s="1433" t="s">
        <v>2150</v>
      </c>
      <c r="E1" s="1433" t="s">
        <v>2718</v>
      </c>
      <c r="F1" s="1434" t="s">
        <v>2719</v>
      </c>
      <c r="G1" s="1435" t="s">
        <v>2721</v>
      </c>
      <c r="H1" s="1435" t="s">
        <v>4099</v>
      </c>
      <c r="I1" s="1433" t="s">
        <v>3043</v>
      </c>
      <c r="J1" s="1433" t="s">
        <v>4100</v>
      </c>
      <c r="K1" s="257" t="s">
        <v>541</v>
      </c>
      <c r="L1" s="257" t="s">
        <v>542</v>
      </c>
    </row>
    <row r="2" spans="1:14" ht="15">
      <c r="A2" s="623">
        <v>45237</v>
      </c>
      <c r="B2" s="1436" t="s">
        <v>521</v>
      </c>
      <c r="C2" s="623" t="s">
        <v>6507</v>
      </c>
      <c r="D2" s="624" t="s">
        <v>6532</v>
      </c>
      <c r="E2" s="605">
        <v>4579.3</v>
      </c>
      <c r="F2" s="732">
        <v>0</v>
      </c>
      <c r="G2" s="605">
        <v>4579.3</v>
      </c>
      <c r="H2" s="1358">
        <v>45238</v>
      </c>
      <c r="I2" s="611"/>
      <c r="J2" s="1835"/>
      <c r="K2" s="1831"/>
      <c r="L2" s="166"/>
      <c r="M2"/>
      <c r="N2"/>
    </row>
    <row r="3" spans="1:14" ht="15">
      <c r="A3" s="1835">
        <v>45239</v>
      </c>
      <c r="B3" s="1835" t="s">
        <v>521</v>
      </c>
      <c r="C3" s="1835" t="s">
        <v>6507</v>
      </c>
      <c r="D3" s="1837" t="s">
        <v>6533</v>
      </c>
      <c r="E3" s="611">
        <v>0.12</v>
      </c>
      <c r="F3" s="731">
        <v>0</v>
      </c>
      <c r="G3" s="611">
        <v>0.12</v>
      </c>
      <c r="H3" s="1835">
        <v>45240</v>
      </c>
      <c r="I3" s="611">
        <v>0.12</v>
      </c>
      <c r="J3" s="1835">
        <v>45243</v>
      </c>
      <c r="K3" s="1836" t="s">
        <v>809</v>
      </c>
      <c r="L3" s="226" t="s">
        <v>6531</v>
      </c>
      <c r="M3"/>
      <c r="N3"/>
    </row>
    <row r="4" spans="1:14" ht="15">
      <c r="A4" s="623"/>
      <c r="B4" s="623"/>
      <c r="C4" s="623"/>
      <c r="D4" s="624"/>
      <c r="E4" s="605"/>
      <c r="F4" s="732"/>
      <c r="G4" s="605"/>
      <c r="H4" s="623"/>
      <c r="I4" s="639"/>
      <c r="J4" s="1832"/>
      <c r="K4" s="1831"/>
      <c r="L4" s="226"/>
      <c r="M4"/>
      <c r="N4"/>
    </row>
    <row r="5" spans="1:14" ht="15">
      <c r="A5" s="623"/>
      <c r="B5" s="623"/>
      <c r="C5" s="623"/>
      <c r="D5" s="624"/>
      <c r="E5" s="605"/>
      <c r="F5" s="732"/>
      <c r="G5" s="605"/>
      <c r="H5" s="623"/>
      <c r="I5" s="639"/>
      <c r="J5" s="1832"/>
      <c r="K5" s="1831"/>
      <c r="L5" s="226"/>
    </row>
    <row r="6" spans="1:14" ht="15">
      <c r="A6" s="623"/>
      <c r="B6" s="623"/>
      <c r="C6" s="623"/>
      <c r="D6" s="624"/>
      <c r="E6" s="605"/>
      <c r="F6" s="732"/>
      <c r="G6" s="605"/>
      <c r="H6" s="623"/>
      <c r="I6" s="639"/>
      <c r="J6" s="1832"/>
      <c r="K6" s="1831"/>
      <c r="L6" s="226"/>
    </row>
    <row r="7" spans="1:14" ht="15">
      <c r="A7" s="623"/>
      <c r="B7" s="623"/>
      <c r="C7" s="623"/>
      <c r="D7" s="624"/>
      <c r="E7" s="605"/>
      <c r="F7" s="732"/>
      <c r="G7" s="605"/>
      <c r="H7" s="623"/>
      <c r="I7" s="639"/>
      <c r="J7" s="1832"/>
      <c r="K7" s="1831"/>
      <c r="L7" s="226"/>
    </row>
    <row r="8" spans="1:14" ht="15">
      <c r="A8" s="623"/>
      <c r="B8" s="623"/>
      <c r="C8" s="623"/>
      <c r="D8" s="624"/>
      <c r="E8" s="605"/>
      <c r="F8" s="732"/>
      <c r="G8" s="605"/>
      <c r="H8" s="623"/>
      <c r="I8" s="639"/>
      <c r="J8" s="1832"/>
      <c r="K8" s="1831"/>
      <c r="L8" s="226"/>
    </row>
    <row r="9" spans="1:14" ht="15">
      <c r="A9" s="623"/>
      <c r="B9" s="623"/>
      <c r="C9" s="623"/>
      <c r="D9" s="624"/>
      <c r="E9" s="605"/>
      <c r="F9" s="732"/>
      <c r="G9" s="605"/>
      <c r="H9" s="623"/>
      <c r="I9" s="639"/>
      <c r="J9" s="1832"/>
      <c r="K9" s="1831"/>
      <c r="L9" s="226"/>
    </row>
    <row r="10" spans="1:14" ht="15">
      <c r="A10" s="623"/>
      <c r="B10" s="623"/>
      <c r="C10" s="623"/>
      <c r="D10" s="624"/>
      <c r="E10" s="605"/>
      <c r="F10" s="732"/>
      <c r="G10" s="605"/>
      <c r="H10" s="623"/>
      <c r="I10" s="639"/>
      <c r="J10" s="1832"/>
      <c r="K10" s="1831"/>
      <c r="L10" s="226"/>
    </row>
    <row r="11" spans="1:14" ht="15">
      <c r="A11" s="623"/>
      <c r="B11" s="623"/>
      <c r="C11" s="623"/>
      <c r="D11" s="624"/>
      <c r="E11" s="605"/>
      <c r="F11" s="732"/>
      <c r="G11" s="605"/>
      <c r="H11" s="623"/>
      <c r="I11" s="639"/>
      <c r="J11" s="1832"/>
      <c r="K11" s="1831"/>
      <c r="L11" s="226"/>
    </row>
    <row r="12" spans="1:14" ht="15">
      <c r="A12" s="623"/>
      <c r="B12" s="623"/>
      <c r="C12" s="623"/>
      <c r="D12" s="624"/>
      <c r="E12" s="605"/>
      <c r="F12" s="732"/>
      <c r="G12" s="605"/>
      <c r="H12" s="623"/>
      <c r="I12" s="639"/>
      <c r="J12" s="1832"/>
      <c r="K12" s="1831"/>
      <c r="L12" s="226"/>
    </row>
    <row r="13" spans="1:14" ht="15">
      <c r="A13" s="1832"/>
      <c r="B13" s="1832"/>
      <c r="C13" s="1832"/>
      <c r="D13" s="1833"/>
      <c r="E13" s="605"/>
      <c r="F13" s="732"/>
      <c r="G13" s="639"/>
      <c r="H13" s="1832"/>
      <c r="I13" s="639"/>
      <c r="J13" s="1832"/>
      <c r="K13" s="1831"/>
      <c r="L13" s="226"/>
    </row>
    <row r="14" spans="1:14" ht="15">
      <c r="A14" s="1832"/>
      <c r="B14" s="1832"/>
      <c r="C14" s="1832"/>
      <c r="D14" s="1833"/>
      <c r="E14" s="605"/>
      <c r="F14" s="732"/>
      <c r="G14" s="639"/>
      <c r="H14" s="1832"/>
      <c r="I14" s="639"/>
      <c r="J14" s="1832"/>
      <c r="K14" s="1831"/>
      <c r="L14" s="226"/>
    </row>
    <row r="15" spans="1:14" ht="15">
      <c r="A15" s="1833"/>
      <c r="B15" s="1833"/>
      <c r="C15" s="1833"/>
      <c r="D15" s="619"/>
      <c r="E15" s="619"/>
      <c r="F15" s="1144" t="s">
        <v>545</v>
      </c>
      <c r="G15" s="651">
        <f>SUM(G2:G14)-SUM(I2:I14)</f>
        <v>4579.3</v>
      </c>
      <c r="H15" s="634"/>
      <c r="I15" s="639"/>
      <c r="J15" s="1832"/>
      <c r="K15" s="1831"/>
      <c r="L15" s="226"/>
    </row>
    <row r="16" spans="1:14">
      <c r="K16" s="237"/>
    </row>
    <row r="17" spans="11:11">
      <c r="K17" s="237"/>
    </row>
    <row r="18" spans="11:11">
      <c r="K18" s="237"/>
    </row>
  </sheetData>
  <phoneticPr fontId="15" type="noConversion"/>
  <hyperlinks>
    <hyperlink ref="F15" location="汇总!A1" display="剩余欠款"/>
  </hyperlinks>
  <pageMargins left="0.7" right="0.7" top="0.75" bottom="0.75" header="0.3" footer="0.3"/>
  <pageSetup paperSize="9"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pane ySplit="1" topLeftCell="A2" activePane="bottomLeft" state="frozen"/>
      <selection pane="bottomLeft" activeCell="F15" sqref="F15"/>
    </sheetView>
  </sheetViews>
  <sheetFormatPr defaultColWidth="8.75" defaultRowHeight="14.25"/>
  <cols>
    <col min="1" max="1" width="13" style="168" customWidth="1"/>
    <col min="2" max="2" width="13.875" style="168" bestFit="1" customWidth="1"/>
    <col min="3" max="3" width="18.375" style="168" customWidth="1"/>
    <col min="4" max="5" width="15" style="168" customWidth="1"/>
    <col min="6" max="6" width="13.375" style="527" customWidth="1"/>
    <col min="7" max="7" width="11.375" style="168" bestFit="1" customWidth="1"/>
    <col min="8" max="8" width="16.625" style="168" bestFit="1" customWidth="1"/>
    <col min="9" max="9" width="12.875" style="168" customWidth="1"/>
    <col min="10" max="10" width="11.625" style="168" bestFit="1" customWidth="1"/>
    <col min="11" max="11" width="11.375" style="168" bestFit="1" customWidth="1"/>
    <col min="12" max="12" width="35.375" style="168" customWidth="1"/>
    <col min="13" max="13" width="13.875" style="168" bestFit="1" customWidth="1"/>
    <col min="14" max="16384" width="8.75" style="168"/>
  </cols>
  <sheetData>
    <row r="1" spans="1:14" customFormat="1" ht="18.75">
      <c r="A1" s="1385" t="s">
        <v>536</v>
      </c>
      <c r="B1" s="1385" t="s">
        <v>516</v>
      </c>
      <c r="C1" s="1385" t="s">
        <v>515</v>
      </c>
      <c r="D1" s="1433" t="s">
        <v>2150</v>
      </c>
      <c r="E1" s="1433" t="s">
        <v>2718</v>
      </c>
      <c r="F1" s="1434" t="s">
        <v>2719</v>
      </c>
      <c r="G1" s="1435" t="s">
        <v>2721</v>
      </c>
      <c r="H1" s="1435" t="s">
        <v>4099</v>
      </c>
      <c r="I1" s="1433" t="s">
        <v>3043</v>
      </c>
      <c r="J1" s="1433" t="s">
        <v>4100</v>
      </c>
      <c r="K1" s="257" t="s">
        <v>541</v>
      </c>
      <c r="L1" s="257" t="s">
        <v>542</v>
      </c>
    </row>
    <row r="2" spans="1:14" ht="15">
      <c r="A2" s="623">
        <v>45237</v>
      </c>
      <c r="B2" s="1436" t="s">
        <v>521</v>
      </c>
      <c r="C2" s="623" t="s">
        <v>6509</v>
      </c>
      <c r="D2" s="624" t="s">
        <v>6534</v>
      </c>
      <c r="E2" s="605">
        <v>5239.66</v>
      </c>
      <c r="F2" s="732">
        <v>0</v>
      </c>
      <c r="G2" s="605">
        <v>5239.66</v>
      </c>
      <c r="H2" s="1358">
        <v>45238</v>
      </c>
      <c r="I2" s="611"/>
      <c r="J2" s="1835"/>
      <c r="K2" s="1831"/>
      <c r="L2" s="166"/>
      <c r="M2"/>
      <c r="N2"/>
    </row>
    <row r="3" spans="1:14" ht="15">
      <c r="A3" s="1835">
        <v>45239</v>
      </c>
      <c r="B3" s="1835" t="s">
        <v>521</v>
      </c>
      <c r="C3" s="1835" t="s">
        <v>6509</v>
      </c>
      <c r="D3" s="1837" t="s">
        <v>6535</v>
      </c>
      <c r="E3" s="611">
        <v>0.12</v>
      </c>
      <c r="F3" s="731">
        <v>0</v>
      </c>
      <c r="G3" s="611">
        <v>0.12</v>
      </c>
      <c r="H3" s="1835">
        <v>45240</v>
      </c>
      <c r="I3" s="611">
        <v>0.12</v>
      </c>
      <c r="J3" s="1835">
        <v>45243</v>
      </c>
      <c r="K3" s="1836" t="s">
        <v>809</v>
      </c>
      <c r="L3" s="166" t="s">
        <v>6531</v>
      </c>
      <c r="M3"/>
      <c r="N3"/>
    </row>
    <row r="4" spans="1:14" ht="15">
      <c r="A4" s="623"/>
      <c r="B4" s="623"/>
      <c r="C4" s="623"/>
      <c r="D4" s="624"/>
      <c r="E4" s="605"/>
      <c r="F4" s="732"/>
      <c r="G4" s="605"/>
      <c r="H4" s="623"/>
      <c r="I4" s="639"/>
      <c r="J4" s="1832"/>
      <c r="K4" s="1831"/>
      <c r="L4" s="226"/>
      <c r="M4"/>
      <c r="N4"/>
    </row>
    <row r="5" spans="1:14" ht="15">
      <c r="A5" s="623"/>
      <c r="B5" s="623"/>
      <c r="C5" s="623"/>
      <c r="D5" s="624"/>
      <c r="E5" s="605"/>
      <c r="F5" s="732"/>
      <c r="G5" s="605"/>
      <c r="H5" s="623"/>
      <c r="I5" s="639"/>
      <c r="J5" s="1832"/>
      <c r="K5" s="1831"/>
      <c r="L5" s="226"/>
    </row>
    <row r="6" spans="1:14" ht="15">
      <c r="A6" s="623"/>
      <c r="B6" s="623"/>
      <c r="C6" s="623"/>
      <c r="D6" s="624"/>
      <c r="E6" s="605"/>
      <c r="F6" s="732"/>
      <c r="G6" s="605"/>
      <c r="H6" s="623"/>
      <c r="I6" s="639"/>
      <c r="J6" s="1832"/>
      <c r="K6" s="1831"/>
      <c r="L6" s="226"/>
    </row>
    <row r="7" spans="1:14" ht="15">
      <c r="A7" s="623"/>
      <c r="B7" s="623"/>
      <c r="C7" s="623"/>
      <c r="D7" s="624"/>
      <c r="E7" s="605"/>
      <c r="F7" s="732"/>
      <c r="G7" s="605"/>
      <c r="H7" s="623"/>
      <c r="I7" s="639"/>
      <c r="J7" s="1832"/>
      <c r="K7" s="1831"/>
      <c r="L7" s="226"/>
    </row>
    <row r="8" spans="1:14" ht="15">
      <c r="A8" s="623"/>
      <c r="B8" s="623"/>
      <c r="C8" s="623"/>
      <c r="D8" s="624"/>
      <c r="E8" s="605"/>
      <c r="F8" s="732"/>
      <c r="G8" s="605"/>
      <c r="H8" s="623"/>
      <c r="I8" s="639"/>
      <c r="J8" s="1832"/>
      <c r="K8" s="1831"/>
      <c r="L8" s="226"/>
    </row>
    <row r="9" spans="1:14" ht="15">
      <c r="A9" s="623"/>
      <c r="B9" s="623"/>
      <c r="C9" s="623"/>
      <c r="D9" s="624"/>
      <c r="E9" s="605"/>
      <c r="F9" s="732"/>
      <c r="G9" s="605"/>
      <c r="H9" s="623"/>
      <c r="I9" s="639"/>
      <c r="J9" s="1832"/>
      <c r="K9" s="1831"/>
      <c r="L9" s="226"/>
    </row>
    <row r="10" spans="1:14" ht="15">
      <c r="A10" s="623"/>
      <c r="B10" s="623"/>
      <c r="C10" s="623"/>
      <c r="D10" s="624"/>
      <c r="E10" s="605"/>
      <c r="F10" s="732"/>
      <c r="G10" s="605"/>
      <c r="H10" s="623"/>
      <c r="I10" s="639"/>
      <c r="J10" s="1832"/>
      <c r="K10" s="1831"/>
      <c r="L10" s="226"/>
    </row>
    <row r="11" spans="1:14" ht="15">
      <c r="A11" s="623"/>
      <c r="B11" s="623"/>
      <c r="C11" s="623"/>
      <c r="D11" s="624"/>
      <c r="E11" s="605"/>
      <c r="F11" s="732"/>
      <c r="G11" s="605"/>
      <c r="H11" s="623"/>
      <c r="I11" s="639"/>
      <c r="J11" s="1832"/>
      <c r="K11" s="1831"/>
      <c r="L11" s="226"/>
    </row>
    <row r="12" spans="1:14" ht="15">
      <c r="A12" s="623"/>
      <c r="B12" s="623"/>
      <c r="C12" s="623"/>
      <c r="D12" s="624"/>
      <c r="E12" s="605"/>
      <c r="F12" s="732"/>
      <c r="G12" s="605"/>
      <c r="H12" s="623"/>
      <c r="I12" s="639"/>
      <c r="J12" s="1832"/>
      <c r="K12" s="1831"/>
      <c r="L12" s="226"/>
    </row>
    <row r="13" spans="1:14" ht="15">
      <c r="A13" s="1832"/>
      <c r="B13" s="1832"/>
      <c r="C13" s="1832"/>
      <c r="D13" s="1833"/>
      <c r="E13" s="605"/>
      <c r="F13" s="732"/>
      <c r="G13" s="639"/>
      <c r="H13" s="1832"/>
      <c r="I13" s="639"/>
      <c r="J13" s="1832"/>
      <c r="K13" s="1831"/>
      <c r="L13" s="226"/>
    </row>
    <row r="14" spans="1:14" ht="15">
      <c r="A14" s="1832"/>
      <c r="B14" s="1832"/>
      <c r="C14" s="1832"/>
      <c r="D14" s="1833"/>
      <c r="E14" s="605"/>
      <c r="F14" s="732"/>
      <c r="G14" s="639"/>
      <c r="H14" s="1832"/>
      <c r="I14" s="639"/>
      <c r="J14" s="1832"/>
      <c r="K14" s="1831"/>
      <c r="L14" s="226"/>
    </row>
    <row r="15" spans="1:14" ht="15">
      <c r="A15" s="1833"/>
      <c r="B15" s="1833"/>
      <c r="C15" s="1833"/>
      <c r="D15" s="619"/>
      <c r="E15" s="619"/>
      <c r="F15" s="1144" t="s">
        <v>545</v>
      </c>
      <c r="G15" s="651">
        <f>SUM(G2:G14)-SUM(I2:I14)</f>
        <v>5239.66</v>
      </c>
      <c r="H15" s="634"/>
      <c r="I15" s="639"/>
      <c r="J15" s="1832"/>
      <c r="K15" s="1831"/>
      <c r="L15" s="226"/>
    </row>
    <row r="16" spans="1:14">
      <c r="K16" s="237"/>
    </row>
    <row r="17" spans="11:11">
      <c r="K17" s="237"/>
    </row>
    <row r="18" spans="11:11">
      <c r="K18" s="237"/>
    </row>
  </sheetData>
  <phoneticPr fontId="15" type="noConversion"/>
  <hyperlinks>
    <hyperlink ref="F15" location="汇总!A1" display="剩余欠款"/>
  </hyperlinks>
  <pageMargins left="0.7" right="0.7" top="0.75" bottom="0.75" header="0.3" footer="0.3"/>
  <pageSetup paperSize="9"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/>
  <dimension ref="A1:G25"/>
  <sheetViews>
    <sheetView workbookViewId="0">
      <selection activeCell="C2" sqref="C2:C12"/>
    </sheetView>
  </sheetViews>
  <sheetFormatPr defaultRowHeight="14.25"/>
  <cols>
    <col min="1" max="1" width="10.875" bestFit="1" customWidth="1"/>
    <col min="2" max="2" width="14" bestFit="1" customWidth="1"/>
    <col min="4" max="4" width="10.875" bestFit="1" customWidth="1"/>
  </cols>
  <sheetData>
    <row r="1" spans="1:7">
      <c r="A1" s="77" t="s">
        <v>536</v>
      </c>
      <c r="B1" s="77" t="s">
        <v>537</v>
      </c>
      <c r="C1" s="77" t="s">
        <v>538</v>
      </c>
      <c r="D1" s="77" t="s">
        <v>539</v>
      </c>
      <c r="E1" s="77" t="s">
        <v>584</v>
      </c>
      <c r="F1" s="77" t="s">
        <v>585</v>
      </c>
      <c r="G1" s="77" t="s">
        <v>542</v>
      </c>
    </row>
    <row r="2" spans="1:7">
      <c r="A2" s="1" t="s">
        <v>1704</v>
      </c>
      <c r="B2" s="1" t="s">
        <v>1705</v>
      </c>
      <c r="C2" s="1">
        <v>4955.93</v>
      </c>
      <c r="D2" s="2395">
        <v>1140</v>
      </c>
      <c r="E2" s="2395" t="s">
        <v>550</v>
      </c>
      <c r="F2" s="2395" t="s">
        <v>1706</v>
      </c>
      <c r="G2" s="1" t="s">
        <v>1707</v>
      </c>
    </row>
    <row r="3" spans="1:7">
      <c r="A3" s="1" t="s">
        <v>1708</v>
      </c>
      <c r="B3" s="1" t="s">
        <v>1709</v>
      </c>
      <c r="C3" s="1">
        <v>-74.25</v>
      </c>
      <c r="D3" s="2396"/>
      <c r="E3" s="2396"/>
      <c r="F3" s="2396"/>
      <c r="G3" s="1" t="s">
        <v>1710</v>
      </c>
    </row>
    <row r="4" spans="1:7">
      <c r="A4" s="1" t="s">
        <v>1708</v>
      </c>
      <c r="B4" s="1" t="s">
        <v>1711</v>
      </c>
      <c r="C4" s="1">
        <v>117</v>
      </c>
      <c r="D4" s="2396"/>
      <c r="E4" s="2396"/>
      <c r="F4" s="2396"/>
      <c r="G4" s="1" t="s">
        <v>1712</v>
      </c>
    </row>
    <row r="5" spans="1:7" ht="15">
      <c r="A5" s="79">
        <v>44280.04115740741</v>
      </c>
      <c r="B5" s="80" t="s">
        <v>1713</v>
      </c>
      <c r="C5" s="80">
        <v>1078.8399999999999</v>
      </c>
      <c r="D5" s="2396"/>
      <c r="E5" s="2396"/>
      <c r="F5" s="2396"/>
      <c r="G5" s="80" t="s">
        <v>1714</v>
      </c>
    </row>
    <row r="6" spans="1:7" ht="15">
      <c r="A6" s="79">
        <v>44285.999490740738</v>
      </c>
      <c r="B6" s="80" t="s">
        <v>1715</v>
      </c>
      <c r="C6" s="1">
        <v>-44.47</v>
      </c>
      <c r="D6" s="2396"/>
      <c r="E6" s="2396"/>
      <c r="F6" s="2396"/>
      <c r="G6" s="1" t="s">
        <v>389</v>
      </c>
    </row>
    <row r="7" spans="1:7" ht="15">
      <c r="A7" s="79">
        <v>44285.999490740738</v>
      </c>
      <c r="B7" s="80" t="s">
        <v>1716</v>
      </c>
      <c r="C7" s="1">
        <v>-32.78</v>
      </c>
      <c r="D7" s="2396"/>
      <c r="E7" s="2396"/>
      <c r="F7" s="2396"/>
      <c r="G7" s="1" t="s">
        <v>389</v>
      </c>
    </row>
    <row r="8" spans="1:7" ht="15">
      <c r="A8" s="79">
        <v>44285.999490740738</v>
      </c>
      <c r="B8" s="80" t="s">
        <v>1717</v>
      </c>
      <c r="C8" s="1">
        <v>-26.81</v>
      </c>
      <c r="D8" s="2396"/>
      <c r="E8" s="2396"/>
      <c r="F8" s="2396"/>
      <c r="G8" s="1" t="s">
        <v>389</v>
      </c>
    </row>
    <row r="9" spans="1:7" ht="15">
      <c r="A9" s="79">
        <v>44285.999490740738</v>
      </c>
      <c r="B9" s="80" t="s">
        <v>1718</v>
      </c>
      <c r="C9" s="1">
        <v>-1793.56</v>
      </c>
      <c r="D9" s="2396"/>
      <c r="E9" s="2396"/>
      <c r="F9" s="2396"/>
      <c r="G9" s="1" t="s">
        <v>389</v>
      </c>
    </row>
    <row r="10" spans="1:7" ht="15">
      <c r="A10" s="79">
        <v>44285.999490740738</v>
      </c>
      <c r="B10" s="80" t="s">
        <v>1719</v>
      </c>
      <c r="C10" s="1">
        <v>-174.34</v>
      </c>
      <c r="D10" s="2396"/>
      <c r="E10" s="2396"/>
      <c r="F10" s="2396"/>
      <c r="G10" s="1" t="s">
        <v>389</v>
      </c>
    </row>
    <row r="11" spans="1:7" ht="15">
      <c r="A11" s="81">
        <v>44363</v>
      </c>
      <c r="B11" s="82" t="s">
        <v>1720</v>
      </c>
      <c r="C11" s="1">
        <v>-207.27</v>
      </c>
      <c r="D11" s="2396"/>
      <c r="E11" s="2396"/>
      <c r="F11" s="2396"/>
      <c r="G11" s="1"/>
    </row>
    <row r="12" spans="1:7" ht="15">
      <c r="A12" s="81">
        <v>44363</v>
      </c>
      <c r="B12" s="82" t="s">
        <v>1721</v>
      </c>
      <c r="C12" s="1">
        <v>-2657.53</v>
      </c>
      <c r="D12" s="2396"/>
      <c r="E12" s="2396"/>
      <c r="F12" s="2396"/>
      <c r="G12" s="1"/>
    </row>
    <row r="13" spans="1:7">
      <c r="A13" s="56"/>
      <c r="B13" s="56"/>
      <c r="C13" s="56"/>
      <c r="D13" s="56"/>
      <c r="E13" s="56"/>
      <c r="F13" s="56"/>
      <c r="G13" s="56"/>
    </row>
    <row r="14" spans="1:7">
      <c r="A14" s="56"/>
      <c r="B14" s="56"/>
      <c r="C14" s="56"/>
      <c r="D14" s="56"/>
      <c r="E14" s="56"/>
      <c r="F14" s="56"/>
      <c r="G14" s="56"/>
    </row>
    <row r="15" spans="1:7">
      <c r="A15" s="56"/>
      <c r="B15" s="83" t="s">
        <v>1173</v>
      </c>
      <c r="C15" s="56">
        <v>0</v>
      </c>
      <c r="D15" s="56"/>
      <c r="E15" s="56"/>
      <c r="F15" s="56"/>
      <c r="G15" s="56"/>
    </row>
    <row r="16" spans="1:7">
      <c r="A16" s="56"/>
      <c r="B16" s="56"/>
      <c r="C16" s="56"/>
      <c r="D16" s="56"/>
      <c r="E16" s="56"/>
      <c r="F16" s="56"/>
      <c r="G16" s="56"/>
    </row>
    <row r="17" spans="1:7">
      <c r="A17" s="56"/>
      <c r="B17" s="56"/>
      <c r="C17" s="56"/>
      <c r="D17" s="56"/>
      <c r="E17" s="56"/>
      <c r="F17" s="56"/>
      <c r="G17" s="56"/>
    </row>
    <row r="18" spans="1:7">
      <c r="A18" s="56"/>
      <c r="B18" s="56"/>
      <c r="C18" s="56"/>
      <c r="D18" s="56"/>
      <c r="E18" s="56"/>
      <c r="F18" s="56"/>
      <c r="G18" s="56"/>
    </row>
    <row r="19" spans="1:7">
      <c r="A19" s="56"/>
      <c r="B19" s="56"/>
      <c r="C19" s="56"/>
      <c r="D19" s="56"/>
      <c r="E19" s="56"/>
      <c r="F19" s="56"/>
      <c r="G19" s="56"/>
    </row>
    <row r="20" spans="1:7">
      <c r="A20" s="56"/>
      <c r="B20" s="56"/>
      <c r="C20" s="56"/>
      <c r="D20" s="56"/>
      <c r="E20" s="56"/>
      <c r="F20" s="56"/>
      <c r="G20" s="56"/>
    </row>
    <row r="21" spans="1:7">
      <c r="A21" s="56"/>
      <c r="B21" s="56"/>
      <c r="C21" s="56"/>
      <c r="D21" s="56"/>
      <c r="E21" s="56"/>
      <c r="F21" s="56"/>
      <c r="G21" s="56"/>
    </row>
    <row r="22" spans="1:7">
      <c r="A22" s="56"/>
      <c r="B22" s="56"/>
      <c r="C22" s="56"/>
      <c r="D22" s="56"/>
      <c r="E22" s="56"/>
      <c r="F22" s="56"/>
      <c r="G22" s="56"/>
    </row>
    <row r="23" spans="1:7">
      <c r="A23" s="56"/>
      <c r="B23" s="56"/>
      <c r="C23" s="56"/>
      <c r="D23" s="56"/>
      <c r="E23" s="56"/>
      <c r="F23" s="56"/>
      <c r="G23" s="56"/>
    </row>
    <row r="24" spans="1:7">
      <c r="A24" s="56"/>
      <c r="B24" s="56"/>
      <c r="C24" s="56"/>
      <c r="D24" s="56"/>
      <c r="E24" s="56"/>
      <c r="F24" s="56"/>
      <c r="G24" s="56"/>
    </row>
    <row r="25" spans="1:7">
      <c r="A25" s="56"/>
      <c r="B25" s="56"/>
      <c r="C25" s="56"/>
      <c r="D25" s="56"/>
      <c r="E25" s="56"/>
      <c r="F25" s="56"/>
      <c r="G25" s="56"/>
    </row>
  </sheetData>
  <mergeCells count="3">
    <mergeCell ref="D2:D12"/>
    <mergeCell ref="E2:E12"/>
    <mergeCell ref="F2:F12"/>
  </mergeCells>
  <phoneticPr fontId="15" type="noConversion"/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/>
  <dimension ref="A1:H17"/>
  <sheetViews>
    <sheetView zoomScaleSheetLayoutView="100" workbookViewId="0">
      <selection activeCell="D17" sqref="D17"/>
    </sheetView>
  </sheetViews>
  <sheetFormatPr defaultRowHeight="14.25"/>
  <cols>
    <col min="1" max="4" width="22.25" style="55" customWidth="1"/>
    <col min="5" max="7" width="22.25" style="56" customWidth="1"/>
    <col min="8" max="8" width="65.25" style="56" customWidth="1"/>
    <col min="9" max="16384" width="9" style="56"/>
  </cols>
  <sheetData>
    <row r="1" spans="1:8">
      <c r="A1" s="57" t="s">
        <v>536</v>
      </c>
      <c r="B1" s="58" t="s">
        <v>548</v>
      </c>
      <c r="C1" s="58" t="s">
        <v>537</v>
      </c>
      <c r="D1" s="58" t="s">
        <v>538</v>
      </c>
      <c r="E1" s="57" t="s">
        <v>539</v>
      </c>
      <c r="F1" s="58" t="s">
        <v>584</v>
      </c>
      <c r="G1" s="58" t="s">
        <v>585</v>
      </c>
      <c r="H1" s="58" t="s">
        <v>542</v>
      </c>
    </row>
    <row r="2" spans="1:8" s="1" customFormat="1" ht="15">
      <c r="A2" s="59" t="s">
        <v>1722</v>
      </c>
      <c r="B2" s="59"/>
      <c r="C2" s="59" t="s">
        <v>1723</v>
      </c>
      <c r="D2" s="59">
        <v>4006.82</v>
      </c>
      <c r="E2" s="59">
        <v>4006</v>
      </c>
      <c r="F2" s="5" t="s">
        <v>1724</v>
      </c>
      <c r="G2" s="59" t="s">
        <v>761</v>
      </c>
      <c r="H2" s="59" t="s">
        <v>1725</v>
      </c>
    </row>
    <row r="3" spans="1:8" ht="15">
      <c r="A3" s="59"/>
      <c r="B3" s="59" t="s">
        <v>545</v>
      </c>
      <c r="C3" s="59"/>
      <c r="D3" s="59">
        <f>D2-E2</f>
        <v>0.82000000000016371</v>
      </c>
      <c r="E3" s="2397">
        <v>1632</v>
      </c>
      <c r="F3" s="1886" t="s">
        <v>550</v>
      </c>
      <c r="G3" s="2397" t="s">
        <v>606</v>
      </c>
      <c r="H3" s="59"/>
    </row>
    <row r="4" spans="1:8" ht="15">
      <c r="A4" s="5" t="s">
        <v>751</v>
      </c>
      <c r="B4" s="59"/>
      <c r="C4" s="59" t="s">
        <v>1726</v>
      </c>
      <c r="D4" s="59">
        <v>355.9</v>
      </c>
      <c r="E4" s="2398"/>
      <c r="F4" s="1887"/>
      <c r="G4" s="2398"/>
      <c r="H4" s="59"/>
    </row>
    <row r="5" spans="1:8" ht="15">
      <c r="A5" s="59" t="s">
        <v>1212</v>
      </c>
      <c r="B5" s="59">
        <v>4</v>
      </c>
      <c r="C5" s="59" t="s">
        <v>1727</v>
      </c>
      <c r="D5" s="59">
        <v>1223.51</v>
      </c>
      <c r="E5" s="2398"/>
      <c r="F5" s="1887"/>
      <c r="G5" s="2398"/>
      <c r="H5" s="59" t="s">
        <v>753</v>
      </c>
    </row>
    <row r="6" spans="1:8" ht="15">
      <c r="A6" s="5" t="s">
        <v>1728</v>
      </c>
      <c r="B6" s="5"/>
      <c r="C6" s="5" t="s">
        <v>1729</v>
      </c>
      <c r="D6" s="59">
        <v>478.62</v>
      </c>
      <c r="E6" s="2398"/>
      <c r="F6" s="1887"/>
      <c r="G6" s="2398"/>
      <c r="H6" s="1" t="s">
        <v>753</v>
      </c>
    </row>
    <row r="7" spans="1:8" ht="15">
      <c r="A7" s="60" t="s">
        <v>1730</v>
      </c>
      <c r="B7" s="61"/>
      <c r="C7" s="61" t="s">
        <v>1731</v>
      </c>
      <c r="D7" s="61">
        <v>-425.85</v>
      </c>
      <c r="E7" s="2399"/>
      <c r="F7" s="1888"/>
      <c r="G7" s="2399"/>
      <c r="H7" s="59"/>
    </row>
    <row r="8" spans="1:8" s="1" customFormat="1" ht="15">
      <c r="A8" s="60"/>
      <c r="B8" s="61"/>
      <c r="C8" s="61" t="s">
        <v>545</v>
      </c>
      <c r="D8" s="61">
        <v>1</v>
      </c>
      <c r="E8" s="2397">
        <v>3881.84</v>
      </c>
      <c r="F8" s="1886" t="s">
        <v>550</v>
      </c>
      <c r="G8" s="2397" t="s">
        <v>784</v>
      </c>
      <c r="H8" s="59"/>
    </row>
    <row r="9" spans="1:8" s="1" customFormat="1" ht="15">
      <c r="A9" s="5" t="s">
        <v>701</v>
      </c>
      <c r="B9" s="5"/>
      <c r="C9" s="5" t="s">
        <v>1732</v>
      </c>
      <c r="D9" s="59">
        <v>3881.84</v>
      </c>
      <c r="E9" s="2399"/>
      <c r="F9" s="1888"/>
      <c r="G9" s="2399"/>
      <c r="H9" s="59" t="s">
        <v>1733</v>
      </c>
    </row>
    <row r="10" spans="1:8" ht="15">
      <c r="A10" s="62"/>
      <c r="B10" s="63"/>
      <c r="C10" s="63"/>
      <c r="D10" s="63"/>
      <c r="E10" s="64"/>
      <c r="F10" s="63"/>
      <c r="G10" s="63"/>
      <c r="H10" s="65"/>
    </row>
    <row r="11" spans="1:8" ht="15">
      <c r="A11" s="62"/>
      <c r="B11" s="65"/>
      <c r="C11" s="63"/>
      <c r="D11" s="63"/>
      <c r="E11" s="66"/>
      <c r="F11" s="63"/>
      <c r="G11" s="63"/>
      <c r="H11" s="65"/>
    </row>
    <row r="12" spans="1:8" ht="15">
      <c r="A12" s="67"/>
      <c r="B12" s="63"/>
      <c r="C12" s="63"/>
      <c r="D12" s="63"/>
      <c r="E12" s="66"/>
      <c r="F12" s="63"/>
      <c r="G12" s="63"/>
      <c r="H12" s="65"/>
    </row>
    <row r="13" spans="1:8" ht="15">
      <c r="A13" s="67"/>
      <c r="B13" s="63"/>
      <c r="C13" s="63"/>
      <c r="D13" s="63"/>
      <c r="E13" s="66"/>
      <c r="F13" s="63"/>
      <c r="G13" s="63"/>
      <c r="H13" s="63"/>
    </row>
    <row r="14" spans="1:8" ht="15">
      <c r="A14" s="67"/>
      <c r="B14" s="63"/>
      <c r="C14" s="63"/>
      <c r="D14" s="63"/>
      <c r="E14" s="66"/>
      <c r="F14" s="63"/>
      <c r="G14" s="63"/>
      <c r="H14" s="63"/>
    </row>
    <row r="15" spans="1:8" ht="15">
      <c r="A15" s="68"/>
      <c r="B15" s="69"/>
      <c r="C15" s="70"/>
      <c r="D15" s="70"/>
      <c r="E15" s="71"/>
      <c r="F15" s="72"/>
      <c r="G15" s="73"/>
      <c r="H15" s="70"/>
    </row>
    <row r="16" spans="1:8" ht="15">
      <c r="A16" s="71"/>
      <c r="B16" s="74"/>
      <c r="C16" s="41" t="s">
        <v>513</v>
      </c>
      <c r="D16" s="74">
        <v>0</v>
      </c>
      <c r="E16" s="75"/>
      <c r="F16" s="74"/>
      <c r="G16" s="74"/>
      <c r="H16" s="74"/>
    </row>
    <row r="17" spans="1:8">
      <c r="A17" s="76"/>
      <c r="B17" s="19"/>
      <c r="C17" s="19"/>
      <c r="D17" s="19"/>
      <c r="E17" s="76"/>
      <c r="F17" s="19"/>
      <c r="G17" s="19"/>
      <c r="H17" s="19"/>
    </row>
  </sheetData>
  <mergeCells count="6">
    <mergeCell ref="E3:E7"/>
    <mergeCell ref="E8:E9"/>
    <mergeCell ref="F3:F7"/>
    <mergeCell ref="F8:F9"/>
    <mergeCell ref="G3:G7"/>
    <mergeCell ref="G8:G9"/>
  </mergeCells>
  <phoneticPr fontId="15" type="noConversion"/>
  <pageMargins left="0.75" right="0.75" top="1" bottom="1" header="0.5" footer="0.5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H25"/>
  <sheetViews>
    <sheetView topLeftCell="A4" zoomScaleSheetLayoutView="100" workbookViewId="0">
      <selection activeCell="J14" sqref="J14"/>
    </sheetView>
  </sheetViews>
  <sheetFormatPr defaultRowHeight="14.25"/>
  <cols>
    <col min="1" max="2" width="12.625" customWidth="1"/>
    <col min="3" max="3" width="19.125" customWidth="1"/>
    <col min="4" max="4" width="12.625" customWidth="1"/>
    <col min="5" max="5" width="16.5" customWidth="1"/>
    <col min="6" max="7" width="21" customWidth="1"/>
    <col min="8" max="8" width="27.75" customWidth="1"/>
  </cols>
  <sheetData>
    <row r="1" spans="1:8" ht="15">
      <c r="A1" s="2400" t="s">
        <v>1734</v>
      </c>
      <c r="B1" s="2401"/>
      <c r="C1" s="2401"/>
      <c r="D1" s="2401"/>
      <c r="E1" s="2401"/>
      <c r="F1" s="2401"/>
      <c r="G1" s="2401"/>
      <c r="H1" s="2401"/>
    </row>
    <row r="2" spans="1:8" ht="15.75">
      <c r="A2" s="21" t="s">
        <v>536</v>
      </c>
      <c r="B2" s="22" t="s">
        <v>548</v>
      </c>
      <c r="C2" s="22" t="s">
        <v>537</v>
      </c>
      <c r="D2" s="22" t="s">
        <v>538</v>
      </c>
      <c r="E2" s="21" t="s">
        <v>539</v>
      </c>
      <c r="F2" s="22" t="s">
        <v>540</v>
      </c>
      <c r="G2" s="23" t="s">
        <v>541</v>
      </c>
      <c r="H2" s="22" t="s">
        <v>542</v>
      </c>
    </row>
    <row r="3" spans="1:8" ht="15.75">
      <c r="A3" s="24">
        <v>43552</v>
      </c>
      <c r="B3" s="25" t="s">
        <v>1735</v>
      </c>
      <c r="C3" s="25" t="s">
        <v>130</v>
      </c>
      <c r="D3" s="25">
        <v>8283.09</v>
      </c>
      <c r="E3" s="25">
        <v>4000</v>
      </c>
      <c r="F3" s="26" t="s">
        <v>132</v>
      </c>
      <c r="G3" s="27" t="s">
        <v>384</v>
      </c>
      <c r="H3" s="25" t="s">
        <v>1736</v>
      </c>
    </row>
    <row r="4" spans="1:8" ht="15.75">
      <c r="A4" s="28" t="s">
        <v>545</v>
      </c>
      <c r="B4" s="29"/>
      <c r="C4" s="29"/>
      <c r="D4" s="29">
        <f>SUM(D3)-E3</f>
        <v>4283.09</v>
      </c>
      <c r="E4" s="29">
        <v>4000</v>
      </c>
      <c r="F4" s="29" t="s">
        <v>147</v>
      </c>
      <c r="G4" s="30" t="s">
        <v>384</v>
      </c>
      <c r="H4" s="29"/>
    </row>
    <row r="5" spans="1:8" ht="15.75">
      <c r="A5" s="31" t="s">
        <v>545</v>
      </c>
      <c r="B5" s="32"/>
      <c r="C5" s="32"/>
      <c r="D5" s="32">
        <f>SUM(D4)-E4</f>
        <v>283.09000000000015</v>
      </c>
      <c r="E5" s="25"/>
      <c r="F5" s="25"/>
      <c r="G5" s="25"/>
      <c r="H5" s="25"/>
    </row>
    <row r="6" spans="1:8" ht="15.75">
      <c r="A6" s="33" t="s">
        <v>132</v>
      </c>
      <c r="B6" s="32"/>
      <c r="C6" s="32" t="s">
        <v>133</v>
      </c>
      <c r="D6" s="32">
        <v>-66.63</v>
      </c>
      <c r="E6" s="32"/>
      <c r="F6" s="32"/>
      <c r="G6" s="32"/>
      <c r="H6" s="32" t="s">
        <v>1737</v>
      </c>
    </row>
    <row r="7" spans="1:8" ht="15.75">
      <c r="A7" s="33" t="s">
        <v>135</v>
      </c>
      <c r="B7" s="32"/>
      <c r="C7" s="32" t="s">
        <v>136</v>
      </c>
      <c r="D7" s="32">
        <v>940.75</v>
      </c>
      <c r="E7" s="32"/>
      <c r="F7" s="32"/>
      <c r="G7" s="32"/>
      <c r="H7" s="32"/>
    </row>
    <row r="8" spans="1:8" ht="15.75">
      <c r="A8" s="34" t="s">
        <v>137</v>
      </c>
      <c r="B8" s="35" t="s">
        <v>1069</v>
      </c>
      <c r="C8" s="32" t="s">
        <v>138</v>
      </c>
      <c r="D8" s="32">
        <v>1152.3800000000001</v>
      </c>
      <c r="E8" s="32"/>
      <c r="F8" s="32"/>
      <c r="G8" s="32"/>
      <c r="H8" s="32" t="s">
        <v>394</v>
      </c>
    </row>
    <row r="9" spans="1:8" ht="15.75">
      <c r="A9" s="31" t="s">
        <v>139</v>
      </c>
      <c r="B9" s="2402" t="s">
        <v>1069</v>
      </c>
      <c r="C9" s="32" t="s">
        <v>140</v>
      </c>
      <c r="D9" s="36">
        <v>1231.18</v>
      </c>
      <c r="E9" s="37"/>
      <c r="F9" s="36"/>
      <c r="G9" s="36"/>
      <c r="H9" s="32" t="s">
        <v>394</v>
      </c>
    </row>
    <row r="10" spans="1:8" ht="15.75">
      <c r="A10" s="31" t="s">
        <v>139</v>
      </c>
      <c r="B10" s="2403"/>
      <c r="C10" s="32" t="s">
        <v>141</v>
      </c>
      <c r="D10" s="36">
        <v>22</v>
      </c>
      <c r="E10" s="37"/>
      <c r="F10" s="36"/>
      <c r="G10" s="36"/>
      <c r="H10" s="32" t="s">
        <v>394</v>
      </c>
    </row>
    <row r="11" spans="1:8" ht="15.75">
      <c r="A11" s="31" t="s">
        <v>142</v>
      </c>
      <c r="B11" s="36" t="s">
        <v>742</v>
      </c>
      <c r="C11" s="32" t="s">
        <v>143</v>
      </c>
      <c r="D11" s="36">
        <v>158.88999999999999</v>
      </c>
      <c r="E11" s="37"/>
      <c r="F11" s="36"/>
      <c r="G11" s="36"/>
      <c r="H11" s="36" t="s">
        <v>1738</v>
      </c>
    </row>
    <row r="12" spans="1:8" ht="15.75">
      <c r="A12" s="31" t="s">
        <v>142</v>
      </c>
      <c r="B12" s="36" t="s">
        <v>742</v>
      </c>
      <c r="C12" s="32" t="s">
        <v>145</v>
      </c>
      <c r="D12" s="36">
        <v>-15.26</v>
      </c>
      <c r="E12" s="37"/>
      <c r="F12" s="36"/>
      <c r="G12" s="36"/>
      <c r="H12" s="36" t="s">
        <v>1739</v>
      </c>
    </row>
    <row r="13" spans="1:8" ht="15.75">
      <c r="A13" s="38" t="s">
        <v>147</v>
      </c>
      <c r="B13" s="39"/>
      <c r="C13" s="36" t="s">
        <v>148</v>
      </c>
      <c r="D13" s="36">
        <v>-38.75</v>
      </c>
      <c r="E13" s="37"/>
      <c r="F13" s="40"/>
      <c r="G13" s="40"/>
      <c r="H13" s="41" t="s">
        <v>389</v>
      </c>
    </row>
    <row r="14" spans="1:8" ht="15.75">
      <c r="A14" s="42" t="s">
        <v>147</v>
      </c>
      <c r="B14" s="43"/>
      <c r="C14" s="32" t="s">
        <v>149</v>
      </c>
      <c r="D14" s="36">
        <v>-558.53</v>
      </c>
      <c r="E14" s="37"/>
      <c r="F14" s="36"/>
      <c r="G14" s="36"/>
      <c r="H14" s="41" t="s">
        <v>389</v>
      </c>
    </row>
    <row r="15" spans="1:8" ht="15.75">
      <c r="A15" s="44" t="s">
        <v>150</v>
      </c>
      <c r="B15" s="43" t="s">
        <v>1069</v>
      </c>
      <c r="C15" s="45" t="s">
        <v>151</v>
      </c>
      <c r="D15" s="36">
        <v>614.51</v>
      </c>
      <c r="E15" s="37"/>
      <c r="F15" s="36"/>
      <c r="G15" s="36"/>
      <c r="H15" s="32" t="s">
        <v>394</v>
      </c>
    </row>
    <row r="16" spans="1:8" ht="15.75">
      <c r="A16" s="46" t="s">
        <v>152</v>
      </c>
      <c r="B16" s="2404" t="s">
        <v>1740</v>
      </c>
      <c r="C16" s="32" t="s">
        <v>153</v>
      </c>
      <c r="D16" s="33">
        <v>-1945.37</v>
      </c>
      <c r="E16" s="47"/>
      <c r="F16" s="33"/>
      <c r="G16" s="33"/>
      <c r="H16" s="41" t="s">
        <v>389</v>
      </c>
    </row>
    <row r="17" spans="1:8" ht="15.75">
      <c r="A17" s="46" t="s">
        <v>152</v>
      </c>
      <c r="B17" s="2405"/>
      <c r="C17" s="45" t="s">
        <v>154</v>
      </c>
      <c r="D17" s="36">
        <v>-2312.1999999999998</v>
      </c>
      <c r="E17" s="37"/>
      <c r="F17" s="39"/>
      <c r="G17" s="36"/>
      <c r="H17" s="41" t="s">
        <v>1741</v>
      </c>
    </row>
    <row r="18" spans="1:8" ht="15.75">
      <c r="A18" s="46" t="s">
        <v>152</v>
      </c>
      <c r="B18" s="2406"/>
      <c r="C18" s="45" t="s">
        <v>156</v>
      </c>
      <c r="D18" s="36">
        <v>-57.38</v>
      </c>
      <c r="E18" s="48"/>
      <c r="F18" s="43"/>
      <c r="G18" s="49"/>
      <c r="H18" s="41" t="s">
        <v>389</v>
      </c>
    </row>
    <row r="19" spans="1:8" ht="15.75">
      <c r="A19" s="50"/>
      <c r="B19" s="51"/>
      <c r="C19" s="45"/>
      <c r="D19" s="36"/>
      <c r="E19" s="48"/>
      <c r="F19" s="43"/>
      <c r="G19" s="52"/>
      <c r="H19" s="41"/>
    </row>
    <row r="20" spans="1:8" ht="15.75">
      <c r="A20" s="50"/>
      <c r="B20" s="51"/>
      <c r="C20" s="45"/>
      <c r="D20" s="36"/>
      <c r="E20" s="48"/>
      <c r="F20" s="43"/>
      <c r="G20" s="52"/>
      <c r="H20" s="41"/>
    </row>
    <row r="21" spans="1:8" ht="15.75">
      <c r="A21" s="50"/>
      <c r="B21" s="51"/>
      <c r="C21" s="45"/>
      <c r="D21" s="36"/>
      <c r="E21" s="48"/>
      <c r="F21" s="43"/>
      <c r="G21" s="52"/>
      <c r="H21" s="41"/>
    </row>
    <row r="22" spans="1:8" ht="15.75">
      <c r="A22" s="47"/>
      <c r="B22" s="36"/>
      <c r="C22" s="36"/>
      <c r="D22" s="36"/>
      <c r="E22" s="53"/>
      <c r="F22" s="43"/>
      <c r="G22" s="45"/>
      <c r="H22" s="36"/>
    </row>
    <row r="23" spans="1:8" ht="15.75">
      <c r="A23" s="21"/>
      <c r="B23" s="22"/>
      <c r="C23" s="36" t="s">
        <v>513</v>
      </c>
      <c r="D23" s="36">
        <f>SUM(D5:D22)</f>
        <v>-591.3199999999996</v>
      </c>
      <c r="E23" s="21"/>
      <c r="F23" s="26"/>
      <c r="G23" s="22"/>
      <c r="H23" s="22"/>
    </row>
    <row r="24" spans="1:8">
      <c r="A24" s="54" t="s">
        <v>1742</v>
      </c>
      <c r="B24" s="20"/>
      <c r="C24" s="20"/>
      <c r="D24" s="20"/>
      <c r="E24" s="20"/>
      <c r="F24" s="20"/>
      <c r="G24" s="20"/>
      <c r="H24" s="20"/>
    </row>
    <row r="25" spans="1:8">
      <c r="A25" s="20"/>
      <c r="B25" s="20"/>
      <c r="C25" s="20"/>
      <c r="D25" s="20"/>
      <c r="E25" s="20"/>
      <c r="F25" s="20"/>
      <c r="G25" s="20"/>
      <c r="H25" s="20"/>
    </row>
  </sheetData>
  <mergeCells count="3">
    <mergeCell ref="A1:H1"/>
    <mergeCell ref="B9:B10"/>
    <mergeCell ref="B16:B18"/>
  </mergeCells>
  <phoneticPr fontId="15" type="noConversion"/>
  <pageMargins left="0.75" right="0.75" top="1" bottom="1" header="0.5" footer="0.5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H18"/>
  <sheetViews>
    <sheetView zoomScaleSheetLayoutView="100" workbookViewId="0">
      <selection activeCell="F20" sqref="F20"/>
    </sheetView>
  </sheetViews>
  <sheetFormatPr defaultRowHeight="14.25"/>
  <cols>
    <col min="1" max="1" width="13.25" customWidth="1"/>
    <col min="2" max="2" width="10.375" customWidth="1"/>
    <col min="3" max="3" width="16.75" customWidth="1"/>
    <col min="4" max="4" width="15.5" customWidth="1"/>
    <col min="5" max="5" width="15" customWidth="1"/>
    <col min="6" max="7" width="23.75" customWidth="1"/>
    <col min="8" max="8" width="39.5" customWidth="1"/>
  </cols>
  <sheetData>
    <row r="1" spans="1:8">
      <c r="A1" s="2" t="s">
        <v>536</v>
      </c>
      <c r="B1" s="3" t="s">
        <v>548</v>
      </c>
      <c r="C1" s="3" t="s">
        <v>537</v>
      </c>
      <c r="D1" s="3" t="s">
        <v>538</v>
      </c>
      <c r="E1" s="2" t="s">
        <v>539</v>
      </c>
      <c r="F1" s="3" t="s">
        <v>585</v>
      </c>
      <c r="G1" s="3" t="s">
        <v>584</v>
      </c>
      <c r="H1" s="3" t="s">
        <v>542</v>
      </c>
    </row>
    <row r="2" spans="1:8">
      <c r="A2" s="4" t="s">
        <v>425</v>
      </c>
      <c r="B2" s="4" t="s">
        <v>1743</v>
      </c>
      <c r="C2" s="4" t="s">
        <v>426</v>
      </c>
      <c r="D2" s="4">
        <v>6358.03</v>
      </c>
      <c r="E2" s="4">
        <v>6358.03</v>
      </c>
      <c r="F2" s="4" t="s">
        <v>430</v>
      </c>
      <c r="G2" s="4" t="s">
        <v>1744</v>
      </c>
      <c r="H2" s="4" t="s">
        <v>1745</v>
      </c>
    </row>
    <row r="3" spans="1:8">
      <c r="A3" s="4"/>
      <c r="B3" s="4"/>
      <c r="C3" s="4" t="s">
        <v>428</v>
      </c>
      <c r="D3" s="4">
        <v>25.96</v>
      </c>
      <c r="E3" s="4">
        <v>25.96</v>
      </c>
      <c r="F3" s="4" t="s">
        <v>430</v>
      </c>
      <c r="G3" s="4" t="s">
        <v>1744</v>
      </c>
      <c r="H3" s="4" t="s">
        <v>1744</v>
      </c>
    </row>
    <row r="4" spans="1:8">
      <c r="A4" s="4" t="s">
        <v>431</v>
      </c>
      <c r="B4" s="4" t="s">
        <v>742</v>
      </c>
      <c r="C4" s="4" t="s">
        <v>432</v>
      </c>
      <c r="D4" s="4">
        <v>118.56</v>
      </c>
      <c r="E4" s="4">
        <v>118.56</v>
      </c>
      <c r="F4" s="4" t="s">
        <v>434</v>
      </c>
      <c r="G4" s="4" t="s">
        <v>1744</v>
      </c>
      <c r="H4" s="4" t="s">
        <v>433</v>
      </c>
    </row>
    <row r="5" spans="1:8">
      <c r="A5" s="4" t="s">
        <v>326</v>
      </c>
      <c r="B5" s="4" t="s">
        <v>742</v>
      </c>
      <c r="C5" s="4" t="s">
        <v>435</v>
      </c>
      <c r="D5" s="4">
        <v>99.84</v>
      </c>
      <c r="E5" s="4">
        <v>99.84</v>
      </c>
      <c r="F5" s="4" t="s">
        <v>437</v>
      </c>
      <c r="G5" s="4" t="s">
        <v>1744</v>
      </c>
      <c r="H5" s="4" t="s">
        <v>433</v>
      </c>
    </row>
    <row r="6" spans="1:8">
      <c r="A6" s="4" t="s">
        <v>326</v>
      </c>
      <c r="B6" s="4" t="s">
        <v>742</v>
      </c>
      <c r="C6" s="4" t="s">
        <v>436</v>
      </c>
      <c r="D6" s="4">
        <v>297.60000000000002</v>
      </c>
      <c r="E6" s="4">
        <v>297.60000000000002</v>
      </c>
      <c r="F6" s="4" t="s">
        <v>437</v>
      </c>
      <c r="G6" s="4" t="s">
        <v>1744</v>
      </c>
      <c r="H6" s="4" t="s">
        <v>433</v>
      </c>
    </row>
    <row r="7" spans="1:8">
      <c r="A7" s="4" t="s">
        <v>438</v>
      </c>
      <c r="B7" s="4" t="s">
        <v>742</v>
      </c>
      <c r="C7" s="4" t="s">
        <v>439</v>
      </c>
      <c r="D7" s="4">
        <v>495.04</v>
      </c>
      <c r="E7" s="4">
        <v>495.04</v>
      </c>
      <c r="F7" s="4" t="s">
        <v>440</v>
      </c>
      <c r="G7" s="4" t="s">
        <v>1744</v>
      </c>
      <c r="H7" s="4" t="s">
        <v>433</v>
      </c>
    </row>
    <row r="8" spans="1:8">
      <c r="A8" s="4" t="s">
        <v>227</v>
      </c>
      <c r="B8" s="4" t="s">
        <v>737</v>
      </c>
      <c r="C8" s="4" t="s">
        <v>441</v>
      </c>
      <c r="D8" s="4">
        <v>958.32</v>
      </c>
      <c r="E8" s="4">
        <v>958.32</v>
      </c>
      <c r="F8" s="4" t="s">
        <v>442</v>
      </c>
      <c r="G8" s="4" t="s">
        <v>1744</v>
      </c>
      <c r="H8" s="4" t="s">
        <v>433</v>
      </c>
    </row>
    <row r="9" spans="1:8" s="1" customFormat="1">
      <c r="A9" s="5" t="s">
        <v>329</v>
      </c>
      <c r="B9" s="5" t="s">
        <v>1069</v>
      </c>
      <c r="C9" s="6" t="s">
        <v>443</v>
      </c>
      <c r="D9" s="6">
        <v>397.28</v>
      </c>
      <c r="E9" s="2407">
        <v>-2859.03</v>
      </c>
      <c r="F9" s="2407" t="s">
        <v>1746</v>
      </c>
      <c r="G9" s="5" t="s">
        <v>1744</v>
      </c>
      <c r="H9" s="5" t="s">
        <v>433</v>
      </c>
    </row>
    <row r="10" spans="1:8" s="1" customFormat="1">
      <c r="A10" s="5" t="s">
        <v>444</v>
      </c>
      <c r="B10" s="5" t="s">
        <v>737</v>
      </c>
      <c r="C10" s="6" t="s">
        <v>445</v>
      </c>
      <c r="D10" s="6">
        <v>1104.96</v>
      </c>
      <c r="E10" s="2409"/>
      <c r="F10" s="2409"/>
      <c r="G10" s="5" t="s">
        <v>1744</v>
      </c>
      <c r="H10" s="5" t="s">
        <v>433</v>
      </c>
    </row>
    <row r="11" spans="1:8" s="1" customFormat="1">
      <c r="A11" s="7" t="s">
        <v>255</v>
      </c>
      <c r="B11" s="5" t="s">
        <v>742</v>
      </c>
      <c r="C11" s="6" t="s">
        <v>446</v>
      </c>
      <c r="D11" s="6">
        <v>372.67</v>
      </c>
      <c r="E11" s="2409"/>
      <c r="F11" s="2409"/>
      <c r="G11" s="5" t="s">
        <v>1744</v>
      </c>
      <c r="H11" s="5" t="s">
        <v>433</v>
      </c>
    </row>
    <row r="12" spans="1:8" s="1" customFormat="1">
      <c r="A12" s="7" t="s">
        <v>447</v>
      </c>
      <c r="B12" s="2407" t="s">
        <v>1747</v>
      </c>
      <c r="C12" s="6" t="s">
        <v>448</v>
      </c>
      <c r="D12" s="6">
        <v>-4283.0200000000004</v>
      </c>
      <c r="E12" s="2409"/>
      <c r="F12" s="2409"/>
      <c r="G12" s="6"/>
      <c r="H12" s="8" t="s">
        <v>389</v>
      </c>
    </row>
    <row r="13" spans="1:8" s="1" customFormat="1">
      <c r="A13" s="7" t="s">
        <v>449</v>
      </c>
      <c r="B13" s="2408"/>
      <c r="C13" s="6" t="s">
        <v>450</v>
      </c>
      <c r="D13" s="6">
        <v>-450.92</v>
      </c>
      <c r="E13" s="2408"/>
      <c r="F13" s="2408"/>
      <c r="G13" s="6"/>
      <c r="H13" s="8" t="s">
        <v>389</v>
      </c>
    </row>
    <row r="14" spans="1:8">
      <c r="A14" s="9"/>
      <c r="B14" s="10"/>
      <c r="C14" s="10"/>
      <c r="D14" s="10"/>
      <c r="E14" s="11"/>
      <c r="F14" s="10"/>
      <c r="G14" s="10"/>
      <c r="H14" s="10"/>
    </row>
    <row r="15" spans="1:8">
      <c r="A15" s="9"/>
      <c r="B15" s="10"/>
      <c r="C15" s="10"/>
      <c r="D15" s="10"/>
      <c r="E15" s="11"/>
      <c r="F15" s="10"/>
      <c r="G15" s="10"/>
      <c r="H15" s="10"/>
    </row>
    <row r="16" spans="1:8">
      <c r="A16" s="11"/>
      <c r="B16" s="10"/>
      <c r="C16" s="10"/>
      <c r="D16" s="10"/>
      <c r="E16" s="11"/>
      <c r="F16" s="10"/>
      <c r="G16" s="10"/>
      <c r="H16" s="10"/>
    </row>
    <row r="17" spans="1:8">
      <c r="A17" s="12"/>
      <c r="B17" s="13"/>
      <c r="C17" s="14"/>
      <c r="D17" s="15"/>
      <c r="E17" s="16"/>
      <c r="F17" s="13"/>
      <c r="G17" s="13"/>
      <c r="H17" s="13"/>
    </row>
    <row r="18" spans="1:8">
      <c r="A18" s="17"/>
      <c r="B18" s="18"/>
      <c r="C18" s="14" t="s">
        <v>513</v>
      </c>
      <c r="D18" s="19">
        <f>SUM(D2:D17)-E2-E3-E4-E5-E6-E7-E8-E9-E10</f>
        <v>0</v>
      </c>
      <c r="E18" s="17"/>
      <c r="F18" s="18"/>
      <c r="G18" s="18"/>
      <c r="H18" s="18"/>
    </row>
  </sheetData>
  <mergeCells count="3">
    <mergeCell ref="B12:B13"/>
    <mergeCell ref="E9:E13"/>
    <mergeCell ref="F9:F13"/>
  </mergeCells>
  <phoneticPr fontId="15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M78"/>
  <sheetViews>
    <sheetView workbookViewId="0">
      <pane ySplit="1" topLeftCell="A45" activePane="bottomLeft" state="frozen"/>
      <selection pane="bottomLeft" activeCell="F72" sqref="F72"/>
    </sheetView>
  </sheetViews>
  <sheetFormatPr defaultColWidth="8.75" defaultRowHeight="14.25"/>
  <cols>
    <col min="1" max="1" width="13.375" style="125" customWidth="1"/>
    <col min="2" max="2" width="8.875" style="189" bestFit="1" customWidth="1"/>
    <col min="3" max="3" width="36.375" style="189" bestFit="1" customWidth="1"/>
    <col min="4" max="4" width="15" style="102" bestFit="1" customWidth="1"/>
    <col min="5" max="5" width="12" style="509" bestFit="1" customWidth="1"/>
    <col min="6" max="6" width="10.75" style="168" customWidth="1"/>
    <col min="7" max="7" width="12" style="102" bestFit="1" customWidth="1"/>
    <col min="8" max="8" width="16.75" style="168" bestFit="1" customWidth="1"/>
    <col min="9" max="9" width="14.125" style="102" bestFit="1" customWidth="1"/>
    <col min="10" max="10" width="12" style="102" bestFit="1" customWidth="1"/>
    <col min="11" max="11" width="11.375" style="102" bestFit="1" customWidth="1"/>
    <col min="12" max="12" width="40.5" style="102" bestFit="1" customWidth="1"/>
    <col min="13" max="13" width="13.875" style="102" bestFit="1" customWidth="1"/>
    <col min="14" max="16384" width="8.75" style="102"/>
  </cols>
  <sheetData>
    <row r="1" spans="1:13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65" t="s">
        <v>3043</v>
      </c>
      <c r="J1" s="257" t="s">
        <v>4100</v>
      </c>
      <c r="K1" s="257" t="s">
        <v>541</v>
      </c>
      <c r="L1" s="256" t="s">
        <v>542</v>
      </c>
    </row>
    <row r="2" spans="1:13" ht="15">
      <c r="A2" s="1918">
        <v>44522</v>
      </c>
      <c r="B2" s="1918" t="s">
        <v>521</v>
      </c>
      <c r="C2" s="1918" t="s">
        <v>4395</v>
      </c>
      <c r="D2" s="1929" t="s">
        <v>552</v>
      </c>
      <c r="E2" s="1915">
        <v>15904.57</v>
      </c>
      <c r="F2" s="2002">
        <v>0</v>
      </c>
      <c r="G2" s="639">
        <v>6648.87</v>
      </c>
      <c r="H2" s="620">
        <v>44522</v>
      </c>
      <c r="I2" s="613">
        <v>6648.87</v>
      </c>
      <c r="J2" s="620">
        <v>44571</v>
      </c>
      <c r="K2" s="228" t="s">
        <v>550</v>
      </c>
      <c r="L2" s="226"/>
      <c r="M2"/>
    </row>
    <row r="3" spans="1:13" ht="15">
      <c r="A3" s="1919"/>
      <c r="B3" s="1919"/>
      <c r="C3" s="1919"/>
      <c r="D3" s="1977"/>
      <c r="E3" s="1916"/>
      <c r="F3" s="2038"/>
      <c r="G3" s="639">
        <v>6016.5</v>
      </c>
      <c r="H3" s="620">
        <v>44522</v>
      </c>
      <c r="I3" s="613">
        <v>6016.5</v>
      </c>
      <c r="J3" s="620">
        <v>44608</v>
      </c>
      <c r="K3" s="228" t="s">
        <v>550</v>
      </c>
      <c r="L3" s="226"/>
      <c r="M3"/>
    </row>
    <row r="4" spans="1:13" ht="15">
      <c r="A4" s="1920"/>
      <c r="B4" s="1920"/>
      <c r="C4" s="1920"/>
      <c r="D4" s="1930"/>
      <c r="E4" s="1917"/>
      <c r="F4" s="2003"/>
      <c r="G4" s="639">
        <v>3239.2000000000007</v>
      </c>
      <c r="H4" s="620">
        <v>44522</v>
      </c>
      <c r="I4" s="2036">
        <v>5000</v>
      </c>
      <c r="J4" s="1948">
        <v>44676</v>
      </c>
      <c r="K4" s="1879" t="s">
        <v>1993</v>
      </c>
      <c r="L4" s="226"/>
      <c r="M4"/>
    </row>
    <row r="5" spans="1:13" ht="15">
      <c r="A5" s="620">
        <v>44525</v>
      </c>
      <c r="B5" s="1124" t="s">
        <v>521</v>
      </c>
      <c r="C5" s="1124" t="s">
        <v>4395</v>
      </c>
      <c r="D5" s="621" t="s">
        <v>553</v>
      </c>
      <c r="E5" s="613">
        <v>744.3</v>
      </c>
      <c r="F5" s="633">
        <v>0</v>
      </c>
      <c r="G5" s="639">
        <v>744.3</v>
      </c>
      <c r="H5" s="620">
        <v>44525</v>
      </c>
      <c r="I5" s="2036"/>
      <c r="J5" s="1948"/>
      <c r="K5" s="1879"/>
      <c r="L5" s="226"/>
      <c r="M5"/>
    </row>
    <row r="6" spans="1:13" ht="15">
      <c r="A6" s="620">
        <v>44545</v>
      </c>
      <c r="B6" s="1124" t="s">
        <v>521</v>
      </c>
      <c r="C6" s="1124" t="s">
        <v>4395</v>
      </c>
      <c r="D6" s="621" t="s">
        <v>554</v>
      </c>
      <c r="E6" s="613">
        <v>810</v>
      </c>
      <c r="F6" s="633">
        <v>0</v>
      </c>
      <c r="G6" s="639">
        <v>810</v>
      </c>
      <c r="H6" s="620">
        <v>44545</v>
      </c>
      <c r="I6" s="2036"/>
      <c r="J6" s="1948"/>
      <c r="K6" s="1879"/>
      <c r="L6" s="226"/>
      <c r="M6"/>
    </row>
    <row r="7" spans="1:13" ht="15">
      <c r="A7" s="620">
        <v>44572</v>
      </c>
      <c r="B7" s="1124" t="s">
        <v>521</v>
      </c>
      <c r="C7" s="1124" t="s">
        <v>4395</v>
      </c>
      <c r="D7" s="621" t="s">
        <v>555</v>
      </c>
      <c r="E7" s="613">
        <v>206.25</v>
      </c>
      <c r="F7" s="633">
        <v>0</v>
      </c>
      <c r="G7" s="639">
        <v>206.25</v>
      </c>
      <c r="H7" s="620">
        <v>44572</v>
      </c>
      <c r="I7" s="2036"/>
      <c r="J7" s="1948"/>
      <c r="K7" s="1879"/>
      <c r="L7" s="226"/>
      <c r="M7"/>
    </row>
    <row r="8" spans="1:13" ht="15">
      <c r="A8" s="1903">
        <v>44594</v>
      </c>
      <c r="B8" s="1918" t="s">
        <v>521</v>
      </c>
      <c r="C8" s="1918" t="s">
        <v>4395</v>
      </c>
      <c r="D8" s="1909" t="s">
        <v>556</v>
      </c>
      <c r="E8" s="1915">
        <v>412.5</v>
      </c>
      <c r="F8" s="2002">
        <v>0</v>
      </c>
      <c r="G8" s="611">
        <v>0.25</v>
      </c>
      <c r="H8" s="632">
        <v>44594</v>
      </c>
      <c r="I8" s="2036"/>
      <c r="J8" s="1948"/>
      <c r="K8" s="1879"/>
      <c r="L8" s="219"/>
      <c r="M8"/>
    </row>
    <row r="9" spans="1:13" s="168" customFormat="1" ht="15">
      <c r="A9" s="1905"/>
      <c r="B9" s="1920"/>
      <c r="C9" s="1920"/>
      <c r="D9" s="1911"/>
      <c r="E9" s="1917"/>
      <c r="F9" s="2003"/>
      <c r="G9" s="611">
        <f>412.5-0.25</f>
        <v>412.25</v>
      </c>
      <c r="H9" s="632">
        <v>44594</v>
      </c>
      <c r="I9" s="1921">
        <v>0</v>
      </c>
      <c r="J9" s="1903">
        <v>44775</v>
      </c>
      <c r="K9" s="1935" t="s">
        <v>2624</v>
      </c>
      <c r="L9" s="219"/>
      <c r="M9"/>
    </row>
    <row r="10" spans="1:13" ht="15">
      <c r="A10" s="632">
        <v>44642</v>
      </c>
      <c r="B10" s="1124" t="s">
        <v>521</v>
      </c>
      <c r="C10" s="1124" t="s">
        <v>4395</v>
      </c>
      <c r="D10" s="615" t="s">
        <v>1770</v>
      </c>
      <c r="E10" s="613">
        <v>933.53</v>
      </c>
      <c r="F10" s="633">
        <v>0</v>
      </c>
      <c r="G10" s="611">
        <v>933.53</v>
      </c>
      <c r="H10" s="632">
        <v>44642</v>
      </c>
      <c r="I10" s="2037"/>
      <c r="J10" s="1904"/>
      <c r="K10" s="1950"/>
      <c r="L10" s="219"/>
      <c r="M10"/>
    </row>
    <row r="11" spans="1:13" s="168" customFormat="1" ht="15">
      <c r="A11" s="1903">
        <v>44678.000497685185</v>
      </c>
      <c r="B11" s="1918" t="s">
        <v>521</v>
      </c>
      <c r="C11" s="1918" t="s">
        <v>4395</v>
      </c>
      <c r="D11" s="1909" t="s">
        <v>1989</v>
      </c>
      <c r="E11" s="1915">
        <v>-1348.91</v>
      </c>
      <c r="F11" s="2002">
        <v>0</v>
      </c>
      <c r="G11" s="611">
        <f>-1348.91+3.13</f>
        <v>-1345.78</v>
      </c>
      <c r="H11" s="632"/>
      <c r="I11" s="1922"/>
      <c r="J11" s="1905"/>
      <c r="K11" s="1947"/>
      <c r="L11" s="219"/>
      <c r="M11"/>
    </row>
    <row r="12" spans="1:13" s="168" customFormat="1" ht="15">
      <c r="A12" s="1905"/>
      <c r="B12" s="1920"/>
      <c r="C12" s="1920"/>
      <c r="D12" s="1911"/>
      <c r="E12" s="1917"/>
      <c r="F12" s="2003"/>
      <c r="G12" s="611">
        <v>-3.13</v>
      </c>
      <c r="H12" s="632" t="s">
        <v>1529</v>
      </c>
      <c r="I12" s="609">
        <v>-3.13</v>
      </c>
      <c r="J12" s="632">
        <v>44775</v>
      </c>
      <c r="K12" s="490" t="s">
        <v>2623</v>
      </c>
      <c r="L12" s="219"/>
      <c r="M12"/>
    </row>
    <row r="13" spans="1:13" s="168" customFormat="1" ht="15">
      <c r="A13" s="632">
        <v>44678.000497685185</v>
      </c>
      <c r="B13" s="1124" t="s">
        <v>521</v>
      </c>
      <c r="C13" s="1124" t="s">
        <v>4395</v>
      </c>
      <c r="D13" s="615" t="s">
        <v>1990</v>
      </c>
      <c r="E13" s="613">
        <v>-270.49</v>
      </c>
      <c r="F13" s="633">
        <v>0</v>
      </c>
      <c r="G13" s="611">
        <v>-270.49</v>
      </c>
      <c r="H13" s="632" t="s">
        <v>1529</v>
      </c>
      <c r="I13" s="1921">
        <v>0</v>
      </c>
      <c r="J13" s="1903">
        <v>44775</v>
      </c>
      <c r="K13" s="1935" t="s">
        <v>2626</v>
      </c>
      <c r="L13" s="219"/>
      <c r="M13"/>
    </row>
    <row r="14" spans="1:13" s="168" customFormat="1" ht="15">
      <c r="A14" s="632">
        <v>44678.000497685185</v>
      </c>
      <c r="B14" s="1124" t="s">
        <v>521</v>
      </c>
      <c r="C14" s="1124" t="s">
        <v>4395</v>
      </c>
      <c r="D14" s="615" t="s">
        <v>1991</v>
      </c>
      <c r="E14" s="613">
        <v>-562.95000000000005</v>
      </c>
      <c r="F14" s="633">
        <v>0</v>
      </c>
      <c r="G14" s="611">
        <v>-562.95000000000005</v>
      </c>
      <c r="H14" s="632" t="s">
        <v>1529</v>
      </c>
      <c r="I14" s="2037"/>
      <c r="J14" s="1904"/>
      <c r="K14" s="1950"/>
      <c r="L14" s="219"/>
      <c r="M14"/>
    </row>
    <row r="15" spans="1:13" s="168" customFormat="1" ht="15">
      <c r="A15" s="632">
        <v>44678.000497685185</v>
      </c>
      <c r="B15" s="1124" t="s">
        <v>521</v>
      </c>
      <c r="C15" s="1124" t="s">
        <v>4395</v>
      </c>
      <c r="D15" s="615" t="s">
        <v>1992</v>
      </c>
      <c r="E15" s="613">
        <v>2488.9</v>
      </c>
      <c r="F15" s="633">
        <v>0</v>
      </c>
      <c r="G15" s="611">
        <v>2488.9</v>
      </c>
      <c r="H15" s="632">
        <v>44678.000497685185</v>
      </c>
      <c r="I15" s="2037"/>
      <c r="J15" s="1904"/>
      <c r="K15" s="1950"/>
      <c r="L15" s="219"/>
      <c r="M15"/>
    </row>
    <row r="16" spans="1:13" s="168" customFormat="1" ht="15">
      <c r="A16" s="632">
        <v>44684</v>
      </c>
      <c r="B16" s="1124" t="s">
        <v>521</v>
      </c>
      <c r="C16" s="1124" t="s">
        <v>4395</v>
      </c>
      <c r="D16" s="615" t="s">
        <v>2028</v>
      </c>
      <c r="E16" s="613">
        <v>-552.98</v>
      </c>
      <c r="F16" s="633">
        <v>0</v>
      </c>
      <c r="G16" s="611">
        <v>-552.98</v>
      </c>
      <c r="H16" s="632"/>
      <c r="I16" s="2037"/>
      <c r="J16" s="1904"/>
      <c r="K16" s="1950"/>
      <c r="L16" s="219"/>
      <c r="M16"/>
    </row>
    <row r="17" spans="1:13" s="168" customFormat="1" ht="15">
      <c r="A17" s="632">
        <v>44714</v>
      </c>
      <c r="B17" s="1124" t="s">
        <v>521</v>
      </c>
      <c r="C17" s="1124" t="s">
        <v>4395</v>
      </c>
      <c r="D17" s="615" t="s">
        <v>2213</v>
      </c>
      <c r="E17" s="613">
        <v>-1951.6</v>
      </c>
      <c r="F17" s="633">
        <v>0</v>
      </c>
      <c r="G17" s="611">
        <v>-1951.6</v>
      </c>
      <c r="H17" s="632"/>
      <c r="I17" s="2037"/>
      <c r="J17" s="1904"/>
      <c r="K17" s="1950"/>
      <c r="L17" s="219"/>
      <c r="M17"/>
    </row>
    <row r="18" spans="1:13" s="168" customFormat="1" ht="15">
      <c r="A18" s="632">
        <v>44714</v>
      </c>
      <c r="B18" s="1124" t="s">
        <v>521</v>
      </c>
      <c r="C18" s="1124" t="s">
        <v>4395</v>
      </c>
      <c r="D18" s="615" t="s">
        <v>2214</v>
      </c>
      <c r="E18" s="613">
        <v>-17.78</v>
      </c>
      <c r="F18" s="633">
        <v>0</v>
      </c>
      <c r="G18" s="611">
        <v>-17.78</v>
      </c>
      <c r="H18" s="632"/>
      <c r="I18" s="2037"/>
      <c r="J18" s="1904"/>
      <c r="K18" s="1950"/>
      <c r="L18" s="219"/>
      <c r="M18"/>
    </row>
    <row r="19" spans="1:13" s="168" customFormat="1" ht="15">
      <c r="A19" s="632">
        <v>44747.000497685185</v>
      </c>
      <c r="B19" s="1124" t="s">
        <v>521</v>
      </c>
      <c r="C19" s="1124" t="s">
        <v>4395</v>
      </c>
      <c r="D19" s="615" t="s">
        <v>2391</v>
      </c>
      <c r="E19" s="613">
        <v>722.25</v>
      </c>
      <c r="F19" s="633">
        <v>0</v>
      </c>
      <c r="G19" s="611">
        <v>722.25</v>
      </c>
      <c r="H19" s="632">
        <v>44747.000497685185</v>
      </c>
      <c r="I19" s="2037"/>
      <c r="J19" s="1904"/>
      <c r="K19" s="1950"/>
      <c r="L19" s="219"/>
      <c r="M19"/>
    </row>
    <row r="20" spans="1:13" s="168" customFormat="1" ht="15">
      <c r="A20" s="632">
        <v>44768</v>
      </c>
      <c r="B20" s="1124" t="s">
        <v>521</v>
      </c>
      <c r="C20" s="1124" t="s">
        <v>4395</v>
      </c>
      <c r="D20" s="615" t="s">
        <v>2527</v>
      </c>
      <c r="E20" s="613">
        <v>-8.6</v>
      </c>
      <c r="F20" s="633">
        <v>0</v>
      </c>
      <c r="G20" s="611">
        <v>-8.6</v>
      </c>
      <c r="H20" s="632"/>
      <c r="I20" s="2037"/>
      <c r="J20" s="1904"/>
      <c r="K20" s="1950"/>
      <c r="L20" s="219"/>
      <c r="M20"/>
    </row>
    <row r="21" spans="1:13" s="168" customFormat="1" ht="15">
      <c r="A21" s="1903">
        <v>44698</v>
      </c>
      <c r="B21" s="1918" t="s">
        <v>521</v>
      </c>
      <c r="C21" s="1918" t="s">
        <v>4395</v>
      </c>
      <c r="D21" s="1909" t="s">
        <v>2119</v>
      </c>
      <c r="E21" s="1923">
        <v>1343.7</v>
      </c>
      <c r="F21" s="1927">
        <v>0</v>
      </c>
      <c r="G21" s="611">
        <f>1343.7-1190.45</f>
        <v>153.25</v>
      </c>
      <c r="H21" s="632">
        <v>44698</v>
      </c>
      <c r="I21" s="1922"/>
      <c r="J21" s="1905"/>
      <c r="K21" s="1947"/>
      <c r="L21" s="219"/>
      <c r="M21"/>
    </row>
    <row r="22" spans="1:13" s="168" customFormat="1" ht="15">
      <c r="A22" s="1905"/>
      <c r="B22" s="1920"/>
      <c r="C22" s="1920"/>
      <c r="D22" s="1911"/>
      <c r="E22" s="1924"/>
      <c r="F22" s="1928"/>
      <c r="G22" s="611">
        <v>1190.45</v>
      </c>
      <c r="H22" s="632">
        <v>44698</v>
      </c>
      <c r="I22" s="609">
        <v>1190.45</v>
      </c>
      <c r="J22" s="632">
        <v>44797</v>
      </c>
      <c r="K22" s="566" t="s">
        <v>2882</v>
      </c>
      <c r="L22" s="166"/>
      <c r="M22"/>
    </row>
    <row r="23" spans="1:13" s="168" customFormat="1" ht="15">
      <c r="A23" s="632">
        <v>44685</v>
      </c>
      <c r="B23" s="1124" t="s">
        <v>521</v>
      </c>
      <c r="C23" s="1124" t="s">
        <v>4395</v>
      </c>
      <c r="D23" s="615" t="s">
        <v>2030</v>
      </c>
      <c r="E23" s="613">
        <v>2455.9</v>
      </c>
      <c r="F23" s="633">
        <v>0</v>
      </c>
      <c r="G23" s="611">
        <v>2455.9</v>
      </c>
      <c r="H23" s="632">
        <v>44685</v>
      </c>
      <c r="I23" s="2039">
        <v>0</v>
      </c>
      <c r="J23" s="2040">
        <v>44768</v>
      </c>
      <c r="K23" s="2041" t="s">
        <v>2625</v>
      </c>
      <c r="L23" s="166"/>
      <c r="M23"/>
    </row>
    <row r="24" spans="1:13" s="168" customFormat="1" ht="15">
      <c r="A24" s="632">
        <v>44685</v>
      </c>
      <c r="B24" s="1124" t="s">
        <v>521</v>
      </c>
      <c r="C24" s="1124" t="s">
        <v>4395</v>
      </c>
      <c r="D24" s="615" t="s">
        <v>2029</v>
      </c>
      <c r="E24" s="613">
        <v>-2455.9</v>
      </c>
      <c r="F24" s="633">
        <v>0</v>
      </c>
      <c r="G24" s="611">
        <v>-2455.9</v>
      </c>
      <c r="H24" s="632"/>
      <c r="I24" s="2039"/>
      <c r="J24" s="2040"/>
      <c r="K24" s="2041"/>
      <c r="L24" s="166" t="s">
        <v>2031</v>
      </c>
      <c r="M24"/>
    </row>
    <row r="25" spans="1:13" s="168" customFormat="1" ht="15">
      <c r="A25" s="1903">
        <v>44722</v>
      </c>
      <c r="B25" s="1918" t="s">
        <v>521</v>
      </c>
      <c r="C25" s="1918" t="s">
        <v>4395</v>
      </c>
      <c r="D25" s="1909" t="s">
        <v>2257</v>
      </c>
      <c r="E25" s="1923">
        <v>342.07</v>
      </c>
      <c r="F25" s="1927">
        <v>71.84</v>
      </c>
      <c r="G25" s="611">
        <v>342.07</v>
      </c>
      <c r="H25" s="1015">
        <v>44722</v>
      </c>
      <c r="I25" s="1017">
        <v>342.07</v>
      </c>
      <c r="J25" s="1015">
        <v>44797</v>
      </c>
      <c r="K25" s="1013" t="s">
        <v>2882</v>
      </c>
      <c r="L25" s="166"/>
      <c r="M25"/>
    </row>
    <row r="26" spans="1:13" s="168" customFormat="1" ht="15">
      <c r="A26" s="1905"/>
      <c r="B26" s="1920"/>
      <c r="C26" s="1920"/>
      <c r="D26" s="1911"/>
      <c r="E26" s="1924"/>
      <c r="F26" s="1928"/>
      <c r="G26" s="611">
        <f>413.91-342.07</f>
        <v>71.840000000000032</v>
      </c>
      <c r="H26" s="1015">
        <v>44722</v>
      </c>
      <c r="I26" s="1017">
        <v>71.840000000000032</v>
      </c>
      <c r="J26" s="1015">
        <v>44925</v>
      </c>
      <c r="K26" s="1013" t="s">
        <v>3841</v>
      </c>
      <c r="L26" s="166" t="s">
        <v>3840</v>
      </c>
      <c r="M26"/>
    </row>
    <row r="27" spans="1:13" s="168" customFormat="1" ht="15">
      <c r="A27" s="1065">
        <v>44797</v>
      </c>
      <c r="B27" s="1124" t="s">
        <v>521</v>
      </c>
      <c r="C27" s="1124" t="s">
        <v>4395</v>
      </c>
      <c r="D27" s="1068" t="s">
        <v>2831</v>
      </c>
      <c r="E27" s="1081">
        <v>965.7</v>
      </c>
      <c r="F27" s="649">
        <v>0</v>
      </c>
      <c r="G27" s="611">
        <v>965.7</v>
      </c>
      <c r="H27" s="1065">
        <v>44797</v>
      </c>
      <c r="I27" s="1923">
        <v>5668.32</v>
      </c>
      <c r="J27" s="1903">
        <v>44949</v>
      </c>
      <c r="K27" s="1938" t="s">
        <v>3999</v>
      </c>
      <c r="L27" s="219"/>
      <c r="M27"/>
    </row>
    <row r="28" spans="1:13" s="168" customFormat="1" ht="15">
      <c r="A28" s="1065">
        <v>44832</v>
      </c>
      <c r="B28" s="1124" t="s">
        <v>521</v>
      </c>
      <c r="C28" s="1124" t="s">
        <v>4395</v>
      </c>
      <c r="D28" s="1068" t="s">
        <v>3149</v>
      </c>
      <c r="E28" s="1081">
        <v>490.05</v>
      </c>
      <c r="F28" s="649">
        <v>0</v>
      </c>
      <c r="G28" s="611">
        <v>490.05</v>
      </c>
      <c r="H28" s="1065">
        <v>44832.000497685185</v>
      </c>
      <c r="I28" s="1961"/>
      <c r="J28" s="1904"/>
      <c r="K28" s="1950"/>
      <c r="L28" s="219"/>
      <c r="M28"/>
    </row>
    <row r="29" spans="1:13" s="168" customFormat="1" ht="15">
      <c r="A29" s="1065">
        <v>44837</v>
      </c>
      <c r="B29" s="1124" t="s">
        <v>521</v>
      </c>
      <c r="C29" s="1124" t="s">
        <v>4395</v>
      </c>
      <c r="D29" s="1068" t="s">
        <v>3242</v>
      </c>
      <c r="E29" s="1081">
        <v>412.5</v>
      </c>
      <c r="F29" s="649">
        <v>0</v>
      </c>
      <c r="G29" s="611">
        <v>412.5</v>
      </c>
      <c r="H29" s="1065">
        <v>44837</v>
      </c>
      <c r="I29" s="1961"/>
      <c r="J29" s="1904"/>
      <c r="K29" s="1950"/>
      <c r="L29" s="219"/>
      <c r="M29"/>
    </row>
    <row r="30" spans="1:13" s="168" customFormat="1" ht="15">
      <c r="A30" s="1065">
        <v>44838</v>
      </c>
      <c r="B30" s="1124" t="s">
        <v>521</v>
      </c>
      <c r="C30" s="1124" t="s">
        <v>4395</v>
      </c>
      <c r="D30" s="1068" t="s">
        <v>3214</v>
      </c>
      <c r="E30" s="1081">
        <v>589.95000000000005</v>
      </c>
      <c r="F30" s="649">
        <v>0</v>
      </c>
      <c r="G30" s="611">
        <v>589.95000000000005</v>
      </c>
      <c r="H30" s="1065">
        <v>44838</v>
      </c>
      <c r="I30" s="1961"/>
      <c r="J30" s="1904"/>
      <c r="K30" s="1950"/>
      <c r="L30" s="219"/>
      <c r="M30"/>
    </row>
    <row r="31" spans="1:13" s="168" customFormat="1" ht="15">
      <c r="A31" s="1065">
        <v>44861</v>
      </c>
      <c r="B31" s="1124" t="s">
        <v>521</v>
      </c>
      <c r="C31" s="1124" t="s">
        <v>4395</v>
      </c>
      <c r="D31" s="1068" t="s">
        <v>3337</v>
      </c>
      <c r="E31" s="1081">
        <v>1663.2</v>
      </c>
      <c r="F31" s="649">
        <v>0</v>
      </c>
      <c r="G31" s="611">
        <v>1663.2</v>
      </c>
      <c r="H31" s="1065">
        <v>44861</v>
      </c>
      <c r="I31" s="1961"/>
      <c r="J31" s="1904"/>
      <c r="K31" s="1950"/>
      <c r="L31" s="219"/>
      <c r="M31"/>
    </row>
    <row r="32" spans="1:13" s="168" customFormat="1" ht="15">
      <c r="A32" s="1065">
        <v>44888</v>
      </c>
      <c r="B32" s="1124" t="s">
        <v>521</v>
      </c>
      <c r="C32" s="1124" t="s">
        <v>4395</v>
      </c>
      <c r="D32" s="1068" t="s">
        <v>3519</v>
      </c>
      <c r="E32" s="1081">
        <v>872.33</v>
      </c>
      <c r="F32" s="649">
        <v>0</v>
      </c>
      <c r="G32" s="611">
        <v>872.33</v>
      </c>
      <c r="H32" s="1065">
        <v>44888</v>
      </c>
      <c r="I32" s="1961"/>
      <c r="J32" s="1904"/>
      <c r="K32" s="1950"/>
      <c r="L32" s="219"/>
      <c r="M32"/>
    </row>
    <row r="33" spans="1:13" s="168" customFormat="1" ht="15">
      <c r="A33" s="1065">
        <v>44895</v>
      </c>
      <c r="B33" s="1124" t="s">
        <v>521</v>
      </c>
      <c r="C33" s="1124" t="s">
        <v>4395</v>
      </c>
      <c r="D33" s="1068" t="s">
        <v>3592</v>
      </c>
      <c r="E33" s="1081">
        <v>-182.27</v>
      </c>
      <c r="F33" s="649">
        <v>0</v>
      </c>
      <c r="G33" s="611">
        <v>-182.28</v>
      </c>
      <c r="H33" s="1065"/>
      <c r="I33" s="1961"/>
      <c r="J33" s="1904"/>
      <c r="K33" s="1950"/>
      <c r="L33" s="219"/>
      <c r="M33"/>
    </row>
    <row r="34" spans="1:13" s="168" customFormat="1" ht="15">
      <c r="A34" s="1065">
        <v>44902.000497685185</v>
      </c>
      <c r="B34" s="1124" t="s">
        <v>521</v>
      </c>
      <c r="C34" s="1124" t="s">
        <v>4395</v>
      </c>
      <c r="D34" s="1068" t="s">
        <v>3656</v>
      </c>
      <c r="E34" s="1081">
        <v>412.2</v>
      </c>
      <c r="F34" s="649">
        <v>0</v>
      </c>
      <c r="G34" s="611">
        <v>412.2</v>
      </c>
      <c r="H34" s="1065">
        <v>44947</v>
      </c>
      <c r="I34" s="1961"/>
      <c r="J34" s="1904"/>
      <c r="K34" s="1950"/>
      <c r="L34" s="219"/>
      <c r="M34"/>
    </row>
    <row r="35" spans="1:13" s="168" customFormat="1" ht="15">
      <c r="A35" s="1065">
        <v>44917</v>
      </c>
      <c r="B35" s="1124" t="s">
        <v>521</v>
      </c>
      <c r="C35" s="1124" t="s">
        <v>4395</v>
      </c>
      <c r="D35" s="1068" t="s">
        <v>3743</v>
      </c>
      <c r="E35" s="1081">
        <v>451.5</v>
      </c>
      <c r="F35" s="649">
        <v>0</v>
      </c>
      <c r="G35" s="611">
        <v>451.5</v>
      </c>
      <c r="H35" s="1065">
        <v>44918</v>
      </c>
      <c r="I35" s="1961"/>
      <c r="J35" s="1904"/>
      <c r="K35" s="1950"/>
      <c r="L35" s="219"/>
      <c r="M35"/>
    </row>
    <row r="36" spans="1:13" s="168" customFormat="1" ht="15">
      <c r="A36" s="1065">
        <v>44950</v>
      </c>
      <c r="B36" s="1124" t="s">
        <v>2644</v>
      </c>
      <c r="C36" s="1124" t="s">
        <v>4395</v>
      </c>
      <c r="D36" s="1068" t="s">
        <v>3947</v>
      </c>
      <c r="E36" s="1081">
        <v>-6.83</v>
      </c>
      <c r="F36" s="649">
        <v>0</v>
      </c>
      <c r="G36" s="611">
        <v>-6.83</v>
      </c>
      <c r="H36" s="1065"/>
      <c r="I36" s="1924"/>
      <c r="J36" s="1905"/>
      <c r="K36" s="1947"/>
      <c r="L36" s="219"/>
      <c r="M36"/>
    </row>
    <row r="37" spans="1:13" s="388" customFormat="1" ht="15">
      <c r="A37" s="1427">
        <v>44951</v>
      </c>
      <c r="B37" s="1427" t="s">
        <v>2644</v>
      </c>
      <c r="C37" s="1427" t="s">
        <v>4395</v>
      </c>
      <c r="D37" s="1428" t="s">
        <v>3948</v>
      </c>
      <c r="E37" s="1431">
        <v>3931.35</v>
      </c>
      <c r="F37" s="649">
        <v>0</v>
      </c>
      <c r="G37" s="611">
        <v>3931.35</v>
      </c>
      <c r="H37" s="1427">
        <v>45011</v>
      </c>
      <c r="I37" s="1923">
        <v>3775.41</v>
      </c>
      <c r="J37" s="1903">
        <v>45068</v>
      </c>
      <c r="K37" s="1938" t="s">
        <v>5229</v>
      </c>
      <c r="L37" s="166"/>
    </row>
    <row r="38" spans="1:13" s="388" customFormat="1" ht="15">
      <c r="A38" s="1427">
        <v>44956.000497685185</v>
      </c>
      <c r="B38" s="1427" t="s">
        <v>2644</v>
      </c>
      <c r="C38" s="1427" t="s">
        <v>4395</v>
      </c>
      <c r="D38" s="1428" t="s">
        <v>4023</v>
      </c>
      <c r="E38" s="1431">
        <v>-52.65</v>
      </c>
      <c r="F38" s="649">
        <v>0</v>
      </c>
      <c r="G38" s="611">
        <v>-52.65</v>
      </c>
      <c r="H38" s="1427"/>
      <c r="I38" s="1961"/>
      <c r="J38" s="1904"/>
      <c r="K38" s="1950"/>
      <c r="L38" s="166"/>
    </row>
    <row r="39" spans="1:13" s="388" customFormat="1" ht="15">
      <c r="A39" s="1427">
        <v>44964</v>
      </c>
      <c r="B39" s="1427" t="s">
        <v>2644</v>
      </c>
      <c r="C39" s="1427" t="s">
        <v>4395</v>
      </c>
      <c r="D39" s="1428" t="s">
        <v>4053</v>
      </c>
      <c r="E39" s="1431">
        <v>867.15</v>
      </c>
      <c r="F39" s="649">
        <v>0</v>
      </c>
      <c r="G39" s="611">
        <v>867.15</v>
      </c>
      <c r="H39" s="1427">
        <v>45024</v>
      </c>
      <c r="I39" s="1961"/>
      <c r="J39" s="1904"/>
      <c r="K39" s="1950"/>
      <c r="L39" s="166"/>
    </row>
    <row r="40" spans="1:13" s="388" customFormat="1" ht="15">
      <c r="A40" s="1427">
        <v>44972</v>
      </c>
      <c r="B40" s="1427" t="s">
        <v>2644</v>
      </c>
      <c r="C40" s="1427" t="s">
        <v>5228</v>
      </c>
      <c r="D40" s="1428" t="s">
        <v>4158</v>
      </c>
      <c r="E40" s="1431">
        <v>487.35</v>
      </c>
      <c r="F40" s="649">
        <v>0</v>
      </c>
      <c r="G40" s="611">
        <v>487.35</v>
      </c>
      <c r="H40" s="1427">
        <v>45032</v>
      </c>
      <c r="I40" s="1961"/>
      <c r="J40" s="1904"/>
      <c r="K40" s="1950"/>
      <c r="L40" s="166"/>
    </row>
    <row r="41" spans="1:13" s="388" customFormat="1" ht="15">
      <c r="A41" s="1427">
        <v>45028.000497685185</v>
      </c>
      <c r="B41" s="1427" t="s">
        <v>2644</v>
      </c>
      <c r="C41" s="1427" t="s">
        <v>4395</v>
      </c>
      <c r="D41" s="1428" t="s">
        <v>4702</v>
      </c>
      <c r="E41" s="1431">
        <v>3015.45</v>
      </c>
      <c r="F41" s="649">
        <v>0</v>
      </c>
      <c r="G41" s="611">
        <v>3015.45</v>
      </c>
      <c r="H41" s="1427">
        <v>45088</v>
      </c>
      <c r="I41" s="1961"/>
      <c r="J41" s="1904"/>
      <c r="K41" s="1950"/>
      <c r="L41" s="166"/>
    </row>
    <row r="42" spans="1:13" s="388" customFormat="1" ht="15">
      <c r="A42" s="1427">
        <v>45028.000497685185</v>
      </c>
      <c r="B42" s="1427" t="s">
        <v>2644</v>
      </c>
      <c r="C42" s="1427" t="s">
        <v>4395</v>
      </c>
      <c r="D42" s="1428" t="s">
        <v>4703</v>
      </c>
      <c r="E42" s="1431">
        <v>-36.49</v>
      </c>
      <c r="F42" s="649">
        <v>0</v>
      </c>
      <c r="G42" s="611">
        <v>-36.49</v>
      </c>
      <c r="H42" s="1427"/>
      <c r="I42" s="1961"/>
      <c r="J42" s="1904"/>
      <c r="K42" s="1950"/>
      <c r="L42" s="166"/>
    </row>
    <row r="43" spans="1:13" s="388" customFormat="1" ht="15">
      <c r="A43" s="1427">
        <v>45028.000497685185</v>
      </c>
      <c r="B43" s="1427" t="s">
        <v>2644</v>
      </c>
      <c r="C43" s="1427" t="s">
        <v>4395</v>
      </c>
      <c r="D43" s="1428" t="s">
        <v>4704</v>
      </c>
      <c r="E43" s="1431">
        <v>-1648.2</v>
      </c>
      <c r="F43" s="649">
        <v>0</v>
      </c>
      <c r="G43" s="611">
        <v>-1648.2</v>
      </c>
      <c r="H43" s="1427"/>
      <c r="I43" s="1961"/>
      <c r="J43" s="1904"/>
      <c r="K43" s="1950"/>
      <c r="L43" s="166"/>
    </row>
    <row r="44" spans="1:13" s="388" customFormat="1" ht="15">
      <c r="A44" s="1427">
        <v>45034</v>
      </c>
      <c r="B44" s="1427" t="s">
        <v>2644</v>
      </c>
      <c r="C44" s="1427" t="s">
        <v>4395</v>
      </c>
      <c r="D44" s="1428" t="s">
        <v>4785</v>
      </c>
      <c r="E44" s="1431">
        <v>212.85</v>
      </c>
      <c r="F44" s="649">
        <v>0</v>
      </c>
      <c r="G44" s="611">
        <v>212.85</v>
      </c>
      <c r="H44" s="1427">
        <v>45079</v>
      </c>
      <c r="I44" s="1961"/>
      <c r="J44" s="1904"/>
      <c r="K44" s="1950"/>
      <c r="L44" s="166"/>
    </row>
    <row r="45" spans="1:13" s="388" customFormat="1" ht="15">
      <c r="A45" s="1427">
        <v>45036</v>
      </c>
      <c r="B45" s="1427" t="s">
        <v>2644</v>
      </c>
      <c r="C45" s="1427" t="s">
        <v>4395</v>
      </c>
      <c r="D45" s="1428" t="s">
        <v>4786</v>
      </c>
      <c r="E45" s="1431">
        <v>-564.34</v>
      </c>
      <c r="F45" s="649">
        <v>0</v>
      </c>
      <c r="G45" s="611">
        <v>-564.34</v>
      </c>
      <c r="H45" s="1427"/>
      <c r="I45" s="1961"/>
      <c r="J45" s="1904"/>
      <c r="K45" s="1950"/>
      <c r="L45" s="166"/>
    </row>
    <row r="46" spans="1:13" s="388" customFormat="1" ht="15">
      <c r="A46" s="1427">
        <v>45036</v>
      </c>
      <c r="B46" s="1427" t="s">
        <v>2644</v>
      </c>
      <c r="C46" s="1427" t="s">
        <v>4395</v>
      </c>
      <c r="D46" s="1428" t="s">
        <v>4787</v>
      </c>
      <c r="E46" s="1431">
        <v>-2418.86</v>
      </c>
      <c r="F46" s="649">
        <v>0</v>
      </c>
      <c r="G46" s="611">
        <v>-2418.86</v>
      </c>
      <c r="H46" s="1427"/>
      <c r="I46" s="1961"/>
      <c r="J46" s="1904"/>
      <c r="K46" s="1950"/>
      <c r="L46" s="166"/>
    </row>
    <row r="47" spans="1:13" s="388" customFormat="1" ht="15">
      <c r="A47" s="1427">
        <v>45069</v>
      </c>
      <c r="B47" s="1427" t="s">
        <v>2644</v>
      </c>
      <c r="C47" s="1427" t="s">
        <v>4395</v>
      </c>
      <c r="D47" s="1428" t="s">
        <v>5189</v>
      </c>
      <c r="E47" s="1431">
        <v>-18.2</v>
      </c>
      <c r="F47" s="649">
        <v>0</v>
      </c>
      <c r="G47" s="611">
        <v>-18.2</v>
      </c>
      <c r="H47" s="1427"/>
      <c r="I47" s="1924"/>
      <c r="J47" s="1905"/>
      <c r="K47" s="1947"/>
      <c r="L47" s="166"/>
    </row>
    <row r="48" spans="1:13" s="168" customFormat="1" ht="15">
      <c r="A48" s="1629">
        <v>45058</v>
      </c>
      <c r="B48" s="1629" t="s">
        <v>2644</v>
      </c>
      <c r="C48" s="1629" t="s">
        <v>4395</v>
      </c>
      <c r="D48" s="1632" t="s">
        <v>4958</v>
      </c>
      <c r="E48" s="1635">
        <v>1169.7</v>
      </c>
      <c r="F48" s="649">
        <v>0</v>
      </c>
      <c r="G48" s="611">
        <v>1169.7</v>
      </c>
      <c r="H48" s="1629">
        <v>45103</v>
      </c>
      <c r="I48" s="1923">
        <v>4375.3999999999996</v>
      </c>
      <c r="J48" s="1903">
        <v>45156</v>
      </c>
      <c r="K48" s="1938" t="s">
        <v>5897</v>
      </c>
      <c r="L48" s="166"/>
      <c r="M48"/>
    </row>
    <row r="49" spans="1:13" s="168" customFormat="1" ht="15">
      <c r="A49" s="1629">
        <v>45063</v>
      </c>
      <c r="B49" s="1629" t="s">
        <v>2644</v>
      </c>
      <c r="C49" s="1629" t="s">
        <v>4395</v>
      </c>
      <c r="D49" s="1632" t="s">
        <v>5077</v>
      </c>
      <c r="E49" s="1635">
        <v>189.9</v>
      </c>
      <c r="F49" s="649">
        <v>0</v>
      </c>
      <c r="G49" s="611">
        <v>189.9</v>
      </c>
      <c r="H49" s="1629">
        <v>45108</v>
      </c>
      <c r="I49" s="1961"/>
      <c r="J49" s="1904"/>
      <c r="K49" s="1950"/>
      <c r="L49" s="166"/>
      <c r="M49"/>
    </row>
    <row r="50" spans="1:13" s="168" customFormat="1" ht="15">
      <c r="A50" s="1629">
        <v>45076</v>
      </c>
      <c r="B50" s="1629" t="s">
        <v>2644</v>
      </c>
      <c r="C50" s="1629" t="s">
        <v>4395</v>
      </c>
      <c r="D50" s="1632" t="s">
        <v>5249</v>
      </c>
      <c r="E50" s="1635">
        <v>-225.6</v>
      </c>
      <c r="F50" s="649">
        <v>0</v>
      </c>
      <c r="G50" s="611">
        <v>-225.6</v>
      </c>
      <c r="H50" s="1629"/>
      <c r="I50" s="1961"/>
      <c r="J50" s="1904"/>
      <c r="K50" s="1950"/>
      <c r="L50" s="166"/>
      <c r="M50"/>
    </row>
    <row r="51" spans="1:13" s="168" customFormat="1" ht="15">
      <c r="A51" s="1629">
        <v>45084</v>
      </c>
      <c r="B51" s="1629" t="s">
        <v>2644</v>
      </c>
      <c r="C51" s="1629" t="s">
        <v>4395</v>
      </c>
      <c r="D51" s="1632" t="s">
        <v>5303</v>
      </c>
      <c r="E51" s="1635">
        <v>1259.78</v>
      </c>
      <c r="F51" s="649">
        <v>0</v>
      </c>
      <c r="G51" s="611">
        <v>1259.78</v>
      </c>
      <c r="H51" s="1629">
        <v>45129</v>
      </c>
      <c r="I51" s="1961"/>
      <c r="J51" s="1904"/>
      <c r="K51" s="1950"/>
      <c r="L51" s="166"/>
      <c r="M51"/>
    </row>
    <row r="52" spans="1:13" s="168" customFormat="1" ht="15">
      <c r="A52" s="1629">
        <v>45111</v>
      </c>
      <c r="B52" s="1629" t="s">
        <v>2644</v>
      </c>
      <c r="C52" s="1629" t="s">
        <v>4395</v>
      </c>
      <c r="D52" s="1632" t="s">
        <v>5535</v>
      </c>
      <c r="E52" s="1635">
        <v>1191.75</v>
      </c>
      <c r="F52" s="649">
        <v>0</v>
      </c>
      <c r="G52" s="611">
        <v>1191.75</v>
      </c>
      <c r="H52" s="1629">
        <v>45156</v>
      </c>
      <c r="I52" s="1961"/>
      <c r="J52" s="1904"/>
      <c r="K52" s="1950"/>
      <c r="L52" s="166"/>
      <c r="M52"/>
    </row>
    <row r="53" spans="1:13" s="168" customFormat="1" ht="15">
      <c r="A53" s="1629">
        <v>45125</v>
      </c>
      <c r="B53" s="1629" t="s">
        <v>2644</v>
      </c>
      <c r="C53" s="1629" t="s">
        <v>4395</v>
      </c>
      <c r="D53" s="1632" t="s">
        <v>5618</v>
      </c>
      <c r="E53" s="1635">
        <v>808.2</v>
      </c>
      <c r="F53" s="649">
        <v>0</v>
      </c>
      <c r="G53" s="611">
        <v>808.2</v>
      </c>
      <c r="H53" s="1629">
        <v>45170</v>
      </c>
      <c r="I53" s="1961"/>
      <c r="J53" s="1904"/>
      <c r="K53" s="1950"/>
      <c r="L53" s="166"/>
      <c r="M53"/>
    </row>
    <row r="54" spans="1:13" s="168" customFormat="1" ht="15">
      <c r="A54" s="1629">
        <v>45156</v>
      </c>
      <c r="B54" s="1629" t="s">
        <v>2644</v>
      </c>
      <c r="C54" s="1629" t="s">
        <v>4395</v>
      </c>
      <c r="D54" s="1632" t="s">
        <v>5885</v>
      </c>
      <c r="E54" s="1635">
        <v>-2.59</v>
      </c>
      <c r="F54" s="649">
        <v>0</v>
      </c>
      <c r="G54" s="611">
        <v>-2.59</v>
      </c>
      <c r="H54" s="1629"/>
      <c r="I54" s="1961"/>
      <c r="J54" s="1904"/>
      <c r="K54" s="1950"/>
      <c r="L54" s="166"/>
      <c r="M54"/>
    </row>
    <row r="55" spans="1:13" s="168" customFormat="1" ht="15">
      <c r="A55" s="1629">
        <v>45156</v>
      </c>
      <c r="B55" s="1629" t="s">
        <v>2644</v>
      </c>
      <c r="C55" s="1629" t="s">
        <v>4395</v>
      </c>
      <c r="D55" s="1632" t="s">
        <v>5886</v>
      </c>
      <c r="E55" s="1635">
        <v>-8.44</v>
      </c>
      <c r="F55" s="649">
        <v>0</v>
      </c>
      <c r="G55" s="611">
        <v>-8.44</v>
      </c>
      <c r="H55" s="1629"/>
      <c r="I55" s="1961"/>
      <c r="J55" s="1904"/>
      <c r="K55" s="1950"/>
      <c r="L55" s="166"/>
      <c r="M55"/>
    </row>
    <row r="56" spans="1:13" s="168" customFormat="1" ht="15">
      <c r="A56" s="1629">
        <v>45156</v>
      </c>
      <c r="B56" s="1629" t="s">
        <v>2644</v>
      </c>
      <c r="C56" s="1629" t="s">
        <v>4395</v>
      </c>
      <c r="D56" s="1632" t="s">
        <v>5887</v>
      </c>
      <c r="E56" s="1635">
        <v>-7.3</v>
      </c>
      <c r="F56" s="649">
        <v>0</v>
      </c>
      <c r="G56" s="611">
        <v>-7.3</v>
      </c>
      <c r="H56" s="1629">
        <v>45157</v>
      </c>
      <c r="I56" s="1924"/>
      <c r="J56" s="1905"/>
      <c r="K56" s="1947"/>
      <c r="L56" s="166" t="s">
        <v>5888</v>
      </c>
      <c r="M56"/>
    </row>
    <row r="57" spans="1:13" s="168" customFormat="1" ht="15">
      <c r="A57" s="623">
        <v>45140</v>
      </c>
      <c r="B57" s="623" t="s">
        <v>2644</v>
      </c>
      <c r="C57" s="623" t="s">
        <v>4395</v>
      </c>
      <c r="D57" s="624" t="s">
        <v>5725</v>
      </c>
      <c r="E57" s="603">
        <v>508.05</v>
      </c>
      <c r="F57" s="644">
        <v>0</v>
      </c>
      <c r="G57" s="605">
        <v>508.05</v>
      </c>
      <c r="H57" s="623">
        <v>45185</v>
      </c>
      <c r="I57" s="1464"/>
      <c r="J57" s="1456"/>
      <c r="K57" s="1457"/>
      <c r="L57" s="219"/>
      <c r="M57"/>
    </row>
    <row r="58" spans="1:13" s="168" customFormat="1" ht="15">
      <c r="A58" s="623">
        <v>45169</v>
      </c>
      <c r="B58" s="623" t="s">
        <v>2644</v>
      </c>
      <c r="C58" s="623" t="s">
        <v>4395</v>
      </c>
      <c r="D58" s="624" t="s">
        <v>5941</v>
      </c>
      <c r="E58" s="603">
        <v>1508.18</v>
      </c>
      <c r="F58" s="644">
        <v>0</v>
      </c>
      <c r="G58" s="605">
        <v>1508.18</v>
      </c>
      <c r="H58" s="623">
        <v>45214.000497685185</v>
      </c>
      <c r="I58" s="1448"/>
      <c r="J58" s="1440"/>
      <c r="K58" s="1439"/>
      <c r="L58" s="219"/>
      <c r="M58"/>
    </row>
    <row r="59" spans="1:13" s="168" customFormat="1" ht="15">
      <c r="A59" s="623">
        <v>45191</v>
      </c>
      <c r="B59" s="623" t="s">
        <v>2644</v>
      </c>
      <c r="C59" s="623" t="s">
        <v>4395</v>
      </c>
      <c r="D59" s="624" t="s">
        <v>6079</v>
      </c>
      <c r="E59" s="603">
        <v>766.58</v>
      </c>
      <c r="F59" s="644">
        <v>0</v>
      </c>
      <c r="G59" s="605">
        <v>766.58</v>
      </c>
      <c r="H59" s="623">
        <v>45235</v>
      </c>
      <c r="I59" s="1724"/>
      <c r="J59" s="1718"/>
      <c r="K59" s="1716"/>
      <c r="L59" s="219"/>
      <c r="M59"/>
    </row>
    <row r="60" spans="1:13" s="168" customFormat="1" ht="15">
      <c r="A60" s="623">
        <v>45236</v>
      </c>
      <c r="B60" s="623" t="s">
        <v>2644</v>
      </c>
      <c r="C60" s="623" t="s">
        <v>4395</v>
      </c>
      <c r="D60" s="624" t="s">
        <v>6512</v>
      </c>
      <c r="E60" s="603">
        <v>2322</v>
      </c>
      <c r="F60" s="644">
        <v>0</v>
      </c>
      <c r="G60" s="605">
        <v>2322</v>
      </c>
      <c r="H60" s="623">
        <v>45281</v>
      </c>
      <c r="I60" s="1724"/>
      <c r="J60" s="1718"/>
      <c r="K60" s="1716"/>
      <c r="L60" s="219"/>
      <c r="M60"/>
    </row>
    <row r="61" spans="1:13" s="168" customFormat="1" ht="15">
      <c r="A61" s="623">
        <v>45240</v>
      </c>
      <c r="B61" s="623" t="s">
        <v>2644</v>
      </c>
      <c r="C61" s="623" t="s">
        <v>4395</v>
      </c>
      <c r="D61" s="624" t="s">
        <v>6513</v>
      </c>
      <c r="E61" s="603">
        <v>-1058.18</v>
      </c>
      <c r="F61" s="644">
        <v>0</v>
      </c>
      <c r="G61" s="605">
        <v>-1058.18</v>
      </c>
      <c r="H61" s="623"/>
      <c r="I61" s="1724"/>
      <c r="J61" s="1718"/>
      <c r="K61" s="1716"/>
      <c r="L61" s="219"/>
      <c r="M61"/>
    </row>
    <row r="62" spans="1:13" s="168" customFormat="1" ht="15">
      <c r="A62" s="623">
        <v>45243</v>
      </c>
      <c r="B62" s="623" t="s">
        <v>2644</v>
      </c>
      <c r="C62" s="623" t="s">
        <v>4395</v>
      </c>
      <c r="D62" s="624" t="s">
        <v>6554</v>
      </c>
      <c r="E62" s="603">
        <v>-4</v>
      </c>
      <c r="F62" s="644">
        <v>0</v>
      </c>
      <c r="G62" s="605">
        <v>-4</v>
      </c>
      <c r="H62" s="623"/>
      <c r="I62" s="1724"/>
      <c r="J62" s="1718"/>
      <c r="K62" s="1716"/>
      <c r="L62" s="219"/>
      <c r="M62"/>
    </row>
    <row r="63" spans="1:13" s="168" customFormat="1" ht="15">
      <c r="A63" s="623">
        <v>45243</v>
      </c>
      <c r="B63" s="623" t="s">
        <v>2644</v>
      </c>
      <c r="C63" s="623" t="s">
        <v>4395</v>
      </c>
      <c r="D63" s="624" t="s">
        <v>6555</v>
      </c>
      <c r="E63" s="603">
        <v>-346.58</v>
      </c>
      <c r="F63" s="644">
        <v>0</v>
      </c>
      <c r="G63" s="605">
        <v>-346.58</v>
      </c>
      <c r="H63" s="623"/>
      <c r="I63" s="1724"/>
      <c r="J63" s="1718"/>
      <c r="K63" s="1716"/>
      <c r="L63" s="219"/>
      <c r="M63"/>
    </row>
    <row r="64" spans="1:13" s="168" customFormat="1" ht="15">
      <c r="A64" s="623"/>
      <c r="B64" s="623"/>
      <c r="C64" s="623"/>
      <c r="D64" s="624"/>
      <c r="E64" s="603"/>
      <c r="F64" s="644"/>
      <c r="G64" s="605"/>
      <c r="H64" s="623"/>
      <c r="I64" s="1724"/>
      <c r="J64" s="1718"/>
      <c r="K64" s="1716"/>
      <c r="L64" s="219"/>
      <c r="M64"/>
    </row>
    <row r="65" spans="1:13" s="168" customFormat="1" ht="15">
      <c r="A65" s="623"/>
      <c r="B65" s="623"/>
      <c r="C65" s="623"/>
      <c r="D65" s="624"/>
      <c r="E65" s="603"/>
      <c r="F65" s="644"/>
      <c r="G65" s="605"/>
      <c r="H65" s="623"/>
      <c r="I65" s="1724"/>
      <c r="J65" s="1718"/>
      <c r="K65" s="1716"/>
      <c r="L65" s="219"/>
      <c r="M65"/>
    </row>
    <row r="66" spans="1:13" s="168" customFormat="1" ht="15">
      <c r="A66" s="623"/>
      <c r="B66" s="623"/>
      <c r="C66" s="623"/>
      <c r="D66" s="624"/>
      <c r="E66" s="603"/>
      <c r="F66" s="644"/>
      <c r="G66" s="605"/>
      <c r="H66" s="623"/>
      <c r="I66" s="1724"/>
      <c r="J66" s="1718"/>
      <c r="K66" s="1716"/>
      <c r="L66" s="219"/>
      <c r="M66"/>
    </row>
    <row r="67" spans="1:13" s="168" customFormat="1" ht="15">
      <c r="A67" s="623"/>
      <c r="B67" s="623"/>
      <c r="C67" s="623"/>
      <c r="D67" s="624"/>
      <c r="E67" s="603"/>
      <c r="F67" s="644"/>
      <c r="G67" s="605"/>
      <c r="H67" s="623"/>
      <c r="I67" s="1448"/>
      <c r="J67" s="1440"/>
      <c r="K67" s="1439"/>
      <c r="L67" s="219"/>
      <c r="M67"/>
    </row>
    <row r="68" spans="1:13" s="168" customFormat="1" ht="15">
      <c r="A68" s="623"/>
      <c r="B68" s="623"/>
      <c r="C68" s="623"/>
      <c r="D68" s="624"/>
      <c r="E68" s="603"/>
      <c r="F68" s="644"/>
      <c r="G68" s="605"/>
      <c r="H68" s="623"/>
      <c r="I68" s="1301"/>
      <c r="J68" s="1427"/>
      <c r="K68" s="1425"/>
      <c r="L68" s="219"/>
      <c r="M68"/>
    </row>
    <row r="69" spans="1:13" s="168" customFormat="1" ht="15">
      <c r="A69" s="623"/>
      <c r="B69" s="623"/>
      <c r="C69" s="623"/>
      <c r="D69" s="624"/>
      <c r="E69" s="603"/>
      <c r="F69" s="644"/>
      <c r="G69" s="605"/>
      <c r="H69" s="623"/>
      <c r="I69" s="1081"/>
      <c r="J69" s="1427"/>
      <c r="K69" s="1425"/>
      <c r="L69" s="219"/>
      <c r="M69"/>
    </row>
    <row r="70" spans="1:13" s="168" customFormat="1" ht="15">
      <c r="A70" s="623"/>
      <c r="B70" s="623"/>
      <c r="C70" s="623"/>
      <c r="D70" s="624"/>
      <c r="E70" s="603"/>
      <c r="F70" s="644"/>
      <c r="G70" s="605"/>
      <c r="H70" s="623"/>
      <c r="I70" s="1081"/>
      <c r="J70" s="1427"/>
      <c r="K70" s="1425"/>
      <c r="L70" s="219"/>
      <c r="M70"/>
    </row>
    <row r="71" spans="1:13" s="168" customFormat="1" ht="15">
      <c r="A71" s="623"/>
      <c r="B71" s="623"/>
      <c r="C71" s="623"/>
      <c r="D71" s="624"/>
      <c r="E71" s="603"/>
      <c r="F71" s="644"/>
      <c r="G71" s="605"/>
      <c r="H71" s="623"/>
      <c r="I71" s="1081"/>
      <c r="J71" s="1427"/>
      <c r="K71" s="1425"/>
      <c r="L71" s="219"/>
      <c r="M71"/>
    </row>
    <row r="72" spans="1:13" ht="15">
      <c r="A72" s="685"/>
      <c r="B72" s="685"/>
      <c r="C72" s="685"/>
      <c r="D72" s="619"/>
      <c r="E72" s="684"/>
      <c r="F72" s="1144" t="s">
        <v>545</v>
      </c>
      <c r="G72" s="651">
        <f>SUM(G2:G71)-SUM(I2:I71)</f>
        <v>3696.0500000000029</v>
      </c>
      <c r="H72" s="634"/>
      <c r="I72" s="1081"/>
      <c r="J72" s="1428"/>
      <c r="K72" s="1425"/>
      <c r="L72" s="226"/>
      <c r="M72"/>
    </row>
    <row r="73" spans="1:13">
      <c r="I73" s="388"/>
      <c r="J73" s="269"/>
      <c r="K73" s="269"/>
    </row>
    <row r="74" spans="1:13">
      <c r="I74" s="388"/>
      <c r="J74" s="269"/>
      <c r="K74" s="269"/>
    </row>
    <row r="75" spans="1:13">
      <c r="J75" s="237"/>
      <c r="K75" s="237"/>
    </row>
    <row r="76" spans="1:13">
      <c r="G76" s="168"/>
    </row>
    <row r="77" spans="1:13">
      <c r="G77" s="168"/>
    </row>
    <row r="78" spans="1:13">
      <c r="G78" s="168"/>
    </row>
  </sheetData>
  <mergeCells count="51">
    <mergeCell ref="K37:K47"/>
    <mergeCell ref="J37:J47"/>
    <mergeCell ref="I37:I47"/>
    <mergeCell ref="C2:C4"/>
    <mergeCell ref="B2:B4"/>
    <mergeCell ref="C8:C9"/>
    <mergeCell ref="B8:B9"/>
    <mergeCell ref="B11:B12"/>
    <mergeCell ref="C11:C12"/>
    <mergeCell ref="K27:K36"/>
    <mergeCell ref="J27:J36"/>
    <mergeCell ref="I27:I36"/>
    <mergeCell ref="F25:F26"/>
    <mergeCell ref="E25:E26"/>
    <mergeCell ref="D25:D26"/>
    <mergeCell ref="K23:K24"/>
    <mergeCell ref="K13:K21"/>
    <mergeCell ref="J13:J21"/>
    <mergeCell ref="I13:I21"/>
    <mergeCell ref="A25:A26"/>
    <mergeCell ref="E11:E12"/>
    <mergeCell ref="F11:F12"/>
    <mergeCell ref="D21:D22"/>
    <mergeCell ref="A21:A22"/>
    <mergeCell ref="F21:F22"/>
    <mergeCell ref="E21:E22"/>
    <mergeCell ref="B21:B22"/>
    <mergeCell ref="C21:C22"/>
    <mergeCell ref="B25:B26"/>
    <mergeCell ref="C25:C26"/>
    <mergeCell ref="D2:D4"/>
    <mergeCell ref="E2:E4"/>
    <mergeCell ref="F8:F9"/>
    <mergeCell ref="I23:I24"/>
    <mergeCell ref="J23:J24"/>
    <mergeCell ref="K48:K56"/>
    <mergeCell ref="J48:J56"/>
    <mergeCell ref="I48:I56"/>
    <mergeCell ref="A8:A9"/>
    <mergeCell ref="D8:D9"/>
    <mergeCell ref="K4:K8"/>
    <mergeCell ref="J4:J8"/>
    <mergeCell ref="I4:I8"/>
    <mergeCell ref="K9:K11"/>
    <mergeCell ref="J9:J11"/>
    <mergeCell ref="D11:D12"/>
    <mergeCell ref="I9:I11"/>
    <mergeCell ref="A11:A12"/>
    <mergeCell ref="E8:E9"/>
    <mergeCell ref="F2:F4"/>
    <mergeCell ref="A2:A4"/>
  </mergeCells>
  <phoneticPr fontId="15" type="noConversion"/>
  <hyperlinks>
    <hyperlink ref="F72" location="汇总!A1" display="剩余欠款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M70"/>
  <sheetViews>
    <sheetView workbookViewId="0">
      <pane ySplit="1" topLeftCell="A44" activePane="bottomLeft" state="frozen"/>
      <selection activeCell="C33" sqref="C33"/>
      <selection pane="bottomLeft" activeCell="F69" sqref="F69"/>
    </sheetView>
  </sheetViews>
  <sheetFormatPr defaultRowHeight="14.25"/>
  <cols>
    <col min="1" max="1" width="12" style="96" bestFit="1" customWidth="1"/>
    <col min="2" max="2" width="8.875" style="96" bestFit="1" customWidth="1"/>
    <col min="3" max="3" width="34.375" style="96" bestFit="1" customWidth="1"/>
    <col min="4" max="4" width="15" style="96" bestFit="1" customWidth="1"/>
    <col min="5" max="5" width="11.5" style="96" bestFit="1" customWidth="1"/>
    <col min="6" max="6" width="11.5" style="96" customWidth="1"/>
    <col min="7" max="7" width="11.5" style="114" bestFit="1" customWidth="1"/>
    <col min="8" max="8" width="16.75" style="114" bestFit="1" customWidth="1"/>
    <col min="9" max="9" width="14.125" bestFit="1" customWidth="1"/>
    <col min="10" max="10" width="12" bestFit="1" customWidth="1"/>
    <col min="11" max="11" width="11.375" bestFit="1" customWidth="1"/>
    <col min="12" max="12" width="29.375" bestFit="1" customWidth="1"/>
    <col min="13" max="13" width="11.5" customWidth="1"/>
  </cols>
  <sheetData>
    <row r="1" spans="1:13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65" t="s">
        <v>3043</v>
      </c>
      <c r="J1" s="257" t="s">
        <v>4100</v>
      </c>
      <c r="K1" s="257" t="s">
        <v>541</v>
      </c>
      <c r="L1" s="256" t="s">
        <v>542</v>
      </c>
    </row>
    <row r="2" spans="1:13" ht="15">
      <c r="A2" s="620">
        <v>44580</v>
      </c>
      <c r="B2" s="1124" t="s">
        <v>521</v>
      </c>
      <c r="C2" s="1124" t="s">
        <v>2200</v>
      </c>
      <c r="D2" s="621" t="s">
        <v>557</v>
      </c>
      <c r="E2" s="613">
        <v>4009.19</v>
      </c>
      <c r="F2" s="633">
        <v>0</v>
      </c>
      <c r="G2" s="622">
        <v>4009.19</v>
      </c>
      <c r="H2" s="620">
        <v>44580</v>
      </c>
      <c r="I2" s="622">
        <v>4009.19</v>
      </c>
      <c r="J2" s="620">
        <v>44635</v>
      </c>
      <c r="K2" s="228" t="s">
        <v>1752</v>
      </c>
      <c r="L2" s="226"/>
      <c r="M2" s="190"/>
    </row>
    <row r="3" spans="1:13" ht="15">
      <c r="A3" s="620">
        <v>44601</v>
      </c>
      <c r="B3" s="1124" t="s">
        <v>521</v>
      </c>
      <c r="C3" s="1124" t="s">
        <v>2200</v>
      </c>
      <c r="D3" s="621" t="s">
        <v>558</v>
      </c>
      <c r="E3" s="613">
        <v>899.1</v>
      </c>
      <c r="F3" s="633">
        <v>0</v>
      </c>
      <c r="G3" s="622">
        <v>899.1</v>
      </c>
      <c r="H3" s="620">
        <v>44601</v>
      </c>
      <c r="I3" s="622">
        <v>899.1</v>
      </c>
      <c r="J3" s="620">
        <v>44691</v>
      </c>
      <c r="K3" s="376" t="s">
        <v>1752</v>
      </c>
      <c r="L3" s="226" t="s">
        <v>2506</v>
      </c>
      <c r="M3" s="190"/>
    </row>
    <row r="4" spans="1:13" ht="15">
      <c r="A4" s="620">
        <v>44610</v>
      </c>
      <c r="B4" s="1124" t="s">
        <v>521</v>
      </c>
      <c r="C4" s="1124" t="s">
        <v>2200</v>
      </c>
      <c r="D4" s="621" t="s">
        <v>559</v>
      </c>
      <c r="E4" s="613">
        <v>336</v>
      </c>
      <c r="F4" s="633">
        <v>0</v>
      </c>
      <c r="G4" s="622">
        <v>336</v>
      </c>
      <c r="H4" s="620">
        <v>44610</v>
      </c>
      <c r="I4" s="622">
        <v>336</v>
      </c>
      <c r="J4" s="620">
        <v>44691</v>
      </c>
      <c r="K4" s="376" t="s">
        <v>1752</v>
      </c>
      <c r="L4" s="226" t="s">
        <v>2506</v>
      </c>
      <c r="M4" s="190"/>
    </row>
    <row r="5" spans="1:13" ht="15">
      <c r="A5" s="632">
        <v>44657</v>
      </c>
      <c r="B5" s="1124" t="s">
        <v>521</v>
      </c>
      <c r="C5" s="1124" t="s">
        <v>2200</v>
      </c>
      <c r="D5" s="615" t="s">
        <v>1839</v>
      </c>
      <c r="E5" s="613">
        <v>544.5</v>
      </c>
      <c r="F5" s="633">
        <v>0</v>
      </c>
      <c r="G5" s="631">
        <v>544.5</v>
      </c>
      <c r="H5" s="632">
        <v>44657</v>
      </c>
      <c r="I5" s="1906">
        <v>3506.78</v>
      </c>
      <c r="J5" s="1918">
        <v>44774</v>
      </c>
      <c r="K5" s="1968" t="s">
        <v>2627</v>
      </c>
      <c r="L5" s="90"/>
      <c r="M5" s="190"/>
    </row>
    <row r="6" spans="1:13" ht="15">
      <c r="A6" s="632">
        <v>44662</v>
      </c>
      <c r="B6" s="1124" t="s">
        <v>521</v>
      </c>
      <c r="C6" s="1124" t="s">
        <v>2200</v>
      </c>
      <c r="D6" s="615" t="s">
        <v>1927</v>
      </c>
      <c r="E6" s="613">
        <v>146.85</v>
      </c>
      <c r="F6" s="633">
        <v>0</v>
      </c>
      <c r="G6" s="631">
        <v>146.85</v>
      </c>
      <c r="H6" s="632">
        <v>44662</v>
      </c>
      <c r="I6" s="1907"/>
      <c r="J6" s="1919"/>
      <c r="K6" s="1962"/>
      <c r="L6" s="90"/>
      <c r="M6" s="190"/>
    </row>
    <row r="7" spans="1:13" ht="15">
      <c r="A7" s="632">
        <v>44670</v>
      </c>
      <c r="B7" s="1124" t="s">
        <v>521</v>
      </c>
      <c r="C7" s="1124" t="s">
        <v>2200</v>
      </c>
      <c r="D7" s="615" t="s">
        <v>1946</v>
      </c>
      <c r="E7" s="613">
        <v>31.39</v>
      </c>
      <c r="F7" s="633">
        <v>0</v>
      </c>
      <c r="G7" s="631">
        <v>31.39</v>
      </c>
      <c r="H7" s="632">
        <v>44670</v>
      </c>
      <c r="I7" s="1907"/>
      <c r="J7" s="1919"/>
      <c r="K7" s="1962"/>
      <c r="L7" s="90"/>
      <c r="M7" s="190"/>
    </row>
    <row r="8" spans="1:13" ht="15">
      <c r="A8" s="632">
        <v>44670</v>
      </c>
      <c r="B8" s="1124" t="s">
        <v>521</v>
      </c>
      <c r="C8" s="1124" t="s">
        <v>2200</v>
      </c>
      <c r="D8" s="615" t="s">
        <v>1947</v>
      </c>
      <c r="E8" s="613">
        <v>-9.7100000000000009</v>
      </c>
      <c r="F8" s="633">
        <v>0</v>
      </c>
      <c r="G8" s="631">
        <v>-9.7100000000000009</v>
      </c>
      <c r="H8" s="611"/>
      <c r="I8" s="1907"/>
      <c r="J8" s="1919"/>
      <c r="K8" s="1962"/>
      <c r="L8" s="90"/>
      <c r="M8" s="190"/>
    </row>
    <row r="9" spans="1:13" ht="15">
      <c r="A9" s="632">
        <v>44678</v>
      </c>
      <c r="B9" s="1124" t="s">
        <v>521</v>
      </c>
      <c r="C9" s="1124" t="s">
        <v>2200</v>
      </c>
      <c r="D9" s="615" t="s">
        <v>1994</v>
      </c>
      <c r="E9" s="613">
        <v>-37.130000000000003</v>
      </c>
      <c r="F9" s="633">
        <v>0</v>
      </c>
      <c r="G9" s="631">
        <v>-37.130000000000003</v>
      </c>
      <c r="H9" s="611"/>
      <c r="I9" s="1907"/>
      <c r="J9" s="1919"/>
      <c r="K9" s="1962"/>
      <c r="L9" s="90"/>
      <c r="M9" s="190"/>
    </row>
    <row r="10" spans="1:13" ht="15">
      <c r="A10" s="632">
        <v>44687</v>
      </c>
      <c r="B10" s="1124" t="s">
        <v>521</v>
      </c>
      <c r="C10" s="1124" t="s">
        <v>2200</v>
      </c>
      <c r="D10" s="615" t="s">
        <v>2032</v>
      </c>
      <c r="E10" s="613">
        <v>476.78</v>
      </c>
      <c r="F10" s="633">
        <v>0</v>
      </c>
      <c r="G10" s="631">
        <v>476.78</v>
      </c>
      <c r="H10" s="632">
        <v>44687</v>
      </c>
      <c r="I10" s="1907"/>
      <c r="J10" s="1919"/>
      <c r="K10" s="1962"/>
      <c r="L10" s="90"/>
      <c r="M10" s="190"/>
    </row>
    <row r="11" spans="1:13" ht="15">
      <c r="A11" s="632">
        <v>44714</v>
      </c>
      <c r="B11" s="1124" t="s">
        <v>521</v>
      </c>
      <c r="C11" s="1124" t="s">
        <v>2200</v>
      </c>
      <c r="D11" s="615" t="s">
        <v>2215</v>
      </c>
      <c r="E11" s="613">
        <v>1555.99</v>
      </c>
      <c r="F11" s="633">
        <v>0</v>
      </c>
      <c r="G11" s="631">
        <v>1555.99</v>
      </c>
      <c r="H11" s="632">
        <v>44714</v>
      </c>
      <c r="I11" s="1907"/>
      <c r="J11" s="1919"/>
      <c r="K11" s="1962"/>
      <c r="L11" s="90"/>
      <c r="M11" s="190"/>
    </row>
    <row r="12" spans="1:13" ht="15">
      <c r="A12" s="632">
        <v>44727</v>
      </c>
      <c r="B12" s="1124" t="s">
        <v>521</v>
      </c>
      <c r="C12" s="1124" t="s">
        <v>2200</v>
      </c>
      <c r="D12" s="615" t="s">
        <v>2281</v>
      </c>
      <c r="E12" s="613">
        <v>330.75</v>
      </c>
      <c r="F12" s="633">
        <v>0</v>
      </c>
      <c r="G12" s="631">
        <v>330.75</v>
      </c>
      <c r="H12" s="632">
        <v>44727</v>
      </c>
      <c r="I12" s="1907"/>
      <c r="J12" s="1919"/>
      <c r="K12" s="1962"/>
      <c r="L12" s="90"/>
      <c r="M12" s="190"/>
    </row>
    <row r="13" spans="1:13" ht="15">
      <c r="A13" s="632">
        <v>44747.000497685185</v>
      </c>
      <c r="B13" s="1124" t="s">
        <v>521</v>
      </c>
      <c r="C13" s="1124" t="s">
        <v>2200</v>
      </c>
      <c r="D13" s="615" t="s">
        <v>2401</v>
      </c>
      <c r="E13" s="613">
        <v>186.3</v>
      </c>
      <c r="F13" s="633">
        <v>0</v>
      </c>
      <c r="G13" s="631">
        <v>186.3</v>
      </c>
      <c r="H13" s="632">
        <v>44747.000497685185</v>
      </c>
      <c r="I13" s="1907"/>
      <c r="J13" s="1919"/>
      <c r="K13" s="1962"/>
      <c r="L13" s="90"/>
      <c r="M13" s="190"/>
    </row>
    <row r="14" spans="1:13" ht="15">
      <c r="A14" s="632">
        <v>44768</v>
      </c>
      <c r="B14" s="1124" t="s">
        <v>521</v>
      </c>
      <c r="C14" s="1124" t="s">
        <v>2200</v>
      </c>
      <c r="D14" s="615" t="s">
        <v>2528</v>
      </c>
      <c r="E14" s="613">
        <v>281.06</v>
      </c>
      <c r="F14" s="633">
        <v>0</v>
      </c>
      <c r="G14" s="631">
        <v>281.06</v>
      </c>
      <c r="H14" s="632">
        <v>44768</v>
      </c>
      <c r="I14" s="1908"/>
      <c r="J14" s="1920"/>
      <c r="K14" s="1957"/>
      <c r="L14" s="90"/>
      <c r="M14" s="190"/>
    </row>
    <row r="15" spans="1:13" ht="15">
      <c r="A15" s="981">
        <v>44783.000497685185</v>
      </c>
      <c r="B15" s="1124" t="s">
        <v>521</v>
      </c>
      <c r="C15" s="1124" t="s">
        <v>2200</v>
      </c>
      <c r="D15" s="982" t="s">
        <v>2651</v>
      </c>
      <c r="E15" s="984">
        <v>186.38</v>
      </c>
      <c r="F15" s="649">
        <v>0</v>
      </c>
      <c r="G15" s="631">
        <v>186.38</v>
      </c>
      <c r="H15" s="981">
        <v>44783.000497685185</v>
      </c>
      <c r="I15" s="2042">
        <v>3135.32</v>
      </c>
      <c r="J15" s="1918">
        <v>44901</v>
      </c>
      <c r="K15" s="1956" t="s">
        <v>3671</v>
      </c>
      <c r="L15" s="226"/>
      <c r="M15" s="190"/>
    </row>
    <row r="16" spans="1:13" ht="15">
      <c r="A16" s="981">
        <v>44803</v>
      </c>
      <c r="B16" s="1124" t="s">
        <v>521</v>
      </c>
      <c r="C16" s="1124" t="s">
        <v>2200</v>
      </c>
      <c r="D16" s="982" t="s">
        <v>2894</v>
      </c>
      <c r="E16" s="984">
        <v>228.24</v>
      </c>
      <c r="F16" s="649">
        <v>0</v>
      </c>
      <c r="G16" s="631">
        <v>228.24</v>
      </c>
      <c r="H16" s="981">
        <v>44803</v>
      </c>
      <c r="I16" s="2043"/>
      <c r="J16" s="1919"/>
      <c r="K16" s="1962"/>
      <c r="L16" s="226"/>
      <c r="M16" s="190"/>
    </row>
    <row r="17" spans="1:13" ht="15">
      <c r="A17" s="981">
        <v>44812</v>
      </c>
      <c r="B17" s="1124" t="s">
        <v>521</v>
      </c>
      <c r="C17" s="1124" t="s">
        <v>2200</v>
      </c>
      <c r="D17" s="982" t="s">
        <v>2952</v>
      </c>
      <c r="E17" s="984">
        <v>383.29</v>
      </c>
      <c r="F17" s="649">
        <v>0</v>
      </c>
      <c r="G17" s="631">
        <v>383.29</v>
      </c>
      <c r="H17" s="981">
        <v>44812</v>
      </c>
      <c r="I17" s="2043"/>
      <c r="J17" s="1919"/>
      <c r="K17" s="1962"/>
      <c r="L17" s="226"/>
      <c r="M17" s="190"/>
    </row>
    <row r="18" spans="1:13" ht="15">
      <c r="A18" s="981">
        <v>44824</v>
      </c>
      <c r="B18" s="1124" t="s">
        <v>521</v>
      </c>
      <c r="C18" s="1124" t="s">
        <v>2200</v>
      </c>
      <c r="D18" s="982" t="s">
        <v>3051</v>
      </c>
      <c r="E18" s="984">
        <v>257.85000000000002</v>
      </c>
      <c r="F18" s="649">
        <v>0</v>
      </c>
      <c r="G18" s="631">
        <v>257.85000000000002</v>
      </c>
      <c r="H18" s="981">
        <v>44824</v>
      </c>
      <c r="I18" s="2043"/>
      <c r="J18" s="1919"/>
      <c r="K18" s="1962"/>
      <c r="L18" s="226"/>
      <c r="M18" s="190"/>
    </row>
    <row r="19" spans="1:13" ht="15">
      <c r="A19" s="981">
        <v>44832</v>
      </c>
      <c r="B19" s="1124" t="s">
        <v>521</v>
      </c>
      <c r="C19" s="1124" t="s">
        <v>2200</v>
      </c>
      <c r="D19" s="982" t="s">
        <v>3150</v>
      </c>
      <c r="E19" s="984">
        <v>251.1</v>
      </c>
      <c r="F19" s="649">
        <v>0</v>
      </c>
      <c r="G19" s="631">
        <v>251.1</v>
      </c>
      <c r="H19" s="981">
        <v>44832.000497685185</v>
      </c>
      <c r="I19" s="2043"/>
      <c r="J19" s="1919"/>
      <c r="K19" s="1962"/>
      <c r="L19" s="226"/>
      <c r="M19" s="190"/>
    </row>
    <row r="20" spans="1:13" ht="15">
      <c r="A20" s="981">
        <v>44832</v>
      </c>
      <c r="B20" s="1124" t="s">
        <v>521</v>
      </c>
      <c r="C20" s="1124" t="s">
        <v>2200</v>
      </c>
      <c r="D20" s="982" t="s">
        <v>3151</v>
      </c>
      <c r="E20" s="984">
        <v>189.6</v>
      </c>
      <c r="F20" s="649">
        <v>0</v>
      </c>
      <c r="G20" s="631">
        <v>189.6</v>
      </c>
      <c r="H20" s="981">
        <v>44832.000497685185</v>
      </c>
      <c r="I20" s="2043"/>
      <c r="J20" s="1919"/>
      <c r="K20" s="1962"/>
      <c r="L20" s="226"/>
      <c r="M20" s="190"/>
    </row>
    <row r="21" spans="1:13" ht="15">
      <c r="A21" s="981">
        <v>44847</v>
      </c>
      <c r="B21" s="1124" t="s">
        <v>521</v>
      </c>
      <c r="C21" s="1124" t="s">
        <v>2200</v>
      </c>
      <c r="D21" s="982" t="s">
        <v>3249</v>
      </c>
      <c r="E21" s="984">
        <v>340.31</v>
      </c>
      <c r="F21" s="649">
        <v>0</v>
      </c>
      <c r="G21" s="631">
        <v>340.31</v>
      </c>
      <c r="H21" s="981">
        <v>44847</v>
      </c>
      <c r="I21" s="2043"/>
      <c r="J21" s="1919"/>
      <c r="K21" s="1962"/>
      <c r="L21" s="226"/>
      <c r="M21" s="190"/>
    </row>
    <row r="22" spans="1:13" ht="15">
      <c r="A22" s="981">
        <v>44873</v>
      </c>
      <c r="B22" s="1124" t="s">
        <v>521</v>
      </c>
      <c r="C22" s="1124" t="s">
        <v>2200</v>
      </c>
      <c r="D22" s="982" t="s">
        <v>3430</v>
      </c>
      <c r="E22" s="984">
        <v>920.96</v>
      </c>
      <c r="F22" s="649">
        <v>0</v>
      </c>
      <c r="G22" s="631">
        <v>920.96</v>
      </c>
      <c r="H22" s="981">
        <v>44873</v>
      </c>
      <c r="I22" s="2043"/>
      <c r="J22" s="1919"/>
      <c r="K22" s="1962"/>
      <c r="L22" s="226"/>
      <c r="M22" s="190"/>
    </row>
    <row r="23" spans="1:13" ht="15">
      <c r="A23" s="981">
        <v>44879</v>
      </c>
      <c r="B23" s="1124" t="s">
        <v>521</v>
      </c>
      <c r="C23" s="1124" t="s">
        <v>2200</v>
      </c>
      <c r="D23" s="982" t="s">
        <v>3477</v>
      </c>
      <c r="E23" s="984">
        <v>64.8</v>
      </c>
      <c r="F23" s="649">
        <v>0</v>
      </c>
      <c r="G23" s="631">
        <v>64.8</v>
      </c>
      <c r="H23" s="981">
        <v>44879</v>
      </c>
      <c r="I23" s="2043"/>
      <c r="J23" s="1919"/>
      <c r="K23" s="1962"/>
      <c r="L23" s="226"/>
      <c r="M23" s="190"/>
    </row>
    <row r="24" spans="1:13" ht="15">
      <c r="A24" s="981">
        <v>44894</v>
      </c>
      <c r="B24" s="1124" t="s">
        <v>521</v>
      </c>
      <c r="C24" s="1124" t="s">
        <v>2200</v>
      </c>
      <c r="D24" s="982" t="s">
        <v>3593</v>
      </c>
      <c r="E24" s="984">
        <v>316.35000000000002</v>
      </c>
      <c r="F24" s="649">
        <v>0</v>
      </c>
      <c r="G24" s="631">
        <v>316.35000000000002</v>
      </c>
      <c r="H24" s="981">
        <v>44894</v>
      </c>
      <c r="I24" s="2043"/>
      <c r="J24" s="1919"/>
      <c r="K24" s="1962"/>
      <c r="L24" s="226"/>
      <c r="M24" s="190"/>
    </row>
    <row r="25" spans="1:13" ht="15">
      <c r="A25" s="981">
        <v>44895</v>
      </c>
      <c r="B25" s="1124" t="s">
        <v>521</v>
      </c>
      <c r="C25" s="1124" t="s">
        <v>2200</v>
      </c>
      <c r="D25" s="982" t="s">
        <v>3594</v>
      </c>
      <c r="E25" s="984">
        <v>-3.56</v>
      </c>
      <c r="F25" s="649">
        <v>0</v>
      </c>
      <c r="G25" s="631">
        <v>-3.56</v>
      </c>
      <c r="H25" s="981"/>
      <c r="I25" s="2044"/>
      <c r="J25" s="1920"/>
      <c r="K25" s="1957"/>
      <c r="L25" s="226"/>
      <c r="M25" s="190"/>
    </row>
    <row r="26" spans="1:13" ht="15">
      <c r="A26" s="1294">
        <v>44901.000497685185</v>
      </c>
      <c r="B26" s="1294" t="s">
        <v>521</v>
      </c>
      <c r="C26" s="1294" t="s">
        <v>2200</v>
      </c>
      <c r="D26" s="1297" t="s">
        <v>3657</v>
      </c>
      <c r="E26" s="1301">
        <v>187.65</v>
      </c>
      <c r="F26" s="649">
        <v>0</v>
      </c>
      <c r="G26" s="631">
        <v>187.65</v>
      </c>
      <c r="H26" s="1294">
        <v>44901</v>
      </c>
      <c r="I26" s="2042">
        <v>8565.6</v>
      </c>
      <c r="J26" s="1903">
        <v>45028</v>
      </c>
      <c r="K26" s="1938" t="s">
        <v>5291</v>
      </c>
      <c r="L26" s="226"/>
      <c r="M26" s="190"/>
    </row>
    <row r="27" spans="1:13" ht="15">
      <c r="A27" s="1294">
        <v>44929</v>
      </c>
      <c r="B27" s="1294" t="s">
        <v>2644</v>
      </c>
      <c r="C27" s="1294" t="s">
        <v>2200</v>
      </c>
      <c r="D27" s="1297" t="s">
        <v>3856</v>
      </c>
      <c r="E27" s="1301">
        <v>147.15</v>
      </c>
      <c r="F27" s="649">
        <v>0</v>
      </c>
      <c r="G27" s="631">
        <v>147.15</v>
      </c>
      <c r="H27" s="1294">
        <v>44974.000497685185</v>
      </c>
      <c r="I27" s="2043"/>
      <c r="J27" s="1904"/>
      <c r="K27" s="1950"/>
      <c r="L27" s="226"/>
      <c r="M27" s="190"/>
    </row>
    <row r="28" spans="1:13" ht="15">
      <c r="A28" s="1294">
        <v>44950</v>
      </c>
      <c r="B28" s="1294" t="s">
        <v>2644</v>
      </c>
      <c r="C28" s="1294" t="s">
        <v>2200</v>
      </c>
      <c r="D28" s="1297" t="s">
        <v>3949</v>
      </c>
      <c r="E28" s="1301">
        <v>-118.8</v>
      </c>
      <c r="F28" s="649">
        <v>0</v>
      </c>
      <c r="G28" s="631">
        <v>-118.8</v>
      </c>
      <c r="H28" s="1294"/>
      <c r="I28" s="2043"/>
      <c r="J28" s="1904"/>
      <c r="K28" s="1950"/>
      <c r="L28" s="226"/>
      <c r="M28" s="190"/>
    </row>
    <row r="29" spans="1:13" ht="15">
      <c r="A29" s="1294">
        <v>44950</v>
      </c>
      <c r="B29" s="1294" t="s">
        <v>2644</v>
      </c>
      <c r="C29" s="1294" t="s">
        <v>2200</v>
      </c>
      <c r="D29" s="1297" t="s">
        <v>3950</v>
      </c>
      <c r="E29" s="1301">
        <v>674.55</v>
      </c>
      <c r="F29" s="649">
        <v>0</v>
      </c>
      <c r="G29" s="631">
        <v>674.55</v>
      </c>
      <c r="H29" s="1294">
        <v>44995</v>
      </c>
      <c r="I29" s="2043"/>
      <c r="J29" s="1904"/>
      <c r="K29" s="1950"/>
      <c r="L29" s="226"/>
      <c r="M29" s="190"/>
    </row>
    <row r="30" spans="1:13" ht="15">
      <c r="A30" s="1294">
        <v>44964</v>
      </c>
      <c r="B30" s="1294" t="s">
        <v>2644</v>
      </c>
      <c r="C30" s="1294" t="s">
        <v>2200</v>
      </c>
      <c r="D30" s="1297" t="s">
        <v>4054</v>
      </c>
      <c r="E30" s="1301">
        <v>176.85</v>
      </c>
      <c r="F30" s="649">
        <v>0</v>
      </c>
      <c r="G30" s="631">
        <v>176.85</v>
      </c>
      <c r="H30" s="1294">
        <v>45009</v>
      </c>
      <c r="I30" s="2043"/>
      <c r="J30" s="1904"/>
      <c r="K30" s="1950"/>
      <c r="L30" s="226"/>
      <c r="M30" s="190"/>
    </row>
    <row r="31" spans="1:13" ht="15">
      <c r="A31" s="1294">
        <v>44972</v>
      </c>
      <c r="B31" s="1294" t="s">
        <v>2644</v>
      </c>
      <c r="C31" s="1294" t="s">
        <v>2200</v>
      </c>
      <c r="D31" s="1297" t="s">
        <v>4159</v>
      </c>
      <c r="E31" s="1301">
        <v>630.23</v>
      </c>
      <c r="F31" s="649">
        <v>0</v>
      </c>
      <c r="G31" s="631">
        <v>630.23</v>
      </c>
      <c r="H31" s="1294">
        <v>45017</v>
      </c>
      <c r="I31" s="2043"/>
      <c r="J31" s="1904"/>
      <c r="K31" s="1950"/>
      <c r="L31" s="226"/>
      <c r="M31" s="190"/>
    </row>
    <row r="32" spans="1:13" ht="15">
      <c r="A32" s="1294">
        <v>44977</v>
      </c>
      <c r="B32" s="1294" t="s">
        <v>2644</v>
      </c>
      <c r="C32" s="1294" t="s">
        <v>2200</v>
      </c>
      <c r="D32" s="1297" t="s">
        <v>4203</v>
      </c>
      <c r="E32" s="1301">
        <v>-1.05</v>
      </c>
      <c r="F32" s="649">
        <v>0</v>
      </c>
      <c r="G32" s="631">
        <v>-1.05</v>
      </c>
      <c r="H32" s="1294"/>
      <c r="I32" s="2043"/>
      <c r="J32" s="1904"/>
      <c r="K32" s="1950"/>
      <c r="L32" s="226"/>
      <c r="M32" s="190"/>
    </row>
    <row r="33" spans="1:13" ht="15">
      <c r="A33" s="1294">
        <v>44985</v>
      </c>
      <c r="B33" s="1294" t="s">
        <v>2644</v>
      </c>
      <c r="C33" s="1294" t="s">
        <v>2200</v>
      </c>
      <c r="D33" s="1297" t="s">
        <v>4345</v>
      </c>
      <c r="E33" s="1301">
        <v>684.6</v>
      </c>
      <c r="F33" s="649">
        <v>0</v>
      </c>
      <c r="G33" s="631">
        <v>684.6</v>
      </c>
      <c r="H33" s="1294">
        <v>45045</v>
      </c>
      <c r="I33" s="2043"/>
      <c r="J33" s="1904"/>
      <c r="K33" s="1950"/>
      <c r="L33" s="226"/>
      <c r="M33" s="190"/>
    </row>
    <row r="34" spans="1:13" ht="15">
      <c r="A34" s="1294">
        <v>44991</v>
      </c>
      <c r="B34" s="1294" t="s">
        <v>2644</v>
      </c>
      <c r="C34" s="1294" t="s">
        <v>2200</v>
      </c>
      <c r="D34" s="1297" t="s">
        <v>4419</v>
      </c>
      <c r="E34" s="1301">
        <v>321.60000000000002</v>
      </c>
      <c r="F34" s="649">
        <v>0</v>
      </c>
      <c r="G34" s="631">
        <v>321.60000000000002</v>
      </c>
      <c r="H34" s="1294">
        <v>44991</v>
      </c>
      <c r="I34" s="2043"/>
      <c r="J34" s="1904"/>
      <c r="K34" s="1950"/>
      <c r="L34" s="226"/>
      <c r="M34" s="190"/>
    </row>
    <row r="35" spans="1:13" ht="15">
      <c r="A35" s="1294">
        <v>44995</v>
      </c>
      <c r="B35" s="1294" t="s">
        <v>2644</v>
      </c>
      <c r="C35" s="1294" t="s">
        <v>2200</v>
      </c>
      <c r="D35" s="1297" t="s">
        <v>4420</v>
      </c>
      <c r="E35" s="1301">
        <v>602.4</v>
      </c>
      <c r="F35" s="649">
        <v>0</v>
      </c>
      <c r="G35" s="631">
        <v>602.4</v>
      </c>
      <c r="H35" s="1294">
        <v>44995</v>
      </c>
      <c r="I35" s="2043"/>
      <c r="J35" s="1904"/>
      <c r="K35" s="1950"/>
      <c r="L35" s="226"/>
      <c r="M35" s="190"/>
    </row>
    <row r="36" spans="1:13" ht="15">
      <c r="A36" s="1294">
        <v>44998</v>
      </c>
      <c r="B36" s="1294" t="s">
        <v>2644</v>
      </c>
      <c r="C36" s="1294" t="s">
        <v>2200</v>
      </c>
      <c r="D36" s="1297" t="s">
        <v>4488</v>
      </c>
      <c r="E36" s="1301">
        <v>-23.4</v>
      </c>
      <c r="F36" s="649">
        <v>0</v>
      </c>
      <c r="G36" s="631">
        <v>-23.4</v>
      </c>
      <c r="H36" s="1294">
        <v>44999</v>
      </c>
      <c r="I36" s="2043"/>
      <c r="J36" s="1904"/>
      <c r="K36" s="1950"/>
      <c r="L36" s="226" t="s">
        <v>4490</v>
      </c>
      <c r="M36" s="190"/>
    </row>
    <row r="37" spans="1:13" ht="15">
      <c r="A37" s="1294">
        <v>45001</v>
      </c>
      <c r="B37" s="1294" t="s">
        <v>2644</v>
      </c>
      <c r="C37" s="1294" t="s">
        <v>4754</v>
      </c>
      <c r="D37" s="1297" t="s">
        <v>4489</v>
      </c>
      <c r="E37" s="1301">
        <v>762.9</v>
      </c>
      <c r="F37" s="649">
        <v>0</v>
      </c>
      <c r="G37" s="631">
        <v>762.9</v>
      </c>
      <c r="H37" s="1294">
        <v>45061</v>
      </c>
      <c r="I37" s="2043"/>
      <c r="J37" s="1904"/>
      <c r="K37" s="1950"/>
      <c r="L37" s="226"/>
      <c r="M37" s="190"/>
    </row>
    <row r="38" spans="1:13" ht="15">
      <c r="A38" s="1294">
        <v>45006</v>
      </c>
      <c r="B38" s="1294" t="s">
        <v>2644</v>
      </c>
      <c r="C38" s="1294" t="s">
        <v>2200</v>
      </c>
      <c r="D38" s="1297" t="s">
        <v>4535</v>
      </c>
      <c r="E38" s="1301">
        <v>290.10000000000002</v>
      </c>
      <c r="F38" s="649">
        <v>0</v>
      </c>
      <c r="G38" s="631">
        <v>290.10000000000002</v>
      </c>
      <c r="H38" s="1294">
        <v>45066</v>
      </c>
      <c r="I38" s="2043"/>
      <c r="J38" s="1904"/>
      <c r="K38" s="1950"/>
      <c r="L38" s="226"/>
      <c r="M38" s="190"/>
    </row>
    <row r="39" spans="1:13" ht="15">
      <c r="A39" s="1294">
        <v>45012</v>
      </c>
      <c r="B39" s="1294" t="s">
        <v>2644</v>
      </c>
      <c r="C39" s="1294" t="s">
        <v>2200</v>
      </c>
      <c r="D39" s="1297" t="s">
        <v>4623</v>
      </c>
      <c r="E39" s="1301">
        <v>4020</v>
      </c>
      <c r="F39" s="649">
        <v>0</v>
      </c>
      <c r="G39" s="631">
        <v>4020</v>
      </c>
      <c r="H39" s="1294">
        <v>45057</v>
      </c>
      <c r="I39" s="2043"/>
      <c r="J39" s="1904"/>
      <c r="K39" s="1950"/>
      <c r="L39" s="226"/>
      <c r="M39" s="190"/>
    </row>
    <row r="40" spans="1:13" ht="15">
      <c r="A40" s="1294">
        <v>45014</v>
      </c>
      <c r="B40" s="1294" t="s">
        <v>2644</v>
      </c>
      <c r="C40" s="1294" t="s">
        <v>2200</v>
      </c>
      <c r="D40" s="1297" t="s">
        <v>4624</v>
      </c>
      <c r="E40" s="1301">
        <v>213.3</v>
      </c>
      <c r="F40" s="649">
        <v>0</v>
      </c>
      <c r="G40" s="631">
        <v>213.3</v>
      </c>
      <c r="H40" s="1294">
        <v>45074</v>
      </c>
      <c r="I40" s="2043"/>
      <c r="J40" s="1904"/>
      <c r="K40" s="1950"/>
      <c r="L40" s="226"/>
      <c r="M40" s="190"/>
    </row>
    <row r="41" spans="1:13" ht="15">
      <c r="A41" s="1294">
        <v>45019</v>
      </c>
      <c r="B41" s="1294" t="s">
        <v>2644</v>
      </c>
      <c r="C41" s="1294" t="s">
        <v>2200</v>
      </c>
      <c r="D41" s="1297" t="s">
        <v>4672</v>
      </c>
      <c r="E41" s="1301">
        <v>-2.48</v>
      </c>
      <c r="F41" s="649">
        <v>0</v>
      </c>
      <c r="G41" s="631">
        <v>-2.48</v>
      </c>
      <c r="H41" s="1294"/>
      <c r="I41" s="2044"/>
      <c r="J41" s="1905"/>
      <c r="K41" s="1947"/>
      <c r="L41" s="226"/>
      <c r="M41" s="190"/>
    </row>
    <row r="42" spans="1:13" ht="15">
      <c r="A42" s="1440">
        <v>45028.000497685185</v>
      </c>
      <c r="B42" s="1440" t="s">
        <v>2644</v>
      </c>
      <c r="C42" s="1440" t="s">
        <v>2200</v>
      </c>
      <c r="D42" s="1442" t="s">
        <v>4705</v>
      </c>
      <c r="E42" s="1448">
        <v>1332.3</v>
      </c>
      <c r="F42" s="649">
        <v>0</v>
      </c>
      <c r="G42" s="631">
        <v>1332.3</v>
      </c>
      <c r="H42" s="1440">
        <v>45088</v>
      </c>
      <c r="I42" s="2042">
        <v>1165.83</v>
      </c>
      <c r="J42" s="1918">
        <v>45076</v>
      </c>
      <c r="K42" s="1956" t="s">
        <v>5292</v>
      </c>
      <c r="L42" s="226"/>
      <c r="M42" s="190"/>
    </row>
    <row r="43" spans="1:13" ht="15">
      <c r="A43" s="1440">
        <v>45030.000497685185</v>
      </c>
      <c r="B43" s="1440" t="s">
        <v>2644</v>
      </c>
      <c r="C43" s="1440" t="s">
        <v>2200</v>
      </c>
      <c r="D43" s="1442" t="s">
        <v>4706</v>
      </c>
      <c r="E43" s="1448">
        <v>-86.33</v>
      </c>
      <c r="F43" s="649">
        <v>0</v>
      </c>
      <c r="G43" s="631">
        <v>-86.33</v>
      </c>
      <c r="H43" s="1440"/>
      <c r="I43" s="2043"/>
      <c r="J43" s="1919"/>
      <c r="K43" s="1962"/>
      <c r="L43" s="226"/>
      <c r="M43" s="190"/>
    </row>
    <row r="44" spans="1:13" ht="15">
      <c r="A44" s="1440">
        <v>45056</v>
      </c>
      <c r="B44" s="1440" t="s">
        <v>2644</v>
      </c>
      <c r="C44" s="1440" t="s">
        <v>2200</v>
      </c>
      <c r="D44" s="1442" t="s">
        <v>4960</v>
      </c>
      <c r="E44" s="1448">
        <v>-18.899999999999999</v>
      </c>
      <c r="F44" s="649">
        <v>0</v>
      </c>
      <c r="G44" s="631">
        <v>-18.899999999999999</v>
      </c>
      <c r="H44" s="1440"/>
      <c r="I44" s="2043"/>
      <c r="J44" s="1919"/>
      <c r="K44" s="1962"/>
      <c r="L44" s="226"/>
      <c r="M44" s="190"/>
    </row>
    <row r="45" spans="1:13" ht="15">
      <c r="A45" s="1440">
        <v>45056</v>
      </c>
      <c r="B45" s="1440" t="s">
        <v>2644</v>
      </c>
      <c r="C45" s="1440" t="s">
        <v>2200</v>
      </c>
      <c r="D45" s="1442" t="s">
        <v>4961</v>
      </c>
      <c r="E45" s="1448">
        <v>-61.24</v>
      </c>
      <c r="F45" s="649">
        <v>0</v>
      </c>
      <c r="G45" s="631">
        <v>-61.24</v>
      </c>
      <c r="H45" s="1440"/>
      <c r="I45" s="2044"/>
      <c r="J45" s="1920"/>
      <c r="K45" s="1957"/>
      <c r="L45" s="226"/>
      <c r="M45" s="190"/>
    </row>
    <row r="46" spans="1:13" ht="15" customHeight="1">
      <c r="A46" s="1440">
        <v>45041</v>
      </c>
      <c r="B46" s="1440" t="s">
        <v>2644</v>
      </c>
      <c r="C46" s="1440" t="s">
        <v>2200</v>
      </c>
      <c r="D46" s="1442" t="s">
        <v>4866</v>
      </c>
      <c r="E46" s="1448">
        <v>541.73</v>
      </c>
      <c r="F46" s="649">
        <v>0</v>
      </c>
      <c r="G46" s="631">
        <v>541.73</v>
      </c>
      <c r="H46" s="1440">
        <v>45101</v>
      </c>
      <c r="I46" s="2042">
        <v>1118.25</v>
      </c>
      <c r="J46" s="1903">
        <v>45076</v>
      </c>
      <c r="K46" s="1938" t="s">
        <v>5292</v>
      </c>
      <c r="L46" s="226"/>
      <c r="M46" s="190"/>
    </row>
    <row r="47" spans="1:13" ht="15">
      <c r="A47" s="1440">
        <v>45055</v>
      </c>
      <c r="B47" s="1440" t="s">
        <v>2644</v>
      </c>
      <c r="C47" s="1440" t="s">
        <v>2200</v>
      </c>
      <c r="D47" s="1442" t="s">
        <v>4959</v>
      </c>
      <c r="E47" s="1448">
        <v>584.54999999999995</v>
      </c>
      <c r="F47" s="649">
        <v>0</v>
      </c>
      <c r="G47" s="631">
        <v>584.54999999999995</v>
      </c>
      <c r="H47" s="1440">
        <v>45115</v>
      </c>
      <c r="I47" s="2043"/>
      <c r="J47" s="1904"/>
      <c r="K47" s="2030"/>
      <c r="L47" s="226"/>
      <c r="M47" s="190"/>
    </row>
    <row r="48" spans="1:13" ht="15">
      <c r="A48" s="1440">
        <v>45072</v>
      </c>
      <c r="B48" s="1440" t="s">
        <v>2644</v>
      </c>
      <c r="C48" s="1440" t="s">
        <v>2200</v>
      </c>
      <c r="D48" s="1442" t="s">
        <v>5190</v>
      </c>
      <c r="E48" s="1448">
        <v>-8.0299999999999994</v>
      </c>
      <c r="F48" s="649">
        <v>0</v>
      </c>
      <c r="G48" s="631">
        <v>-8.0299999999999994</v>
      </c>
      <c r="H48" s="1440"/>
      <c r="I48" s="2044"/>
      <c r="J48" s="1905"/>
      <c r="K48" s="2031"/>
      <c r="L48" s="226"/>
      <c r="M48" s="190"/>
    </row>
    <row r="49" spans="1:13" ht="15">
      <c r="A49" s="1601">
        <v>45083</v>
      </c>
      <c r="B49" s="1601" t="s">
        <v>2644</v>
      </c>
      <c r="C49" s="1601" t="s">
        <v>2200</v>
      </c>
      <c r="D49" s="1606" t="s">
        <v>5304</v>
      </c>
      <c r="E49" s="1611">
        <v>299.93</v>
      </c>
      <c r="F49" s="649">
        <v>0</v>
      </c>
      <c r="G49" s="631">
        <v>299.93</v>
      </c>
      <c r="H49" s="1601">
        <v>45143</v>
      </c>
      <c r="I49" s="2042">
        <v>2735.7</v>
      </c>
      <c r="J49" s="1903">
        <v>45149</v>
      </c>
      <c r="K49" s="1938" t="s">
        <v>5877</v>
      </c>
      <c r="L49" s="226"/>
      <c r="M49" s="190"/>
    </row>
    <row r="50" spans="1:13" ht="15">
      <c r="A50" s="1601">
        <v>45107</v>
      </c>
      <c r="B50" s="1601" t="s">
        <v>2644</v>
      </c>
      <c r="C50" s="1601" t="s">
        <v>2200</v>
      </c>
      <c r="D50" s="1606" t="s">
        <v>5483</v>
      </c>
      <c r="E50" s="1611">
        <v>405.68</v>
      </c>
      <c r="F50" s="649">
        <v>0</v>
      </c>
      <c r="G50" s="631">
        <v>405.68</v>
      </c>
      <c r="H50" s="1601">
        <v>45167</v>
      </c>
      <c r="I50" s="2043"/>
      <c r="J50" s="1904"/>
      <c r="K50" s="2030"/>
      <c r="L50" s="226"/>
      <c r="M50" s="190"/>
    </row>
    <row r="51" spans="1:13" ht="15">
      <c r="A51" s="1601">
        <v>45121</v>
      </c>
      <c r="B51" s="1601" t="s">
        <v>2644</v>
      </c>
      <c r="C51" s="1601" t="s">
        <v>2200</v>
      </c>
      <c r="D51" s="1606" t="s">
        <v>5580</v>
      </c>
      <c r="E51" s="1611">
        <v>1614.98</v>
      </c>
      <c r="F51" s="649">
        <v>0</v>
      </c>
      <c r="G51" s="631">
        <v>1614.98</v>
      </c>
      <c r="H51" s="1601">
        <v>45181</v>
      </c>
      <c r="I51" s="2043"/>
      <c r="J51" s="1904"/>
      <c r="K51" s="2030"/>
      <c r="L51" s="226"/>
      <c r="M51" s="190"/>
    </row>
    <row r="52" spans="1:13" ht="15">
      <c r="A52" s="1601">
        <v>45134</v>
      </c>
      <c r="B52" s="1601" t="s">
        <v>2644</v>
      </c>
      <c r="C52" s="1601" t="s">
        <v>2200</v>
      </c>
      <c r="D52" s="1606" t="s">
        <v>5684</v>
      </c>
      <c r="E52" s="1611">
        <v>434.48</v>
      </c>
      <c r="F52" s="649">
        <v>0</v>
      </c>
      <c r="G52" s="631">
        <v>434.48</v>
      </c>
      <c r="H52" s="1601">
        <v>45194</v>
      </c>
      <c r="I52" s="2043"/>
      <c r="J52" s="1904"/>
      <c r="K52" s="2030"/>
      <c r="L52" s="226"/>
      <c r="M52" s="190"/>
    </row>
    <row r="53" spans="1:13" ht="15">
      <c r="A53" s="1601">
        <v>45138</v>
      </c>
      <c r="B53" s="1601" t="s">
        <v>2644</v>
      </c>
      <c r="C53" s="1601" t="s">
        <v>2200</v>
      </c>
      <c r="D53" s="1606" t="s">
        <v>5726</v>
      </c>
      <c r="E53" s="1611">
        <v>-16.55</v>
      </c>
      <c r="F53" s="649">
        <v>0</v>
      </c>
      <c r="G53" s="631">
        <v>-16.55</v>
      </c>
      <c r="H53" s="1601"/>
      <c r="I53" s="2043"/>
      <c r="J53" s="1904"/>
      <c r="K53" s="2030"/>
      <c r="L53" s="226"/>
      <c r="M53" s="190"/>
    </row>
    <row r="54" spans="1:13" ht="15">
      <c r="A54" s="1601">
        <v>45138</v>
      </c>
      <c r="B54" s="1601" t="s">
        <v>2644</v>
      </c>
      <c r="C54" s="1601" t="s">
        <v>2200</v>
      </c>
      <c r="D54" s="1606" t="s">
        <v>5727</v>
      </c>
      <c r="E54" s="1611">
        <v>-312.64999999999998</v>
      </c>
      <c r="F54" s="649">
        <v>0</v>
      </c>
      <c r="G54" s="631">
        <v>-312.64999999999998</v>
      </c>
      <c r="H54" s="1601"/>
      <c r="I54" s="2043"/>
      <c r="J54" s="1904"/>
      <c r="K54" s="2030"/>
      <c r="L54" s="226"/>
      <c r="M54" s="190"/>
    </row>
    <row r="55" spans="1:13" ht="15">
      <c r="A55" s="1601">
        <v>45140</v>
      </c>
      <c r="B55" s="1601" t="s">
        <v>2644</v>
      </c>
      <c r="C55" s="1601" t="s">
        <v>2200</v>
      </c>
      <c r="D55" s="1606" t="s">
        <v>5728</v>
      </c>
      <c r="E55" s="1611">
        <v>309.83</v>
      </c>
      <c r="F55" s="649">
        <v>0</v>
      </c>
      <c r="G55" s="631">
        <v>309.83</v>
      </c>
      <c r="H55" s="1601">
        <v>45200</v>
      </c>
      <c r="I55" s="2044"/>
      <c r="J55" s="1905"/>
      <c r="K55" s="2031"/>
      <c r="L55" s="226"/>
      <c r="M55" s="190"/>
    </row>
    <row r="56" spans="1:13" ht="15">
      <c r="A56" s="1941">
        <v>45169</v>
      </c>
      <c r="B56" s="1941" t="s">
        <v>2644</v>
      </c>
      <c r="C56" s="1941" t="s">
        <v>2200</v>
      </c>
      <c r="D56" s="1954" t="s">
        <v>5942</v>
      </c>
      <c r="E56" s="1945">
        <v>1207.8</v>
      </c>
      <c r="F56" s="1969">
        <v>0</v>
      </c>
      <c r="G56" s="606">
        <f>1207.8-797.17</f>
        <v>410.63</v>
      </c>
      <c r="H56" s="623">
        <v>45229.000497685185</v>
      </c>
      <c r="I56" s="1458"/>
      <c r="J56" s="1452"/>
      <c r="K56" s="1459"/>
      <c r="L56" s="226"/>
      <c r="M56" s="190"/>
    </row>
    <row r="57" spans="1:13" ht="15">
      <c r="A57" s="1942"/>
      <c r="B57" s="1942"/>
      <c r="C57" s="1942"/>
      <c r="D57" s="1955"/>
      <c r="E57" s="1946"/>
      <c r="F57" s="1971"/>
      <c r="G57" s="631">
        <v>797.17</v>
      </c>
      <c r="H57" s="1820">
        <v>45229.000497685185</v>
      </c>
      <c r="I57" s="1927">
        <v>0</v>
      </c>
      <c r="J57" s="1903">
        <v>45232</v>
      </c>
      <c r="K57" s="1938" t="s">
        <v>6489</v>
      </c>
      <c r="L57" s="226"/>
      <c r="M57" s="190"/>
    </row>
    <row r="58" spans="1:13" ht="15">
      <c r="A58" s="1820">
        <v>45177</v>
      </c>
      <c r="B58" s="1820" t="s">
        <v>2644</v>
      </c>
      <c r="C58" s="1820" t="s">
        <v>2200</v>
      </c>
      <c r="D58" s="1821" t="s">
        <v>5990</v>
      </c>
      <c r="E58" s="1823">
        <v>-39.76</v>
      </c>
      <c r="F58" s="649">
        <v>0</v>
      </c>
      <c r="G58" s="631">
        <v>-39.76</v>
      </c>
      <c r="H58" s="1820"/>
      <c r="I58" s="1960"/>
      <c r="J58" s="1904"/>
      <c r="K58" s="2030"/>
      <c r="L58" s="226"/>
      <c r="M58" s="190"/>
    </row>
    <row r="59" spans="1:13" ht="15">
      <c r="A59" s="1820">
        <v>45177</v>
      </c>
      <c r="B59" s="1820" t="s">
        <v>2644</v>
      </c>
      <c r="C59" s="1820" t="s">
        <v>2200</v>
      </c>
      <c r="D59" s="1821" t="s">
        <v>5991</v>
      </c>
      <c r="E59" s="1823">
        <v>-512.48</v>
      </c>
      <c r="F59" s="649">
        <v>0</v>
      </c>
      <c r="G59" s="631">
        <v>-512.48</v>
      </c>
      <c r="H59" s="1820"/>
      <c r="I59" s="1960"/>
      <c r="J59" s="1904"/>
      <c r="K59" s="2030"/>
      <c r="L59" s="226"/>
      <c r="M59" s="190"/>
    </row>
    <row r="60" spans="1:13" ht="15">
      <c r="A60" s="1820">
        <v>45177</v>
      </c>
      <c r="B60" s="1820" t="s">
        <v>2644</v>
      </c>
      <c r="C60" s="1820" t="s">
        <v>2200</v>
      </c>
      <c r="D60" s="1821" t="s">
        <v>5992</v>
      </c>
      <c r="E60" s="1823">
        <v>-116.93</v>
      </c>
      <c r="F60" s="649">
        <v>0</v>
      </c>
      <c r="G60" s="631">
        <v>-116.93</v>
      </c>
      <c r="H60" s="1820"/>
      <c r="I60" s="1960"/>
      <c r="J60" s="1904"/>
      <c r="K60" s="2030"/>
      <c r="L60" s="226"/>
      <c r="M60" s="190"/>
    </row>
    <row r="61" spans="1:13" ht="15">
      <c r="A61" s="1820">
        <v>45188</v>
      </c>
      <c r="B61" s="1820" t="s">
        <v>2644</v>
      </c>
      <c r="C61" s="1820" t="s">
        <v>2200</v>
      </c>
      <c r="D61" s="1821" t="s">
        <v>6080</v>
      </c>
      <c r="E61" s="1823">
        <v>-128</v>
      </c>
      <c r="F61" s="649">
        <v>0</v>
      </c>
      <c r="G61" s="631">
        <v>-128</v>
      </c>
      <c r="H61" s="1820"/>
      <c r="I61" s="1928"/>
      <c r="J61" s="1905"/>
      <c r="K61" s="2031"/>
      <c r="L61" s="226"/>
      <c r="M61" s="190"/>
    </row>
    <row r="62" spans="1:13" ht="15">
      <c r="A62" s="623">
        <v>45189</v>
      </c>
      <c r="B62" s="623" t="s">
        <v>2644</v>
      </c>
      <c r="C62" s="623" t="s">
        <v>2200</v>
      </c>
      <c r="D62" s="624" t="s">
        <v>6081</v>
      </c>
      <c r="E62" s="603">
        <v>698.7</v>
      </c>
      <c r="F62" s="644">
        <v>0</v>
      </c>
      <c r="G62" s="606">
        <v>698.7</v>
      </c>
      <c r="H62" s="623">
        <v>45248</v>
      </c>
      <c r="I62" s="1680"/>
      <c r="J62" s="1669"/>
      <c r="K62" s="1675"/>
      <c r="L62" s="226"/>
      <c r="M62" s="190"/>
    </row>
    <row r="63" spans="1:13" ht="15">
      <c r="A63" s="623">
        <v>45232</v>
      </c>
      <c r="B63" s="623" t="s">
        <v>2644</v>
      </c>
      <c r="C63" s="623" t="s">
        <v>2200</v>
      </c>
      <c r="D63" s="624" t="s">
        <v>6457</v>
      </c>
      <c r="E63" s="603">
        <v>815.78</v>
      </c>
      <c r="F63" s="644">
        <v>0</v>
      </c>
      <c r="G63" s="606">
        <v>815.78</v>
      </c>
      <c r="H63" s="623">
        <v>45292</v>
      </c>
      <c r="I63" s="1680"/>
      <c r="J63" s="1669"/>
      <c r="K63" s="1675"/>
      <c r="L63" s="226"/>
      <c r="M63" s="190"/>
    </row>
    <row r="64" spans="1:13" ht="15">
      <c r="A64" s="623">
        <v>45233</v>
      </c>
      <c r="B64" s="623" t="s">
        <v>2644</v>
      </c>
      <c r="C64" s="623" t="s">
        <v>2200</v>
      </c>
      <c r="D64" s="624" t="s">
        <v>6458</v>
      </c>
      <c r="E64" s="603">
        <v>-22.8</v>
      </c>
      <c r="F64" s="644">
        <v>0</v>
      </c>
      <c r="G64" s="606">
        <v>-22.8</v>
      </c>
      <c r="H64" s="623"/>
      <c r="I64" s="622"/>
      <c r="J64" s="1374"/>
      <c r="K64" s="226"/>
      <c r="L64" s="226"/>
      <c r="M64" s="190"/>
    </row>
    <row r="65" spans="1:13" ht="15">
      <c r="A65" s="623">
        <v>45233</v>
      </c>
      <c r="B65" s="623" t="s">
        <v>2644</v>
      </c>
      <c r="C65" s="623" t="s">
        <v>2200</v>
      </c>
      <c r="D65" s="624" t="s">
        <v>6459</v>
      </c>
      <c r="E65" s="603">
        <v>-13.79</v>
      </c>
      <c r="F65" s="644">
        <v>0</v>
      </c>
      <c r="G65" s="606">
        <v>-13.79</v>
      </c>
      <c r="H65" s="623"/>
      <c r="I65" s="622"/>
      <c r="J65" s="1374"/>
      <c r="K65" s="226"/>
      <c r="L65" s="226"/>
      <c r="M65" s="190"/>
    </row>
    <row r="66" spans="1:13" ht="15">
      <c r="A66" s="623"/>
      <c r="B66" s="623"/>
      <c r="C66" s="623"/>
      <c r="D66" s="624"/>
      <c r="E66" s="603"/>
      <c r="F66" s="644"/>
      <c r="G66" s="606"/>
      <c r="H66" s="623"/>
      <c r="I66" s="622"/>
      <c r="J66" s="1335"/>
      <c r="K66" s="226"/>
      <c r="L66" s="226"/>
      <c r="M66" s="190"/>
    </row>
    <row r="67" spans="1:13" ht="15">
      <c r="A67" s="623"/>
      <c r="B67" s="623"/>
      <c r="C67" s="623"/>
      <c r="D67" s="624"/>
      <c r="E67" s="603"/>
      <c r="F67" s="644"/>
      <c r="G67" s="606"/>
      <c r="H67" s="623"/>
      <c r="I67" s="622"/>
      <c r="J67" s="1198"/>
      <c r="K67" s="226"/>
      <c r="L67" s="226"/>
      <c r="M67" s="190"/>
    </row>
    <row r="68" spans="1:13" ht="15">
      <c r="A68" s="623"/>
      <c r="B68" s="623"/>
      <c r="C68" s="623"/>
      <c r="D68" s="624"/>
      <c r="E68" s="603"/>
      <c r="F68" s="644"/>
      <c r="G68" s="606"/>
      <c r="H68" s="623"/>
      <c r="I68" s="622"/>
      <c r="J68" s="620"/>
      <c r="K68" s="226"/>
      <c r="L68" s="226"/>
      <c r="M68" s="190"/>
    </row>
    <row r="69" spans="1:13" ht="15">
      <c r="A69" s="621"/>
      <c r="B69" s="1125"/>
      <c r="C69" s="1125"/>
      <c r="D69" s="619"/>
      <c r="E69" s="619"/>
      <c r="F69" s="1144" t="s">
        <v>545</v>
      </c>
      <c r="G69" s="625">
        <f>SUM(G2:G68)-SUM(I2:I68)</f>
        <v>1888.5199999999932</v>
      </c>
      <c r="H69" s="620"/>
      <c r="I69" s="622"/>
      <c r="J69" s="620"/>
      <c r="K69" s="226"/>
      <c r="L69" s="226"/>
      <c r="M69" s="102"/>
    </row>
    <row r="70" spans="1:13">
      <c r="A70" s="230"/>
      <c r="B70" s="237"/>
      <c r="C70" s="237"/>
      <c r="D70" s="230"/>
      <c r="E70" s="237"/>
      <c r="F70" s="237"/>
      <c r="G70" s="110"/>
      <c r="H70" s="190"/>
      <c r="I70" s="102"/>
      <c r="J70" s="102"/>
      <c r="K70" s="102"/>
      <c r="L70" s="102"/>
      <c r="M70" s="102"/>
    </row>
  </sheetData>
  <mergeCells count="27">
    <mergeCell ref="A56:A57"/>
    <mergeCell ref="K57:K61"/>
    <mergeCell ref="J57:J61"/>
    <mergeCell ref="I57:I61"/>
    <mergeCell ref="F56:F57"/>
    <mergeCell ref="E56:E57"/>
    <mergeCell ref="D56:D57"/>
    <mergeCell ref="C56:C57"/>
    <mergeCell ref="B56:B57"/>
    <mergeCell ref="K49:K55"/>
    <mergeCell ref="J49:J55"/>
    <mergeCell ref="I49:I55"/>
    <mergeCell ref="K26:K41"/>
    <mergeCell ref="J26:J41"/>
    <mergeCell ref="I26:I41"/>
    <mergeCell ref="K42:K45"/>
    <mergeCell ref="J42:J45"/>
    <mergeCell ref="I42:I45"/>
    <mergeCell ref="I46:I48"/>
    <mergeCell ref="J46:J48"/>
    <mergeCell ref="K46:K48"/>
    <mergeCell ref="I5:I14"/>
    <mergeCell ref="K5:K14"/>
    <mergeCell ref="J5:J14"/>
    <mergeCell ref="K15:K25"/>
    <mergeCell ref="J15:J25"/>
    <mergeCell ref="I15:I25"/>
  </mergeCells>
  <phoneticPr fontId="15" type="noConversion"/>
  <hyperlinks>
    <hyperlink ref="F69" location="汇总!A1" display="剩余欠款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M71"/>
  <sheetViews>
    <sheetView workbookViewId="0">
      <pane ySplit="1" topLeftCell="A35" activePane="bottomLeft" state="frozen"/>
      <selection activeCell="C33" sqref="C33"/>
      <selection pane="bottomLeft" activeCell="F63" sqref="F63"/>
    </sheetView>
  </sheetViews>
  <sheetFormatPr defaultRowHeight="14.25"/>
  <cols>
    <col min="1" max="1" width="12" style="96" bestFit="1" customWidth="1"/>
    <col min="2" max="2" width="8.875" style="96" bestFit="1" customWidth="1"/>
    <col min="3" max="3" width="32.375" style="96" bestFit="1" customWidth="1"/>
    <col min="4" max="4" width="15" style="164" bestFit="1" customWidth="1"/>
    <col min="5" max="5" width="13.125" style="164" customWidth="1"/>
    <col min="6" max="6" width="10.875" style="164" customWidth="1"/>
    <col min="7" max="7" width="18.375" style="164" bestFit="1" customWidth="1"/>
    <col min="8" max="8" width="16.75" style="164" bestFit="1" customWidth="1"/>
    <col min="9" max="9" width="14.125" style="1615" bestFit="1" customWidth="1"/>
    <col min="10" max="10" width="15.125" style="164" bestFit="1" customWidth="1"/>
    <col min="11" max="11" width="13.875" style="164" customWidth="1"/>
    <col min="12" max="12" width="45.125" style="164" customWidth="1"/>
    <col min="13" max="16384" width="9" style="164"/>
  </cols>
  <sheetData>
    <row r="1" spans="1:13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7" t="s">
        <v>2721</v>
      </c>
      <c r="H1" s="257" t="s">
        <v>4099</v>
      </c>
      <c r="I1" s="355" t="s">
        <v>3043</v>
      </c>
      <c r="J1" s="257" t="s">
        <v>4100</v>
      </c>
      <c r="K1" s="257" t="s">
        <v>541</v>
      </c>
      <c r="L1" s="257" t="s">
        <v>542</v>
      </c>
    </row>
    <row r="2" spans="1:13" ht="15">
      <c r="A2" s="1597">
        <v>44621</v>
      </c>
      <c r="B2" s="1597" t="s">
        <v>521</v>
      </c>
      <c r="C2" s="1597" t="s">
        <v>2199</v>
      </c>
      <c r="D2" s="1598" t="s">
        <v>560</v>
      </c>
      <c r="E2" s="1602">
        <v>2898.88</v>
      </c>
      <c r="F2" s="633">
        <v>0</v>
      </c>
      <c r="G2" s="1607">
        <v>2898.88</v>
      </c>
      <c r="H2" s="1597">
        <v>44681</v>
      </c>
      <c r="I2" s="2048">
        <v>712.75</v>
      </c>
      <c r="J2" s="1918">
        <v>44726</v>
      </c>
      <c r="K2" s="1968" t="s">
        <v>2284</v>
      </c>
      <c r="L2" s="2051" t="s">
        <v>2510</v>
      </c>
      <c r="M2" s="294"/>
    </row>
    <row r="3" spans="1:13" ht="15">
      <c r="A3" s="1597">
        <v>44642</v>
      </c>
      <c r="B3" s="1597" t="s">
        <v>521</v>
      </c>
      <c r="C3" s="1597" t="s">
        <v>2199</v>
      </c>
      <c r="D3" s="1598" t="s">
        <v>1771</v>
      </c>
      <c r="E3" s="1602">
        <v>-151.19999999999999</v>
      </c>
      <c r="F3" s="633">
        <v>0</v>
      </c>
      <c r="G3" s="1607">
        <v>-151.19999999999999</v>
      </c>
      <c r="H3" s="1597"/>
      <c r="I3" s="2049"/>
      <c r="J3" s="1919"/>
      <c r="K3" s="1962"/>
      <c r="L3" s="2052"/>
      <c r="M3" s="294"/>
    </row>
    <row r="4" spans="1:13" ht="15">
      <c r="A4" s="1597">
        <v>44690</v>
      </c>
      <c r="B4" s="1597" t="s">
        <v>521</v>
      </c>
      <c r="C4" s="1597" t="s">
        <v>2199</v>
      </c>
      <c r="D4" s="1598" t="s">
        <v>2085</v>
      </c>
      <c r="E4" s="1602">
        <v>3552.83</v>
      </c>
      <c r="F4" s="633">
        <v>0</v>
      </c>
      <c r="G4" s="1607">
        <v>3552.83</v>
      </c>
      <c r="H4" s="1597">
        <v>44690</v>
      </c>
      <c r="I4" s="2049"/>
      <c r="J4" s="1919"/>
      <c r="K4" s="1962"/>
      <c r="L4" s="2052"/>
      <c r="M4" s="294"/>
    </row>
    <row r="5" spans="1:13" ht="15">
      <c r="A5" s="1597">
        <v>44691</v>
      </c>
      <c r="B5" s="1597" t="s">
        <v>521</v>
      </c>
      <c r="C5" s="1597" t="s">
        <v>2199</v>
      </c>
      <c r="D5" s="1598" t="s">
        <v>2086</v>
      </c>
      <c r="E5" s="1602">
        <v>-2210.5</v>
      </c>
      <c r="F5" s="633">
        <v>0</v>
      </c>
      <c r="G5" s="1607">
        <v>-2210.5</v>
      </c>
      <c r="H5" s="1597"/>
      <c r="I5" s="2049"/>
      <c r="J5" s="1919"/>
      <c r="K5" s="1962"/>
      <c r="L5" s="2052"/>
      <c r="M5" s="294"/>
    </row>
    <row r="6" spans="1:13" ht="15">
      <c r="A6" s="1597">
        <v>44715</v>
      </c>
      <c r="B6" s="1597" t="s">
        <v>521</v>
      </c>
      <c r="C6" s="1597" t="s">
        <v>2199</v>
      </c>
      <c r="D6" s="1598" t="s">
        <v>2216</v>
      </c>
      <c r="E6" s="1602">
        <v>-3263.48</v>
      </c>
      <c r="F6" s="633">
        <v>0</v>
      </c>
      <c r="G6" s="1607">
        <v>-3263.48</v>
      </c>
      <c r="H6" s="1597"/>
      <c r="I6" s="2049"/>
      <c r="J6" s="1919"/>
      <c r="K6" s="1962"/>
      <c r="L6" s="2052"/>
      <c r="M6" s="294"/>
    </row>
    <row r="7" spans="1:13" ht="15">
      <c r="A7" s="1597">
        <v>44715</v>
      </c>
      <c r="B7" s="1597" t="s">
        <v>521</v>
      </c>
      <c r="C7" s="1597" t="s">
        <v>2199</v>
      </c>
      <c r="D7" s="1598" t="s">
        <v>2217</v>
      </c>
      <c r="E7" s="1602">
        <v>-109.35</v>
      </c>
      <c r="F7" s="633">
        <v>0</v>
      </c>
      <c r="G7" s="1607">
        <v>-109.35</v>
      </c>
      <c r="H7" s="1597"/>
      <c r="I7" s="2049"/>
      <c r="J7" s="1919"/>
      <c r="K7" s="1962"/>
      <c r="L7" s="2052"/>
      <c r="M7" s="294"/>
    </row>
    <row r="8" spans="1:13" ht="15">
      <c r="A8" s="1597">
        <v>44726</v>
      </c>
      <c r="B8" s="1597" t="s">
        <v>521</v>
      </c>
      <c r="C8" s="1597" t="s">
        <v>2199</v>
      </c>
      <c r="D8" s="1598" t="s">
        <v>2282</v>
      </c>
      <c r="E8" s="1602">
        <v>-4.43</v>
      </c>
      <c r="F8" s="633">
        <v>0</v>
      </c>
      <c r="G8" s="1607">
        <v>-4.43</v>
      </c>
      <c r="H8" s="1597"/>
      <c r="I8" s="2050"/>
      <c r="J8" s="1920"/>
      <c r="K8" s="1957"/>
      <c r="L8" s="2053"/>
      <c r="M8" s="294"/>
    </row>
    <row r="9" spans="1:13" ht="15">
      <c r="A9" s="1601">
        <v>44746.000497685185</v>
      </c>
      <c r="B9" s="1597" t="s">
        <v>521</v>
      </c>
      <c r="C9" s="1597" t="s">
        <v>2199</v>
      </c>
      <c r="D9" s="1606" t="s">
        <v>2394</v>
      </c>
      <c r="E9" s="1602">
        <v>-180</v>
      </c>
      <c r="F9" s="633">
        <v>0</v>
      </c>
      <c r="G9" s="718">
        <v>-180</v>
      </c>
      <c r="H9" s="1601">
        <v>44746.000497685185</v>
      </c>
      <c r="I9" s="1192">
        <v>-180</v>
      </c>
      <c r="J9" s="1601">
        <v>44747</v>
      </c>
      <c r="K9" s="1599" t="s">
        <v>2415</v>
      </c>
      <c r="L9" s="1092" t="s">
        <v>2414</v>
      </c>
      <c r="M9" s="294"/>
    </row>
    <row r="10" spans="1:13" ht="15">
      <c r="A10" s="1601">
        <v>44747.000497685185</v>
      </c>
      <c r="B10" s="1597" t="s">
        <v>521</v>
      </c>
      <c r="C10" s="1597" t="s">
        <v>2199</v>
      </c>
      <c r="D10" s="1606" t="s">
        <v>2395</v>
      </c>
      <c r="E10" s="1611">
        <v>203.4</v>
      </c>
      <c r="F10" s="649">
        <v>0</v>
      </c>
      <c r="G10" s="718">
        <v>203.4</v>
      </c>
      <c r="H10" s="1601">
        <v>44747.000497685185</v>
      </c>
      <c r="I10" s="2048">
        <v>3997.94</v>
      </c>
      <c r="J10" s="1918">
        <v>44868</v>
      </c>
      <c r="K10" s="1968" t="s">
        <v>3420</v>
      </c>
      <c r="L10" s="423"/>
      <c r="M10" s="294"/>
    </row>
    <row r="11" spans="1:13" ht="15">
      <c r="A11" s="1601">
        <v>44760.000497685185</v>
      </c>
      <c r="B11" s="1597" t="s">
        <v>521</v>
      </c>
      <c r="C11" s="1597" t="s">
        <v>2199</v>
      </c>
      <c r="D11" s="1606" t="s">
        <v>2470</v>
      </c>
      <c r="E11" s="1611">
        <v>269.55</v>
      </c>
      <c r="F11" s="649">
        <v>0</v>
      </c>
      <c r="G11" s="718">
        <v>269.55</v>
      </c>
      <c r="H11" s="1601">
        <v>44760</v>
      </c>
      <c r="I11" s="2049"/>
      <c r="J11" s="1919"/>
      <c r="K11" s="1962"/>
      <c r="L11" s="423"/>
      <c r="M11" s="294"/>
    </row>
    <row r="12" spans="1:13" ht="15">
      <c r="A12" s="1601">
        <v>44760.000497685185</v>
      </c>
      <c r="B12" s="1597" t="s">
        <v>521</v>
      </c>
      <c r="C12" s="1597" t="s">
        <v>2199</v>
      </c>
      <c r="D12" s="1606" t="s">
        <v>2471</v>
      </c>
      <c r="E12" s="1611">
        <v>402.75</v>
      </c>
      <c r="F12" s="649">
        <v>0</v>
      </c>
      <c r="G12" s="718">
        <v>402.75</v>
      </c>
      <c r="H12" s="1601">
        <v>44760</v>
      </c>
      <c r="I12" s="2049"/>
      <c r="J12" s="1919"/>
      <c r="K12" s="1962"/>
      <c r="L12" s="423"/>
      <c r="M12" s="294"/>
    </row>
    <row r="13" spans="1:13" ht="15">
      <c r="A13" s="1601">
        <v>44790.000497685185</v>
      </c>
      <c r="B13" s="1597" t="s">
        <v>521</v>
      </c>
      <c r="C13" s="1597" t="s">
        <v>2199</v>
      </c>
      <c r="D13" s="1606" t="s">
        <v>2764</v>
      </c>
      <c r="E13" s="1611">
        <v>249.66</v>
      </c>
      <c r="F13" s="649">
        <v>0</v>
      </c>
      <c r="G13" s="718">
        <v>249.66</v>
      </c>
      <c r="H13" s="1601">
        <v>44790.000497685185</v>
      </c>
      <c r="I13" s="2049"/>
      <c r="J13" s="1919"/>
      <c r="K13" s="1962"/>
      <c r="L13" s="423"/>
      <c r="M13" s="294"/>
    </row>
    <row r="14" spans="1:13" ht="15">
      <c r="A14" s="1601">
        <v>44803</v>
      </c>
      <c r="B14" s="1597" t="s">
        <v>521</v>
      </c>
      <c r="C14" s="1597" t="s">
        <v>2199</v>
      </c>
      <c r="D14" s="1606" t="s">
        <v>2895</v>
      </c>
      <c r="E14" s="1611">
        <v>1025.0999999999999</v>
      </c>
      <c r="F14" s="649">
        <v>0</v>
      </c>
      <c r="G14" s="718">
        <v>1025.0999999999999</v>
      </c>
      <c r="H14" s="1601">
        <v>44803</v>
      </c>
      <c r="I14" s="2049"/>
      <c r="J14" s="1919"/>
      <c r="K14" s="1962"/>
      <c r="L14" s="423"/>
      <c r="M14" s="294"/>
    </row>
    <row r="15" spans="1:13" ht="15">
      <c r="A15" s="1601">
        <v>44812</v>
      </c>
      <c r="B15" s="1597" t="s">
        <v>521</v>
      </c>
      <c r="C15" s="1597" t="s">
        <v>2199</v>
      </c>
      <c r="D15" s="1606" t="s">
        <v>2953</v>
      </c>
      <c r="E15" s="1611">
        <v>41.4</v>
      </c>
      <c r="F15" s="649">
        <v>0</v>
      </c>
      <c r="G15" s="718">
        <v>41.4</v>
      </c>
      <c r="H15" s="1601">
        <v>44812</v>
      </c>
      <c r="I15" s="2049"/>
      <c r="J15" s="1919"/>
      <c r="K15" s="1962"/>
      <c r="L15" s="423"/>
      <c r="M15" s="294"/>
    </row>
    <row r="16" spans="1:13" ht="15">
      <c r="A16" s="1601">
        <v>44812</v>
      </c>
      <c r="B16" s="1597" t="s">
        <v>521</v>
      </c>
      <c r="C16" s="1597" t="s">
        <v>2199</v>
      </c>
      <c r="D16" s="1606" t="s">
        <v>2954</v>
      </c>
      <c r="E16" s="1611">
        <v>547.20000000000005</v>
      </c>
      <c r="F16" s="649">
        <v>0</v>
      </c>
      <c r="G16" s="718">
        <v>547.20000000000005</v>
      </c>
      <c r="H16" s="1601">
        <v>44812</v>
      </c>
      <c r="I16" s="2049"/>
      <c r="J16" s="1919"/>
      <c r="K16" s="1962"/>
      <c r="L16" s="423"/>
      <c r="M16" s="294"/>
    </row>
    <row r="17" spans="1:13" ht="15">
      <c r="A17" s="1601">
        <v>44824</v>
      </c>
      <c r="B17" s="1597" t="s">
        <v>521</v>
      </c>
      <c r="C17" s="1597" t="s">
        <v>2199</v>
      </c>
      <c r="D17" s="1606" t="s">
        <v>3052</v>
      </c>
      <c r="E17" s="1611">
        <v>587.25</v>
      </c>
      <c r="F17" s="649">
        <v>0</v>
      </c>
      <c r="G17" s="718">
        <v>587.25</v>
      </c>
      <c r="H17" s="1601">
        <v>44824</v>
      </c>
      <c r="I17" s="2049"/>
      <c r="J17" s="1919"/>
      <c r="K17" s="1962"/>
      <c r="L17" s="423"/>
      <c r="M17" s="294"/>
    </row>
    <row r="18" spans="1:13" ht="15">
      <c r="A18" s="1601">
        <v>44832</v>
      </c>
      <c r="B18" s="1597" t="s">
        <v>521</v>
      </c>
      <c r="C18" s="1597" t="s">
        <v>2199</v>
      </c>
      <c r="D18" s="1606" t="s">
        <v>3152</v>
      </c>
      <c r="E18" s="1611">
        <v>671.63</v>
      </c>
      <c r="F18" s="649">
        <v>0</v>
      </c>
      <c r="G18" s="718">
        <v>671.63</v>
      </c>
      <c r="H18" s="1601">
        <v>44832.000497685185</v>
      </c>
      <c r="I18" s="2050"/>
      <c r="J18" s="1920"/>
      <c r="K18" s="1957"/>
      <c r="L18" s="423"/>
      <c r="M18" s="294"/>
    </row>
    <row r="19" spans="1:13" ht="15">
      <c r="A19" s="1601">
        <v>44851.000497685185</v>
      </c>
      <c r="B19" s="1597" t="s">
        <v>521</v>
      </c>
      <c r="C19" s="1597" t="s">
        <v>2199</v>
      </c>
      <c r="D19" s="1606" t="s">
        <v>3291</v>
      </c>
      <c r="E19" s="1611">
        <v>895.5</v>
      </c>
      <c r="F19" s="649">
        <v>0</v>
      </c>
      <c r="G19" s="718">
        <v>895.5</v>
      </c>
      <c r="H19" s="1601">
        <v>44851.000497685185</v>
      </c>
      <c r="I19" s="2045">
        <v>5086.7299999999996</v>
      </c>
      <c r="J19" s="1918">
        <v>44956</v>
      </c>
      <c r="K19" s="1968" t="s">
        <v>4755</v>
      </c>
      <c r="L19" s="423"/>
      <c r="M19" s="294"/>
    </row>
    <row r="20" spans="1:13" ht="15">
      <c r="A20" s="1601">
        <v>44854.000497685185</v>
      </c>
      <c r="B20" s="1597" t="s">
        <v>521</v>
      </c>
      <c r="C20" s="1597" t="s">
        <v>2199</v>
      </c>
      <c r="D20" s="1606" t="s">
        <v>3292</v>
      </c>
      <c r="E20" s="1611">
        <v>1539.9</v>
      </c>
      <c r="F20" s="649">
        <v>0</v>
      </c>
      <c r="G20" s="718">
        <v>1539.9</v>
      </c>
      <c r="H20" s="1601">
        <v>44854.000497685185</v>
      </c>
      <c r="I20" s="2046"/>
      <c r="J20" s="1919"/>
      <c r="K20" s="1962"/>
      <c r="L20" s="423"/>
      <c r="M20" s="294"/>
    </row>
    <row r="21" spans="1:13" ht="15">
      <c r="A21" s="1601">
        <v>44873</v>
      </c>
      <c r="B21" s="1597" t="s">
        <v>521</v>
      </c>
      <c r="C21" s="1597" t="s">
        <v>2199</v>
      </c>
      <c r="D21" s="1606" t="s">
        <v>3431</v>
      </c>
      <c r="E21" s="1611">
        <v>266.39999999999998</v>
      </c>
      <c r="F21" s="649">
        <v>0</v>
      </c>
      <c r="G21" s="718">
        <v>266.39999999999998</v>
      </c>
      <c r="H21" s="1601">
        <v>44873</v>
      </c>
      <c r="I21" s="2046"/>
      <c r="J21" s="1919"/>
      <c r="K21" s="1962"/>
      <c r="L21" s="423"/>
      <c r="M21" s="294"/>
    </row>
    <row r="22" spans="1:13" ht="15">
      <c r="A22" s="1601">
        <v>44888</v>
      </c>
      <c r="B22" s="1597" t="s">
        <v>521</v>
      </c>
      <c r="C22" s="1597" t="s">
        <v>2199</v>
      </c>
      <c r="D22" s="1606" t="s">
        <v>3520</v>
      </c>
      <c r="E22" s="1611">
        <v>960.3</v>
      </c>
      <c r="F22" s="649">
        <v>0</v>
      </c>
      <c r="G22" s="718">
        <v>960.3</v>
      </c>
      <c r="H22" s="1601">
        <v>44888</v>
      </c>
      <c r="I22" s="2046"/>
      <c r="J22" s="1919"/>
      <c r="K22" s="1962"/>
      <c r="L22" s="423"/>
      <c r="M22" s="294"/>
    </row>
    <row r="23" spans="1:13" ht="15">
      <c r="A23" s="1601">
        <v>44902.000497685185</v>
      </c>
      <c r="B23" s="1597" t="s">
        <v>521</v>
      </c>
      <c r="C23" s="1597" t="s">
        <v>2199</v>
      </c>
      <c r="D23" s="1606" t="s">
        <v>3658</v>
      </c>
      <c r="E23" s="1611">
        <v>571.5</v>
      </c>
      <c r="F23" s="649">
        <v>0</v>
      </c>
      <c r="G23" s="718">
        <v>571.5</v>
      </c>
      <c r="H23" s="1601">
        <v>44947</v>
      </c>
      <c r="I23" s="2046"/>
      <c r="J23" s="1919"/>
      <c r="K23" s="1962"/>
      <c r="L23" s="423"/>
      <c r="M23" s="294"/>
    </row>
    <row r="24" spans="1:13" ht="15">
      <c r="A24" s="1601">
        <v>44917</v>
      </c>
      <c r="B24" s="1597" t="s">
        <v>521</v>
      </c>
      <c r="C24" s="1597" t="s">
        <v>2199</v>
      </c>
      <c r="D24" s="1606" t="s">
        <v>3744</v>
      </c>
      <c r="E24" s="1611">
        <v>853.13</v>
      </c>
      <c r="F24" s="649">
        <v>0</v>
      </c>
      <c r="G24" s="718">
        <v>853.13</v>
      </c>
      <c r="H24" s="1601">
        <v>44917</v>
      </c>
      <c r="I24" s="2047"/>
      <c r="J24" s="1920"/>
      <c r="K24" s="1957"/>
      <c r="L24" s="423"/>
      <c r="M24" s="294"/>
    </row>
    <row r="25" spans="1:13" ht="15">
      <c r="A25" s="1601">
        <v>44950</v>
      </c>
      <c r="B25" s="1601" t="s">
        <v>2644</v>
      </c>
      <c r="C25" s="1601" t="s">
        <v>2199</v>
      </c>
      <c r="D25" s="1606" t="s">
        <v>3951</v>
      </c>
      <c r="E25" s="1611">
        <v>8518.5</v>
      </c>
      <c r="F25" s="649">
        <v>0</v>
      </c>
      <c r="G25" s="718">
        <v>8518.5</v>
      </c>
      <c r="H25" s="1601">
        <v>44995</v>
      </c>
      <c r="I25" s="2045">
        <v>6520.3</v>
      </c>
      <c r="J25" s="1903">
        <v>45028</v>
      </c>
      <c r="K25" s="1938" t="s">
        <v>4753</v>
      </c>
      <c r="L25" s="423"/>
      <c r="M25" s="294"/>
    </row>
    <row r="26" spans="1:13" ht="15">
      <c r="A26" s="1601">
        <v>44951</v>
      </c>
      <c r="B26" s="1601" t="s">
        <v>2644</v>
      </c>
      <c r="C26" s="1601" t="s">
        <v>2199</v>
      </c>
      <c r="D26" s="1606" t="s">
        <v>3952</v>
      </c>
      <c r="E26" s="1611">
        <v>898.58</v>
      </c>
      <c r="F26" s="649">
        <v>0</v>
      </c>
      <c r="G26" s="718">
        <v>898.58</v>
      </c>
      <c r="H26" s="1601">
        <v>44996</v>
      </c>
      <c r="I26" s="2046"/>
      <c r="J26" s="1904"/>
      <c r="K26" s="1950"/>
      <c r="L26" s="423"/>
      <c r="M26" s="294"/>
    </row>
    <row r="27" spans="1:13" ht="15">
      <c r="A27" s="1601">
        <v>44957.000497685185</v>
      </c>
      <c r="B27" s="1601" t="s">
        <v>2644</v>
      </c>
      <c r="C27" s="1601" t="s">
        <v>2199</v>
      </c>
      <c r="D27" s="1606" t="s">
        <v>4024</v>
      </c>
      <c r="E27" s="1611">
        <v>-696.71</v>
      </c>
      <c r="F27" s="649">
        <v>0</v>
      </c>
      <c r="G27" s="718">
        <v>-696.71</v>
      </c>
      <c r="H27" s="1601"/>
      <c r="I27" s="2046"/>
      <c r="J27" s="1904"/>
      <c r="K27" s="1950"/>
      <c r="L27" s="423"/>
      <c r="M27" s="294"/>
    </row>
    <row r="28" spans="1:13" ht="15">
      <c r="A28" s="1601">
        <v>44957.000497685185</v>
      </c>
      <c r="B28" s="1601" t="s">
        <v>2644</v>
      </c>
      <c r="C28" s="1601" t="s">
        <v>2199</v>
      </c>
      <c r="D28" s="1606" t="s">
        <v>4025</v>
      </c>
      <c r="E28" s="1611">
        <v>-2200.0700000000002</v>
      </c>
      <c r="F28" s="649">
        <v>0</v>
      </c>
      <c r="G28" s="718">
        <v>-2200.0700000000002</v>
      </c>
      <c r="H28" s="1601"/>
      <c r="I28" s="2047"/>
      <c r="J28" s="1905"/>
      <c r="K28" s="1947"/>
      <c r="L28" s="423"/>
      <c r="M28" s="294"/>
    </row>
    <row r="29" spans="1:13" ht="15">
      <c r="A29" s="1601">
        <v>44972</v>
      </c>
      <c r="B29" s="1601" t="s">
        <v>2644</v>
      </c>
      <c r="C29" s="1601" t="s">
        <v>2199</v>
      </c>
      <c r="D29" s="1606" t="s">
        <v>4160</v>
      </c>
      <c r="E29" s="1611">
        <v>613.35</v>
      </c>
      <c r="F29" s="649">
        <v>0</v>
      </c>
      <c r="G29" s="718">
        <v>613.35</v>
      </c>
      <c r="H29" s="1601">
        <v>45017</v>
      </c>
      <c r="I29" s="2048">
        <v>3069.15</v>
      </c>
      <c r="J29" s="1918">
        <v>45076</v>
      </c>
      <c r="K29" s="1956" t="s">
        <v>5878</v>
      </c>
      <c r="L29" s="423"/>
      <c r="M29" s="294"/>
    </row>
    <row r="30" spans="1:13" ht="15">
      <c r="A30" s="1601">
        <v>44995</v>
      </c>
      <c r="B30" s="1601" t="s">
        <v>2644</v>
      </c>
      <c r="C30" s="1601" t="s">
        <v>5293</v>
      </c>
      <c r="D30" s="1606" t="s">
        <v>4421</v>
      </c>
      <c r="E30" s="1611">
        <v>1987.2</v>
      </c>
      <c r="F30" s="649">
        <v>0</v>
      </c>
      <c r="G30" s="718">
        <v>1987.2</v>
      </c>
      <c r="H30" s="1601">
        <v>44995</v>
      </c>
      <c r="I30" s="2049"/>
      <c r="J30" s="1919"/>
      <c r="K30" s="1962"/>
      <c r="L30" s="423"/>
      <c r="M30" s="294"/>
    </row>
    <row r="31" spans="1:13" ht="15">
      <c r="A31" s="1601">
        <v>45028.000497685185</v>
      </c>
      <c r="B31" s="1601" t="s">
        <v>2644</v>
      </c>
      <c r="C31" s="1601" t="s">
        <v>2199</v>
      </c>
      <c r="D31" s="1606" t="s">
        <v>4707</v>
      </c>
      <c r="E31" s="1611">
        <v>1518.9</v>
      </c>
      <c r="F31" s="649">
        <v>0</v>
      </c>
      <c r="G31" s="718">
        <v>1518.9</v>
      </c>
      <c r="H31" s="1601">
        <v>45073</v>
      </c>
      <c r="I31" s="2049"/>
      <c r="J31" s="1919"/>
      <c r="K31" s="1962"/>
      <c r="L31" s="423"/>
      <c r="M31" s="294"/>
    </row>
    <row r="32" spans="1:13" ht="15">
      <c r="A32" s="1601">
        <v>45033</v>
      </c>
      <c r="B32" s="1601" t="s">
        <v>2644</v>
      </c>
      <c r="C32" s="1601" t="s">
        <v>2199</v>
      </c>
      <c r="D32" s="1606" t="s">
        <v>4788</v>
      </c>
      <c r="E32" s="1611">
        <v>128.25</v>
      </c>
      <c r="F32" s="649">
        <v>0</v>
      </c>
      <c r="G32" s="718">
        <v>128.25</v>
      </c>
      <c r="H32" s="1601">
        <v>45093</v>
      </c>
      <c r="I32" s="2049"/>
      <c r="J32" s="1919"/>
      <c r="K32" s="1962"/>
      <c r="L32" s="423"/>
      <c r="M32" s="294"/>
    </row>
    <row r="33" spans="1:13" ht="15">
      <c r="A33" s="1601">
        <v>45049</v>
      </c>
      <c r="B33" s="1601" t="s">
        <v>2644</v>
      </c>
      <c r="C33" s="1601" t="s">
        <v>2199</v>
      </c>
      <c r="D33" s="1606" t="s">
        <v>4905</v>
      </c>
      <c r="E33" s="1611">
        <v>-1178.55</v>
      </c>
      <c r="F33" s="649">
        <v>0</v>
      </c>
      <c r="G33" s="718">
        <v>-1178.55</v>
      </c>
      <c r="H33" s="1601"/>
      <c r="I33" s="2050"/>
      <c r="J33" s="1920"/>
      <c r="K33" s="1957"/>
      <c r="L33" s="423"/>
      <c r="M33" s="294"/>
    </row>
    <row r="34" spans="1:13" ht="15">
      <c r="A34" s="1629">
        <v>45062</v>
      </c>
      <c r="B34" s="1629" t="s">
        <v>2644</v>
      </c>
      <c r="C34" s="1629" t="s">
        <v>2199</v>
      </c>
      <c r="D34" s="1632" t="s">
        <v>5078</v>
      </c>
      <c r="E34" s="1635">
        <v>523.58000000000004</v>
      </c>
      <c r="F34" s="649">
        <v>0</v>
      </c>
      <c r="G34" s="718">
        <v>523.58000000000004</v>
      </c>
      <c r="H34" s="1629">
        <v>45107</v>
      </c>
      <c r="I34" s="2045">
        <v>2076.5300000000002</v>
      </c>
      <c r="J34" s="1918">
        <v>45155</v>
      </c>
      <c r="K34" s="1968" t="s">
        <v>5898</v>
      </c>
      <c r="L34" s="423"/>
      <c r="M34" s="294"/>
    </row>
    <row r="35" spans="1:13" ht="15">
      <c r="A35" s="1629">
        <v>45083</v>
      </c>
      <c r="B35" s="1629" t="s">
        <v>2644</v>
      </c>
      <c r="C35" s="1629" t="s">
        <v>2199</v>
      </c>
      <c r="D35" s="1632" t="s">
        <v>5305</v>
      </c>
      <c r="E35" s="1635">
        <v>739.36</v>
      </c>
      <c r="F35" s="649">
        <v>0</v>
      </c>
      <c r="G35" s="718">
        <v>739.36</v>
      </c>
      <c r="H35" s="1629">
        <v>45128</v>
      </c>
      <c r="I35" s="2046"/>
      <c r="J35" s="1919"/>
      <c r="K35" s="1962"/>
      <c r="L35" s="423"/>
      <c r="M35" s="294"/>
    </row>
    <row r="36" spans="1:13" ht="15">
      <c r="A36" s="1629">
        <v>45111</v>
      </c>
      <c r="B36" s="1629" t="s">
        <v>2644</v>
      </c>
      <c r="C36" s="1629" t="s">
        <v>2199</v>
      </c>
      <c r="D36" s="1632" t="s">
        <v>5536</v>
      </c>
      <c r="E36" s="1635">
        <v>24.3</v>
      </c>
      <c r="F36" s="1622">
        <v>0</v>
      </c>
      <c r="G36" s="718">
        <v>24.3</v>
      </c>
      <c r="H36" s="1629">
        <v>45156</v>
      </c>
      <c r="I36" s="2046"/>
      <c r="J36" s="1919"/>
      <c r="K36" s="1962"/>
      <c r="L36" s="423"/>
      <c r="M36" s="294"/>
    </row>
    <row r="37" spans="1:13" ht="15">
      <c r="A37" s="1903">
        <v>45111</v>
      </c>
      <c r="B37" s="1903" t="s">
        <v>2644</v>
      </c>
      <c r="C37" s="1903" t="s">
        <v>2199</v>
      </c>
      <c r="D37" s="1909" t="s">
        <v>5537</v>
      </c>
      <c r="E37" s="1923">
        <v>1207.05</v>
      </c>
      <c r="F37" s="1927">
        <v>0</v>
      </c>
      <c r="G37" s="718">
        <f>1207.05-417.76</f>
        <v>789.29</v>
      </c>
      <c r="H37" s="1629">
        <v>45156</v>
      </c>
      <c r="I37" s="2047"/>
      <c r="J37" s="1920"/>
      <c r="K37" s="1957"/>
      <c r="L37" s="423"/>
      <c r="M37" s="294"/>
    </row>
    <row r="38" spans="1:13" ht="28.5">
      <c r="A38" s="1905"/>
      <c r="B38" s="1905"/>
      <c r="C38" s="1905"/>
      <c r="D38" s="1911"/>
      <c r="E38" s="1924"/>
      <c r="F38" s="1928"/>
      <c r="G38" s="718">
        <v>417.76</v>
      </c>
      <c r="H38" s="1629">
        <v>45156</v>
      </c>
      <c r="I38" s="1192">
        <v>417.76</v>
      </c>
      <c r="J38" s="1629">
        <v>45146</v>
      </c>
      <c r="K38" s="1636" t="s">
        <v>6612</v>
      </c>
      <c r="L38" s="423"/>
      <c r="M38" s="294"/>
    </row>
    <row r="39" spans="1:13" ht="15">
      <c r="A39" s="1856">
        <v>45125</v>
      </c>
      <c r="B39" s="1856" t="s">
        <v>2644</v>
      </c>
      <c r="C39" s="1856" t="s">
        <v>2199</v>
      </c>
      <c r="D39" s="1858" t="s">
        <v>5619</v>
      </c>
      <c r="E39" s="1866">
        <v>661.5</v>
      </c>
      <c r="F39" s="649">
        <v>0</v>
      </c>
      <c r="G39" s="718">
        <v>661.5</v>
      </c>
      <c r="H39" s="1856">
        <v>45170</v>
      </c>
      <c r="I39" s="2048">
        <v>6108.35</v>
      </c>
      <c r="J39" s="1918">
        <v>45243</v>
      </c>
      <c r="K39" s="1956" t="s">
        <v>6613</v>
      </c>
      <c r="L39" s="423"/>
      <c r="M39" s="294"/>
    </row>
    <row r="40" spans="1:13" ht="15">
      <c r="A40" s="1856">
        <v>45140</v>
      </c>
      <c r="B40" s="1856" t="s">
        <v>2644</v>
      </c>
      <c r="C40" s="1856" t="s">
        <v>2199</v>
      </c>
      <c r="D40" s="1858" t="s">
        <v>5729</v>
      </c>
      <c r="E40" s="1866">
        <v>966.6</v>
      </c>
      <c r="F40" s="649">
        <v>0</v>
      </c>
      <c r="G40" s="718">
        <v>966.6</v>
      </c>
      <c r="H40" s="1856">
        <v>45185</v>
      </c>
      <c r="I40" s="2049"/>
      <c r="J40" s="1919"/>
      <c r="K40" s="1962"/>
      <c r="L40" s="423"/>
      <c r="M40" s="294"/>
    </row>
    <row r="41" spans="1:13" ht="15">
      <c r="A41" s="1856">
        <v>45173</v>
      </c>
      <c r="B41" s="1856" t="s">
        <v>2644</v>
      </c>
      <c r="C41" s="1856" t="s">
        <v>2199</v>
      </c>
      <c r="D41" s="1858" t="s">
        <v>5993</v>
      </c>
      <c r="E41" s="1866">
        <v>1959.75</v>
      </c>
      <c r="F41" s="649">
        <v>0</v>
      </c>
      <c r="G41" s="718">
        <v>1959.75</v>
      </c>
      <c r="H41" s="1856">
        <v>45218</v>
      </c>
      <c r="I41" s="2049"/>
      <c r="J41" s="1919"/>
      <c r="K41" s="1962"/>
      <c r="L41" s="423"/>
      <c r="M41" s="294"/>
    </row>
    <row r="42" spans="1:13" ht="15">
      <c r="A42" s="1856">
        <v>45174</v>
      </c>
      <c r="B42" s="1856" t="s">
        <v>2644</v>
      </c>
      <c r="C42" s="1856" t="s">
        <v>2199</v>
      </c>
      <c r="D42" s="1858" t="s">
        <v>5994</v>
      </c>
      <c r="E42" s="1866">
        <v>-70.05</v>
      </c>
      <c r="F42" s="649">
        <v>0</v>
      </c>
      <c r="G42" s="718">
        <v>-70.05</v>
      </c>
      <c r="H42" s="1856"/>
      <c r="I42" s="2049"/>
      <c r="J42" s="1919"/>
      <c r="K42" s="1962"/>
      <c r="L42" s="423"/>
      <c r="M42" s="294"/>
    </row>
    <row r="43" spans="1:13" ht="15">
      <c r="A43" s="1856">
        <v>45174</v>
      </c>
      <c r="B43" s="1856" t="s">
        <v>2644</v>
      </c>
      <c r="C43" s="1856" t="s">
        <v>2199</v>
      </c>
      <c r="D43" s="1858" t="s">
        <v>5995</v>
      </c>
      <c r="E43" s="1866">
        <v>-8.91</v>
      </c>
      <c r="F43" s="649">
        <v>0</v>
      </c>
      <c r="G43" s="718">
        <v>-8.91</v>
      </c>
      <c r="H43" s="1856"/>
      <c r="I43" s="2049"/>
      <c r="J43" s="1919"/>
      <c r="K43" s="1962"/>
      <c r="L43" s="423"/>
      <c r="M43" s="294"/>
    </row>
    <row r="44" spans="1:13" ht="15">
      <c r="A44" s="1856">
        <v>45189</v>
      </c>
      <c r="B44" s="1856" t="s">
        <v>2644</v>
      </c>
      <c r="C44" s="1856" t="s">
        <v>2199</v>
      </c>
      <c r="D44" s="1858" t="s">
        <v>6082</v>
      </c>
      <c r="E44" s="1866">
        <v>-178.69</v>
      </c>
      <c r="F44" s="649">
        <v>0</v>
      </c>
      <c r="G44" s="718">
        <v>-178.69</v>
      </c>
      <c r="H44" s="1856"/>
      <c r="I44" s="2049"/>
      <c r="J44" s="1919"/>
      <c r="K44" s="1962"/>
      <c r="L44" s="423"/>
      <c r="M44" s="294"/>
    </row>
    <row r="45" spans="1:13" ht="15">
      <c r="A45" s="1856">
        <v>45189</v>
      </c>
      <c r="B45" s="1856" t="s">
        <v>2644</v>
      </c>
      <c r="C45" s="1856" t="s">
        <v>2199</v>
      </c>
      <c r="D45" s="1858" t="s">
        <v>6083</v>
      </c>
      <c r="E45" s="1866">
        <v>-6.6</v>
      </c>
      <c r="F45" s="649">
        <v>0</v>
      </c>
      <c r="G45" s="718">
        <v>-6.6</v>
      </c>
      <c r="H45" s="1856"/>
      <c r="I45" s="2049"/>
      <c r="J45" s="1919"/>
      <c r="K45" s="1962"/>
      <c r="L45" s="423"/>
      <c r="M45" s="294"/>
    </row>
    <row r="46" spans="1:13" ht="15">
      <c r="A46" s="1856">
        <v>45189</v>
      </c>
      <c r="B46" s="1856" t="s">
        <v>2644</v>
      </c>
      <c r="C46" s="1856" t="s">
        <v>2199</v>
      </c>
      <c r="D46" s="1858" t="s">
        <v>6084</v>
      </c>
      <c r="E46" s="1866">
        <v>-12.6</v>
      </c>
      <c r="F46" s="649">
        <v>0</v>
      </c>
      <c r="G46" s="718">
        <v>-12.6</v>
      </c>
      <c r="H46" s="1856"/>
      <c r="I46" s="2049"/>
      <c r="J46" s="1919"/>
      <c r="K46" s="1962"/>
      <c r="L46" s="423"/>
      <c r="M46" s="294"/>
    </row>
    <row r="47" spans="1:13" ht="15">
      <c r="A47" s="1856">
        <v>45190</v>
      </c>
      <c r="B47" s="1856" t="s">
        <v>2644</v>
      </c>
      <c r="C47" s="1856" t="s">
        <v>2199</v>
      </c>
      <c r="D47" s="1858" t="s">
        <v>6085</v>
      </c>
      <c r="E47" s="1866">
        <v>902.25</v>
      </c>
      <c r="F47" s="649">
        <v>0</v>
      </c>
      <c r="G47" s="718">
        <v>902.25</v>
      </c>
      <c r="H47" s="1856">
        <v>45234</v>
      </c>
      <c r="I47" s="2049"/>
      <c r="J47" s="1919"/>
      <c r="K47" s="1962"/>
      <c r="L47" s="423"/>
      <c r="M47" s="294"/>
    </row>
    <row r="48" spans="1:13" ht="15">
      <c r="A48" s="1856">
        <v>45223</v>
      </c>
      <c r="B48" s="1856" t="s">
        <v>2644</v>
      </c>
      <c r="C48" s="1856" t="s">
        <v>2199</v>
      </c>
      <c r="D48" s="1858" t="s">
        <v>6397</v>
      </c>
      <c r="E48" s="1866">
        <v>1949.63</v>
      </c>
      <c r="F48" s="649">
        <v>0</v>
      </c>
      <c r="G48" s="718">
        <v>1949.63</v>
      </c>
      <c r="H48" s="1856">
        <v>45282</v>
      </c>
      <c r="I48" s="2049"/>
      <c r="J48" s="1919"/>
      <c r="K48" s="1962"/>
      <c r="L48" s="423"/>
      <c r="M48" s="294"/>
    </row>
    <row r="49" spans="1:13" ht="15">
      <c r="A49" s="1856">
        <v>45237</v>
      </c>
      <c r="B49" s="1856" t="s">
        <v>2644</v>
      </c>
      <c r="C49" s="1856" t="s">
        <v>2199</v>
      </c>
      <c r="D49" s="1858" t="s">
        <v>6514</v>
      </c>
      <c r="E49" s="1866">
        <v>-21.68</v>
      </c>
      <c r="F49" s="649">
        <v>0</v>
      </c>
      <c r="G49" s="718">
        <v>-21.68</v>
      </c>
      <c r="H49" s="1856"/>
      <c r="I49" s="2049"/>
      <c r="J49" s="1919"/>
      <c r="K49" s="1962"/>
      <c r="L49" s="423"/>
      <c r="M49" s="294"/>
    </row>
    <row r="50" spans="1:13" ht="15">
      <c r="A50" s="1856">
        <v>45237</v>
      </c>
      <c r="B50" s="1856" t="s">
        <v>2644</v>
      </c>
      <c r="C50" s="1856" t="s">
        <v>2199</v>
      </c>
      <c r="D50" s="1858" t="s">
        <v>6515</v>
      </c>
      <c r="E50" s="1866">
        <v>-32.85</v>
      </c>
      <c r="F50" s="649">
        <v>0</v>
      </c>
      <c r="G50" s="718">
        <v>-32.85</v>
      </c>
      <c r="H50" s="1856"/>
      <c r="I50" s="2050"/>
      <c r="J50" s="1920"/>
      <c r="K50" s="1957"/>
      <c r="L50" s="423"/>
      <c r="M50" s="294"/>
    </row>
    <row r="51" spans="1:13" ht="15">
      <c r="A51" s="623">
        <v>44727</v>
      </c>
      <c r="B51" s="623" t="s">
        <v>521</v>
      </c>
      <c r="C51" s="623" t="s">
        <v>2199</v>
      </c>
      <c r="D51" s="624" t="s">
        <v>2283</v>
      </c>
      <c r="E51" s="603">
        <v>2819.16</v>
      </c>
      <c r="F51" s="644">
        <v>0</v>
      </c>
      <c r="G51" s="720">
        <v>2819.16</v>
      </c>
      <c r="H51" s="623">
        <v>44727</v>
      </c>
      <c r="I51" s="1188"/>
      <c r="J51" s="1613"/>
      <c r="K51" s="118"/>
      <c r="L51" s="423"/>
      <c r="M51" s="294"/>
    </row>
    <row r="52" spans="1:13" ht="15">
      <c r="A52" s="623">
        <v>45230</v>
      </c>
      <c r="B52" s="623" t="s">
        <v>2644</v>
      </c>
      <c r="C52" s="623" t="s">
        <v>2199</v>
      </c>
      <c r="D52" s="624" t="s">
        <v>6460</v>
      </c>
      <c r="E52" s="603">
        <v>654</v>
      </c>
      <c r="F52" s="644">
        <v>0</v>
      </c>
      <c r="G52" s="720">
        <v>654</v>
      </c>
      <c r="H52" s="623">
        <v>45275</v>
      </c>
      <c r="I52" s="1188"/>
      <c r="J52" s="1674"/>
      <c r="K52" s="1667"/>
      <c r="L52" s="423"/>
      <c r="M52" s="294"/>
    </row>
    <row r="53" spans="1:13" ht="15">
      <c r="A53" s="623">
        <v>45233</v>
      </c>
      <c r="B53" s="623" t="s">
        <v>2644</v>
      </c>
      <c r="C53" s="623" t="s">
        <v>2199</v>
      </c>
      <c r="D53" s="624" t="s">
        <v>6461</v>
      </c>
      <c r="E53" s="603">
        <v>-87.08</v>
      </c>
      <c r="F53" s="644">
        <v>0</v>
      </c>
      <c r="G53" s="720">
        <v>-87.08</v>
      </c>
      <c r="H53" s="623"/>
      <c r="I53" s="1188"/>
      <c r="J53" s="1674"/>
      <c r="K53" s="1667"/>
      <c r="L53" s="423"/>
      <c r="M53" s="294"/>
    </row>
    <row r="54" spans="1:13" ht="15">
      <c r="A54" s="623">
        <v>45233</v>
      </c>
      <c r="B54" s="623" t="s">
        <v>2644</v>
      </c>
      <c r="C54" s="623" t="s">
        <v>2199</v>
      </c>
      <c r="D54" s="624" t="s">
        <v>6462</v>
      </c>
      <c r="E54" s="603">
        <v>-142.43</v>
      </c>
      <c r="F54" s="644">
        <v>0</v>
      </c>
      <c r="G54" s="720">
        <v>-142.43</v>
      </c>
      <c r="H54" s="623"/>
      <c r="I54" s="1188"/>
      <c r="J54" s="1597"/>
      <c r="K54" s="1593"/>
      <c r="L54" s="423"/>
      <c r="M54" s="294"/>
    </row>
    <row r="55" spans="1:13" ht="28.5">
      <c r="A55" s="1856">
        <v>45244</v>
      </c>
      <c r="B55" s="1856" t="s">
        <v>2644</v>
      </c>
      <c r="C55" s="1856" t="s">
        <v>2199</v>
      </c>
      <c r="D55" s="1858" t="s">
        <v>6556</v>
      </c>
      <c r="E55" s="1866">
        <v>50.38</v>
      </c>
      <c r="F55" s="649">
        <v>10.58</v>
      </c>
      <c r="G55" s="718">
        <v>60.96</v>
      </c>
      <c r="H55" s="1856">
        <v>45244</v>
      </c>
      <c r="I55" s="1921">
        <v>0</v>
      </c>
      <c r="J55" s="1903">
        <v>45245</v>
      </c>
      <c r="K55" s="1935" t="s">
        <v>6611</v>
      </c>
      <c r="L55" s="917" t="s">
        <v>6558</v>
      </c>
      <c r="M55" s="294"/>
    </row>
    <row r="56" spans="1:13" ht="15">
      <c r="A56" s="1856">
        <v>45245</v>
      </c>
      <c r="B56" s="1856" t="s">
        <v>2644</v>
      </c>
      <c r="C56" s="1856" t="s">
        <v>2199</v>
      </c>
      <c r="D56" s="1858" t="s">
        <v>6557</v>
      </c>
      <c r="E56" s="1866">
        <v>-50.38</v>
      </c>
      <c r="F56" s="649">
        <v>-10.58</v>
      </c>
      <c r="G56" s="718">
        <v>-60.96</v>
      </c>
      <c r="H56" s="1856">
        <v>45245</v>
      </c>
      <c r="I56" s="1922"/>
      <c r="J56" s="1905"/>
      <c r="K56" s="1947"/>
      <c r="L56" s="1092" t="s">
        <v>6559</v>
      </c>
      <c r="M56" s="294"/>
    </row>
    <row r="57" spans="1:13" ht="15">
      <c r="A57" s="623"/>
      <c r="B57" s="623"/>
      <c r="C57" s="623"/>
      <c r="D57" s="624"/>
      <c r="E57" s="603"/>
      <c r="F57" s="644"/>
      <c r="G57" s="720"/>
      <c r="H57" s="623"/>
      <c r="I57" s="1188"/>
      <c r="J57" s="1832"/>
      <c r="K57" s="1831"/>
      <c r="L57" s="423"/>
      <c r="M57" s="294"/>
    </row>
    <row r="58" spans="1:13" ht="15">
      <c r="A58" s="623"/>
      <c r="B58" s="623"/>
      <c r="C58" s="623"/>
      <c r="D58" s="624"/>
      <c r="E58" s="603"/>
      <c r="F58" s="644"/>
      <c r="G58" s="720"/>
      <c r="H58" s="623"/>
      <c r="I58" s="1188"/>
      <c r="J58" s="1832"/>
      <c r="K58" s="1831"/>
      <c r="L58" s="423"/>
      <c r="M58" s="294"/>
    </row>
    <row r="59" spans="1:13" ht="15">
      <c r="A59" s="623"/>
      <c r="B59" s="623"/>
      <c r="C59" s="623"/>
      <c r="D59" s="624"/>
      <c r="E59" s="603"/>
      <c r="F59" s="644"/>
      <c r="G59" s="720"/>
      <c r="H59" s="623"/>
      <c r="I59" s="1188"/>
      <c r="J59" s="1597"/>
      <c r="K59" s="1593"/>
      <c r="L59" s="423"/>
      <c r="M59" s="294"/>
    </row>
    <row r="60" spans="1:13" ht="15">
      <c r="A60" s="623"/>
      <c r="B60" s="623"/>
      <c r="C60" s="623"/>
      <c r="D60" s="624"/>
      <c r="E60" s="603"/>
      <c r="F60" s="644"/>
      <c r="G60" s="720"/>
      <c r="H60" s="623"/>
      <c r="I60" s="1188"/>
      <c r="J60" s="1597"/>
      <c r="K60" s="1593"/>
      <c r="L60" s="423"/>
      <c r="M60" s="294"/>
    </row>
    <row r="61" spans="1:13" ht="15">
      <c r="A61" s="623"/>
      <c r="B61" s="623"/>
      <c r="C61" s="623"/>
      <c r="D61" s="624"/>
      <c r="E61" s="603"/>
      <c r="F61" s="644"/>
      <c r="G61" s="720"/>
      <c r="H61" s="623"/>
      <c r="I61" s="1188"/>
      <c r="J61" s="1613"/>
      <c r="K61" s="1593"/>
      <c r="L61" s="423"/>
      <c r="M61" s="294"/>
    </row>
    <row r="62" spans="1:13" ht="15">
      <c r="A62" s="623"/>
      <c r="B62" s="623"/>
      <c r="C62" s="623"/>
      <c r="D62" s="624"/>
      <c r="E62" s="603"/>
      <c r="F62" s="644"/>
      <c r="G62" s="720"/>
      <c r="H62" s="623"/>
      <c r="I62" s="1188"/>
      <c r="J62" s="1613"/>
      <c r="K62" s="1593"/>
      <c r="L62" s="423"/>
      <c r="M62" s="294"/>
    </row>
    <row r="63" spans="1:13" ht="15">
      <c r="A63" s="1598"/>
      <c r="B63" s="1598"/>
      <c r="C63" s="1598"/>
      <c r="D63" s="1598"/>
      <c r="E63" s="619"/>
      <c r="F63" s="1144" t="s">
        <v>545</v>
      </c>
      <c r="G63" s="704">
        <f>SUM(G2:G62)-SUM(I2:I62)</f>
        <v>3243.6500000000051</v>
      </c>
      <c r="H63" s="1597"/>
      <c r="I63" s="1188"/>
      <c r="J63" s="1613"/>
      <c r="K63" s="1593"/>
      <c r="L63" s="423"/>
    </row>
    <row r="64" spans="1:13">
      <c r="I64" s="1307"/>
      <c r="J64" s="1614"/>
    </row>
    <row r="65" spans="9:10">
      <c r="I65" s="1307"/>
      <c r="J65" s="1614"/>
    </row>
    <row r="66" spans="9:10">
      <c r="I66" s="1307"/>
      <c r="J66" s="1614"/>
    </row>
    <row r="67" spans="9:10">
      <c r="I67" s="1307"/>
      <c r="J67" s="1614"/>
    </row>
    <row r="68" spans="9:10">
      <c r="I68" s="1307"/>
      <c r="J68" s="1614"/>
    </row>
    <row r="69" spans="9:10">
      <c r="I69" s="1307"/>
      <c r="J69" s="1614"/>
    </row>
    <row r="70" spans="9:10">
      <c r="I70" s="1307"/>
      <c r="J70" s="1614"/>
    </row>
    <row r="71" spans="9:10">
      <c r="J71" s="1614"/>
    </row>
  </sheetData>
  <mergeCells count="31">
    <mergeCell ref="K55:K56"/>
    <mergeCell ref="J55:J56"/>
    <mergeCell ref="I55:I56"/>
    <mergeCell ref="K39:K50"/>
    <mergeCell ref="J39:J50"/>
    <mergeCell ref="I39:I50"/>
    <mergeCell ref="A37:A38"/>
    <mergeCell ref="F37:F38"/>
    <mergeCell ref="E37:E38"/>
    <mergeCell ref="D37:D38"/>
    <mergeCell ref="C37:C38"/>
    <mergeCell ref="B37:B38"/>
    <mergeCell ref="L2:L8"/>
    <mergeCell ref="K2:K8"/>
    <mergeCell ref="J2:J8"/>
    <mergeCell ref="I2:I8"/>
    <mergeCell ref="I10:I18"/>
    <mergeCell ref="K10:K18"/>
    <mergeCell ref="J10:J18"/>
    <mergeCell ref="I25:I28"/>
    <mergeCell ref="K25:K28"/>
    <mergeCell ref="J25:J28"/>
    <mergeCell ref="I19:I24"/>
    <mergeCell ref="K19:K24"/>
    <mergeCell ref="J19:J24"/>
    <mergeCell ref="K34:K37"/>
    <mergeCell ref="J34:J37"/>
    <mergeCell ref="I34:I37"/>
    <mergeCell ref="K29:K33"/>
    <mergeCell ref="J29:J33"/>
    <mergeCell ref="I29:I33"/>
  </mergeCells>
  <phoneticPr fontId="15" type="noConversion"/>
  <hyperlinks>
    <hyperlink ref="F63" location="汇总!A1" display="剩余欠款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N32"/>
  <sheetViews>
    <sheetView workbookViewId="0">
      <pane ySplit="1" topLeftCell="A2" activePane="bottomLeft" state="frozen"/>
      <selection activeCell="C33" sqref="C33"/>
      <selection pane="bottomLeft" activeCell="F24" sqref="F24"/>
    </sheetView>
  </sheetViews>
  <sheetFormatPr defaultRowHeight="14.25"/>
  <cols>
    <col min="1" max="1" width="12" style="96" bestFit="1" customWidth="1"/>
    <col min="2" max="2" width="8.875" style="96" bestFit="1" customWidth="1"/>
    <col min="3" max="3" width="28" style="96" bestFit="1" customWidth="1"/>
    <col min="4" max="4" width="15" bestFit="1" customWidth="1"/>
    <col min="5" max="5" width="15" customWidth="1"/>
    <col min="6" max="6" width="11.125" customWidth="1"/>
    <col min="7" max="7" width="12" bestFit="1" customWidth="1"/>
    <col min="8" max="8" width="16.75" bestFit="1" customWidth="1"/>
    <col min="9" max="9" width="16.25" bestFit="1" customWidth="1"/>
    <col min="10" max="10" width="14" bestFit="1" customWidth="1"/>
    <col min="11" max="11" width="20.5" bestFit="1" customWidth="1"/>
    <col min="12" max="12" width="22.75" bestFit="1" customWidth="1"/>
  </cols>
  <sheetData>
    <row r="1" spans="1:14" s="96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6" t="s">
        <v>542</v>
      </c>
    </row>
    <row r="2" spans="1:14" ht="15">
      <c r="A2" s="1903">
        <v>44664</v>
      </c>
      <c r="B2" s="1903" t="s">
        <v>4130</v>
      </c>
      <c r="C2" s="1903" t="s">
        <v>4396</v>
      </c>
      <c r="D2" s="1909" t="s">
        <v>1928</v>
      </c>
      <c r="E2" s="1923">
        <v>4281.53</v>
      </c>
      <c r="F2" s="1927">
        <v>0</v>
      </c>
      <c r="G2" s="1396">
        <f>4281.53-2281.53</f>
        <v>1999.9999999999995</v>
      </c>
      <c r="H2" s="1390"/>
      <c r="I2" s="611">
        <v>1999.9999999999995</v>
      </c>
      <c r="J2" s="1403">
        <v>45062</v>
      </c>
      <c r="K2" s="1401" t="s">
        <v>5127</v>
      </c>
      <c r="L2" s="219"/>
      <c r="M2" s="190"/>
      <c r="N2" s="190"/>
    </row>
    <row r="3" spans="1:14" ht="15">
      <c r="A3" s="1905"/>
      <c r="B3" s="1905"/>
      <c r="C3" s="1905"/>
      <c r="D3" s="1911"/>
      <c r="E3" s="1924"/>
      <c r="F3" s="1928"/>
      <c r="G3" s="611">
        <v>2281.5300000000002</v>
      </c>
      <c r="H3" s="1903">
        <v>44724</v>
      </c>
      <c r="I3" s="2023">
        <v>1827.48</v>
      </c>
      <c r="J3" s="1903">
        <v>44747</v>
      </c>
      <c r="K3" s="1935" t="s">
        <v>2425</v>
      </c>
      <c r="L3" s="219"/>
      <c r="M3" s="190"/>
      <c r="N3" s="190"/>
    </row>
    <row r="4" spans="1:14" ht="15">
      <c r="A4" s="1403">
        <v>44720</v>
      </c>
      <c r="B4" s="1403" t="s">
        <v>4130</v>
      </c>
      <c r="C4" s="1403" t="s">
        <v>4396</v>
      </c>
      <c r="D4" s="1405" t="s">
        <v>2258</v>
      </c>
      <c r="E4" s="1406">
        <v>-454.05</v>
      </c>
      <c r="F4" s="1410">
        <v>0</v>
      </c>
      <c r="G4" s="611">
        <v>-454.05</v>
      </c>
      <c r="H4" s="1905"/>
      <c r="I4" s="2025"/>
      <c r="J4" s="1905"/>
      <c r="K4" s="1947"/>
      <c r="L4" s="219"/>
      <c r="M4" s="190"/>
      <c r="N4" s="190"/>
    </row>
    <row r="5" spans="1:14" ht="15">
      <c r="A5" s="1403">
        <v>44781.000497685185</v>
      </c>
      <c r="B5" s="1403" t="s">
        <v>521</v>
      </c>
      <c r="C5" s="1403" t="s">
        <v>4396</v>
      </c>
      <c r="D5" s="1405" t="s">
        <v>2653</v>
      </c>
      <c r="E5" s="1406">
        <v>0.34</v>
      </c>
      <c r="F5" s="1410">
        <v>0</v>
      </c>
      <c r="G5" s="611">
        <v>0.34</v>
      </c>
      <c r="H5" s="1403">
        <v>44782.000497685185</v>
      </c>
      <c r="I5" s="1927">
        <v>0</v>
      </c>
      <c r="J5" s="1903">
        <v>44785</v>
      </c>
      <c r="K5" s="1938" t="s">
        <v>3585</v>
      </c>
      <c r="L5" s="219"/>
    </row>
    <row r="6" spans="1:14" ht="15">
      <c r="A6" s="1403">
        <v>44781.000497685185</v>
      </c>
      <c r="B6" s="1403" t="s">
        <v>521</v>
      </c>
      <c r="C6" s="1403" t="s">
        <v>4396</v>
      </c>
      <c r="D6" s="1405" t="s">
        <v>2654</v>
      </c>
      <c r="E6" s="1406">
        <v>0.28000000000000003</v>
      </c>
      <c r="F6" s="1410">
        <v>0</v>
      </c>
      <c r="G6" s="611">
        <v>0.28000000000000003</v>
      </c>
      <c r="H6" s="1403">
        <v>44782.000497685185</v>
      </c>
      <c r="I6" s="1960"/>
      <c r="J6" s="1904"/>
      <c r="K6" s="2030"/>
      <c r="L6" s="219"/>
    </row>
    <row r="7" spans="1:14" ht="15">
      <c r="A7" s="1403">
        <v>44781.000497685185</v>
      </c>
      <c r="B7" s="1403" t="s">
        <v>521</v>
      </c>
      <c r="C7" s="1403" t="s">
        <v>4396</v>
      </c>
      <c r="D7" s="1405" t="s">
        <v>2655</v>
      </c>
      <c r="E7" s="1406">
        <v>0.28000000000000003</v>
      </c>
      <c r="F7" s="1410">
        <v>0</v>
      </c>
      <c r="G7" s="611">
        <v>0.28000000000000003</v>
      </c>
      <c r="H7" s="1403">
        <v>44782.000497685185</v>
      </c>
      <c r="I7" s="1960"/>
      <c r="J7" s="1904"/>
      <c r="K7" s="2030"/>
      <c r="L7" s="219"/>
    </row>
    <row r="8" spans="1:14" ht="15">
      <c r="A8" s="1403">
        <v>44782.000497685185</v>
      </c>
      <c r="B8" s="1403" t="s">
        <v>521</v>
      </c>
      <c r="C8" s="1403" t="s">
        <v>4396</v>
      </c>
      <c r="D8" s="1405" t="s">
        <v>2657</v>
      </c>
      <c r="E8" s="1406">
        <v>-0.34</v>
      </c>
      <c r="F8" s="1410">
        <v>0</v>
      </c>
      <c r="G8" s="611">
        <v>-0.34</v>
      </c>
      <c r="H8" s="1403" t="s">
        <v>1529</v>
      </c>
      <c r="I8" s="1960"/>
      <c r="J8" s="1904"/>
      <c r="K8" s="2030"/>
      <c r="L8" s="166" t="s">
        <v>2660</v>
      </c>
    </row>
    <row r="9" spans="1:14" ht="15">
      <c r="A9" s="1403">
        <v>44782.000497685185</v>
      </c>
      <c r="B9" s="1403" t="s">
        <v>521</v>
      </c>
      <c r="C9" s="1403" t="s">
        <v>4396</v>
      </c>
      <c r="D9" s="1405" t="s">
        <v>2658</v>
      </c>
      <c r="E9" s="1406">
        <v>-0.28000000000000003</v>
      </c>
      <c r="F9" s="1410">
        <v>0</v>
      </c>
      <c r="G9" s="611">
        <v>-0.28000000000000003</v>
      </c>
      <c r="H9" s="1403" t="s">
        <v>1529</v>
      </c>
      <c r="I9" s="1960"/>
      <c r="J9" s="1904"/>
      <c r="K9" s="2030"/>
      <c r="L9" s="166" t="s">
        <v>2661</v>
      </c>
    </row>
    <row r="10" spans="1:14" ht="15">
      <c r="A10" s="1403">
        <v>44782.000497685185</v>
      </c>
      <c r="B10" s="1403" t="s">
        <v>521</v>
      </c>
      <c r="C10" s="1403" t="s">
        <v>4396</v>
      </c>
      <c r="D10" s="1405" t="s">
        <v>2659</v>
      </c>
      <c r="E10" s="1406">
        <v>-0.28000000000000003</v>
      </c>
      <c r="F10" s="1410">
        <v>0</v>
      </c>
      <c r="G10" s="611">
        <v>-0.28000000000000003</v>
      </c>
      <c r="H10" s="1403" t="s">
        <v>1529</v>
      </c>
      <c r="I10" s="1928"/>
      <c r="J10" s="1905"/>
      <c r="K10" s="2031"/>
      <c r="L10" s="166" t="s">
        <v>2662</v>
      </c>
    </row>
    <row r="11" spans="1:14" ht="15" customHeight="1">
      <c r="A11" s="1403">
        <v>44781.000497685185</v>
      </c>
      <c r="B11" s="1403" t="s">
        <v>521</v>
      </c>
      <c r="C11" s="1403" t="s">
        <v>4396</v>
      </c>
      <c r="D11" s="1405" t="s">
        <v>2652</v>
      </c>
      <c r="E11" s="1406">
        <v>1247.67</v>
      </c>
      <c r="F11" s="1410">
        <v>0</v>
      </c>
      <c r="G11" s="611">
        <v>1247.67</v>
      </c>
      <c r="H11" s="1403">
        <v>44782.000497685185</v>
      </c>
      <c r="I11" s="1927">
        <v>0</v>
      </c>
      <c r="J11" s="1903">
        <v>44799</v>
      </c>
      <c r="K11" s="1935" t="s">
        <v>3584</v>
      </c>
      <c r="L11" s="219"/>
    </row>
    <row r="12" spans="1:14" ht="15">
      <c r="A12" s="1403">
        <v>44782.000497685185</v>
      </c>
      <c r="B12" s="1403" t="s">
        <v>521</v>
      </c>
      <c r="C12" s="1403" t="s">
        <v>4396</v>
      </c>
      <c r="D12" s="1405" t="s">
        <v>2656</v>
      </c>
      <c r="E12" s="1406">
        <v>-1247.67</v>
      </c>
      <c r="F12" s="1410">
        <v>0</v>
      </c>
      <c r="G12" s="611">
        <v>-1247.67</v>
      </c>
      <c r="H12" s="1403" t="s">
        <v>1529</v>
      </c>
      <c r="I12" s="1928"/>
      <c r="J12" s="1905"/>
      <c r="K12" s="1947"/>
      <c r="L12" s="166" t="s">
        <v>2660</v>
      </c>
    </row>
    <row r="13" spans="1:14" ht="15">
      <c r="A13" s="1403">
        <v>44818</v>
      </c>
      <c r="B13" s="1403" t="s">
        <v>521</v>
      </c>
      <c r="C13" s="1403" t="s">
        <v>4396</v>
      </c>
      <c r="D13" s="1405" t="s">
        <v>2996</v>
      </c>
      <c r="E13" s="1406">
        <v>-588.15</v>
      </c>
      <c r="F13" s="1410">
        <v>0</v>
      </c>
      <c r="G13" s="611">
        <v>-588.15</v>
      </c>
      <c r="H13" s="1403"/>
      <c r="I13" s="611">
        <v>-588.15</v>
      </c>
      <c r="J13" s="1403">
        <v>45062</v>
      </c>
      <c r="K13" s="1401" t="s">
        <v>5126</v>
      </c>
      <c r="L13" s="219"/>
    </row>
    <row r="14" spans="1:14" ht="15">
      <c r="A14" s="1403">
        <v>44825</v>
      </c>
      <c r="B14" s="1403" t="s">
        <v>3057</v>
      </c>
      <c r="C14" s="1403" t="s">
        <v>4396</v>
      </c>
      <c r="D14" s="1405" t="s">
        <v>3053</v>
      </c>
      <c r="E14" s="1406">
        <v>401.18</v>
      </c>
      <c r="F14" s="1410">
        <v>0</v>
      </c>
      <c r="G14" s="611">
        <v>401.18</v>
      </c>
      <c r="H14" s="1403">
        <v>44826</v>
      </c>
      <c r="I14" s="611">
        <v>401.18</v>
      </c>
      <c r="J14" s="1403">
        <v>44830</v>
      </c>
      <c r="K14" s="1401" t="s">
        <v>3201</v>
      </c>
      <c r="L14" s="219"/>
    </row>
    <row r="15" spans="1:14" ht="15">
      <c r="A15" s="1403">
        <v>44844</v>
      </c>
      <c r="B15" s="1403" t="s">
        <v>3057</v>
      </c>
      <c r="C15" s="1403" t="s">
        <v>4396</v>
      </c>
      <c r="D15" s="1405" t="s">
        <v>3250</v>
      </c>
      <c r="E15" s="1406">
        <v>205.2</v>
      </c>
      <c r="F15" s="1410">
        <v>0</v>
      </c>
      <c r="G15" s="611">
        <v>205.2</v>
      </c>
      <c r="H15" s="1403">
        <v>44845</v>
      </c>
      <c r="I15" s="611">
        <v>205.2</v>
      </c>
      <c r="J15" s="1403">
        <v>44852</v>
      </c>
      <c r="K15" s="1401" t="s">
        <v>2425</v>
      </c>
      <c r="L15" s="166"/>
    </row>
    <row r="16" spans="1:14" ht="15">
      <c r="A16" s="1403">
        <v>44867.000497685185</v>
      </c>
      <c r="B16" s="1403" t="s">
        <v>3057</v>
      </c>
      <c r="C16" s="1403" t="s">
        <v>4396</v>
      </c>
      <c r="D16" s="1405" t="s">
        <v>3409</v>
      </c>
      <c r="E16" s="1406">
        <v>158.4</v>
      </c>
      <c r="F16" s="1410">
        <v>0</v>
      </c>
      <c r="G16" s="611">
        <v>158.4</v>
      </c>
      <c r="H16" s="1403">
        <v>44868.000497685185</v>
      </c>
      <c r="I16" s="611">
        <v>158.4</v>
      </c>
      <c r="J16" s="1403">
        <v>44873</v>
      </c>
      <c r="K16" s="1401" t="s">
        <v>2425</v>
      </c>
      <c r="L16" s="219"/>
    </row>
    <row r="17" spans="1:12" ht="15">
      <c r="A17" s="1403">
        <v>44872</v>
      </c>
      <c r="B17" s="1403" t="s">
        <v>3057</v>
      </c>
      <c r="C17" s="1403" t="s">
        <v>4396</v>
      </c>
      <c r="D17" s="1405" t="s">
        <v>3432</v>
      </c>
      <c r="E17" s="1406">
        <v>143.1</v>
      </c>
      <c r="F17" s="1410">
        <v>0</v>
      </c>
      <c r="G17" s="611">
        <v>143.1</v>
      </c>
      <c r="H17" s="1403">
        <v>44873</v>
      </c>
      <c r="I17" s="611">
        <v>143.1</v>
      </c>
      <c r="J17" s="1403">
        <v>44875</v>
      </c>
      <c r="K17" s="1401" t="s">
        <v>2425</v>
      </c>
      <c r="L17" s="219"/>
    </row>
    <row r="18" spans="1:12" ht="15">
      <c r="A18" s="1403">
        <v>44918</v>
      </c>
      <c r="B18" s="1403" t="s">
        <v>3057</v>
      </c>
      <c r="C18" s="1403" t="s">
        <v>5129</v>
      </c>
      <c r="D18" s="1405" t="s">
        <v>3745</v>
      </c>
      <c r="E18" s="1406">
        <v>-688.78</v>
      </c>
      <c r="F18" s="1410">
        <v>0</v>
      </c>
      <c r="G18" s="611">
        <v>-688.78</v>
      </c>
      <c r="H18" s="1403"/>
      <c r="I18" s="611">
        <v>-688.78</v>
      </c>
      <c r="J18" s="1403">
        <v>45062</v>
      </c>
      <c r="K18" s="1401" t="s">
        <v>5127</v>
      </c>
      <c r="L18" s="219"/>
    </row>
    <row r="19" spans="1:12" ht="15">
      <c r="A19" s="1403">
        <v>45058</v>
      </c>
      <c r="B19" s="1403" t="s">
        <v>3057</v>
      </c>
      <c r="C19" s="1403" t="s">
        <v>4396</v>
      </c>
      <c r="D19" s="1405" t="s">
        <v>4962</v>
      </c>
      <c r="E19" s="1406">
        <v>-0.9</v>
      </c>
      <c r="F19" s="1410">
        <v>0</v>
      </c>
      <c r="G19" s="611">
        <v>-0.9</v>
      </c>
      <c r="H19" s="1403"/>
      <c r="I19" s="611">
        <v>-0.9</v>
      </c>
      <c r="J19" s="1403">
        <v>45062</v>
      </c>
      <c r="K19" s="1401" t="s">
        <v>5128</v>
      </c>
      <c r="L19" s="219"/>
    </row>
    <row r="20" spans="1:12" ht="15">
      <c r="A20" s="1403">
        <v>45058</v>
      </c>
      <c r="B20" s="1403" t="s">
        <v>3057</v>
      </c>
      <c r="C20" s="1403" t="s">
        <v>4396</v>
      </c>
      <c r="D20" s="1405" t="s">
        <v>4963</v>
      </c>
      <c r="E20" s="1406">
        <v>-347.18</v>
      </c>
      <c r="F20" s="1410">
        <v>0</v>
      </c>
      <c r="G20" s="611">
        <v>-347.18</v>
      </c>
      <c r="H20" s="1403"/>
      <c r="I20" s="611">
        <v>-347.18</v>
      </c>
      <c r="J20" s="1403">
        <v>45062</v>
      </c>
      <c r="K20" s="1401" t="s">
        <v>5127</v>
      </c>
      <c r="L20" s="219"/>
    </row>
    <row r="21" spans="1:12" ht="15">
      <c r="A21" s="623"/>
      <c r="B21" s="623"/>
      <c r="C21" s="623"/>
      <c r="D21" s="624"/>
      <c r="E21" s="1010"/>
      <c r="F21" s="687"/>
      <c r="G21" s="605"/>
      <c r="H21" s="623"/>
      <c r="I21" s="611"/>
      <c r="J21" s="1003"/>
      <c r="K21" s="1401"/>
      <c r="L21" s="219"/>
    </row>
    <row r="22" spans="1:12" ht="15">
      <c r="A22" s="623"/>
      <c r="B22" s="623"/>
      <c r="C22" s="623"/>
      <c r="D22" s="624"/>
      <c r="E22" s="1010"/>
      <c r="F22" s="687"/>
      <c r="G22" s="605"/>
      <c r="H22" s="623"/>
      <c r="I22" s="611"/>
      <c r="J22" s="632"/>
      <c r="K22" s="1389"/>
      <c r="L22" s="219"/>
    </row>
    <row r="23" spans="1:12" ht="15">
      <c r="A23" s="623"/>
      <c r="B23" s="623"/>
      <c r="C23" s="623"/>
      <c r="D23" s="624"/>
      <c r="E23" s="1010"/>
      <c r="F23" s="687"/>
      <c r="G23" s="605"/>
      <c r="H23" s="623"/>
      <c r="I23" s="611"/>
      <c r="J23" s="632"/>
      <c r="K23" s="1389"/>
      <c r="L23" s="219"/>
    </row>
    <row r="24" spans="1:12" ht="15">
      <c r="A24" s="621"/>
      <c r="B24" s="1125"/>
      <c r="C24" s="1125"/>
      <c r="D24" s="619"/>
      <c r="E24" s="619"/>
      <c r="F24" s="1144" t="s">
        <v>545</v>
      </c>
      <c r="G24" s="651">
        <f>SUM(G2:G23)-SUM(I2:I23)</f>
        <v>0</v>
      </c>
      <c r="H24" s="639"/>
      <c r="I24" s="611"/>
      <c r="J24" s="632"/>
      <c r="K24" s="1389"/>
      <c r="L24" s="219"/>
    </row>
    <row r="25" spans="1:12">
      <c r="K25" s="96"/>
    </row>
    <row r="26" spans="1:12">
      <c r="K26" s="96"/>
    </row>
    <row r="27" spans="1:12">
      <c r="K27" s="96"/>
    </row>
    <row r="28" spans="1:12">
      <c r="K28" s="96"/>
    </row>
    <row r="29" spans="1:12">
      <c r="K29" s="96"/>
    </row>
    <row r="30" spans="1:12">
      <c r="K30" s="96"/>
    </row>
    <row r="31" spans="1:12">
      <c r="K31" s="96"/>
    </row>
    <row r="32" spans="1:12">
      <c r="K32" s="96"/>
    </row>
  </sheetData>
  <mergeCells count="16">
    <mergeCell ref="A2:A3"/>
    <mergeCell ref="F2:F3"/>
    <mergeCell ref="K11:K12"/>
    <mergeCell ref="J11:J12"/>
    <mergeCell ref="I11:I12"/>
    <mergeCell ref="E2:E3"/>
    <mergeCell ref="D2:D3"/>
    <mergeCell ref="K3:K4"/>
    <mergeCell ref="J3:J4"/>
    <mergeCell ref="I3:I4"/>
    <mergeCell ref="H3:H4"/>
    <mergeCell ref="K5:K10"/>
    <mergeCell ref="J5:J10"/>
    <mergeCell ref="I5:I10"/>
    <mergeCell ref="C2:C3"/>
    <mergeCell ref="B2:B3"/>
  </mergeCells>
  <phoneticPr fontId="61" type="noConversion"/>
  <hyperlinks>
    <hyperlink ref="F24" location="汇总!A1" display="剩余欠款"/>
  </hyperlink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108"/>
  <sheetViews>
    <sheetView zoomScaleSheetLayoutView="100" workbookViewId="0">
      <pane ySplit="1" topLeftCell="A77" activePane="bottomLeft" state="frozen"/>
      <selection activeCell="C33" sqref="C33"/>
      <selection pane="bottomLeft" activeCell="F105" sqref="F105"/>
    </sheetView>
  </sheetViews>
  <sheetFormatPr defaultColWidth="8.75" defaultRowHeight="14.25"/>
  <cols>
    <col min="1" max="1" width="13.25" style="276" bestFit="1" customWidth="1"/>
    <col min="2" max="2" width="9" style="276" bestFit="1" customWidth="1"/>
    <col min="3" max="3" width="49.625" style="276" customWidth="1"/>
    <col min="4" max="4" width="16.125" style="138" bestFit="1" customWidth="1"/>
    <col min="5" max="5" width="15.5" style="138" bestFit="1" customWidth="1"/>
    <col min="6" max="6" width="13.125" style="138" bestFit="1" customWidth="1"/>
    <col min="7" max="7" width="15.5" style="224" bestFit="1" customWidth="1"/>
    <col min="8" max="8" width="16.75" style="224" bestFit="1" customWidth="1"/>
    <col min="9" max="9" width="14.125" style="127" bestFit="1" customWidth="1"/>
    <col min="10" max="10" width="14" style="127" bestFit="1" customWidth="1"/>
    <col min="11" max="11" width="13.875" style="138" bestFit="1" customWidth="1"/>
    <col min="12" max="12" width="60.125" style="278" customWidth="1"/>
    <col min="13" max="13" width="10.5" style="237" bestFit="1" customWidth="1"/>
    <col min="14" max="16384" width="8.75" style="237"/>
  </cols>
  <sheetData>
    <row r="1" spans="1:13" s="164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7" t="s">
        <v>2721</v>
      </c>
      <c r="H1" s="257" t="s">
        <v>4099</v>
      </c>
      <c r="I1" s="265" t="s">
        <v>3043</v>
      </c>
      <c r="J1" s="257" t="s">
        <v>4100</v>
      </c>
      <c r="K1" s="257" t="s">
        <v>541</v>
      </c>
      <c r="L1" s="531" t="s">
        <v>542</v>
      </c>
    </row>
    <row r="2" spans="1:13" ht="15">
      <c r="A2" s="664">
        <v>44144</v>
      </c>
      <c r="B2" s="1124" t="s">
        <v>522</v>
      </c>
      <c r="C2" s="1124" t="s">
        <v>4397</v>
      </c>
      <c r="D2" s="647" t="s">
        <v>669</v>
      </c>
      <c r="E2" s="613">
        <v>6943.16</v>
      </c>
      <c r="F2" s="633">
        <v>0</v>
      </c>
      <c r="G2" s="613">
        <v>6943.16</v>
      </c>
      <c r="H2" s="664">
        <v>44174</v>
      </c>
      <c r="I2" s="2063">
        <v>7000</v>
      </c>
      <c r="J2" s="2068">
        <v>44271</v>
      </c>
      <c r="K2" s="2070" t="s">
        <v>670</v>
      </c>
      <c r="L2" s="171" t="s">
        <v>672</v>
      </c>
      <c r="M2" s="294"/>
    </row>
    <row r="3" spans="1:13" ht="15">
      <c r="A3" s="664">
        <v>44154</v>
      </c>
      <c r="B3" s="1124" t="s">
        <v>522</v>
      </c>
      <c r="C3" s="1124" t="s">
        <v>4397</v>
      </c>
      <c r="D3" s="647" t="s">
        <v>673</v>
      </c>
      <c r="E3" s="613">
        <v>3544.87</v>
      </c>
      <c r="F3" s="633">
        <v>0</v>
      </c>
      <c r="G3" s="613">
        <v>3544.87</v>
      </c>
      <c r="H3" s="664">
        <v>44155</v>
      </c>
      <c r="I3" s="2063"/>
      <c r="J3" s="2069"/>
      <c r="K3" s="2070"/>
      <c r="L3" s="171" t="s">
        <v>674</v>
      </c>
      <c r="M3" s="294"/>
    </row>
    <row r="4" spans="1:13" ht="15">
      <c r="A4" s="664">
        <v>44154</v>
      </c>
      <c r="B4" s="1124" t="s">
        <v>522</v>
      </c>
      <c r="C4" s="1124" t="s">
        <v>4397</v>
      </c>
      <c r="D4" s="647" t="s">
        <v>675</v>
      </c>
      <c r="E4" s="613">
        <v>-81.48</v>
      </c>
      <c r="F4" s="633">
        <v>0</v>
      </c>
      <c r="G4" s="613">
        <v>-81.48</v>
      </c>
      <c r="H4" s="664" t="s">
        <v>1529</v>
      </c>
      <c r="I4" s="2063"/>
      <c r="J4" s="2069"/>
      <c r="K4" s="2070"/>
      <c r="L4" s="171" t="s">
        <v>676</v>
      </c>
      <c r="M4" s="294"/>
    </row>
    <row r="5" spans="1:13" ht="15">
      <c r="A5" s="664"/>
      <c r="B5" s="1124"/>
      <c r="C5" s="1124"/>
      <c r="D5" s="647"/>
      <c r="E5" s="613"/>
      <c r="F5" s="633" t="s">
        <v>3095</v>
      </c>
      <c r="G5" s="613">
        <f>SUM(G2:G4)-I2</f>
        <v>3406.5499999999993</v>
      </c>
      <c r="H5" s="665"/>
      <c r="I5" s="689"/>
      <c r="J5" s="647"/>
      <c r="K5" s="524"/>
      <c r="L5" s="171"/>
      <c r="M5" s="294"/>
    </row>
    <row r="6" spans="1:13" ht="15">
      <c r="A6" s="664">
        <v>44146</v>
      </c>
      <c r="B6" s="1124" t="s">
        <v>522</v>
      </c>
      <c r="C6" s="1124" t="s">
        <v>4397</v>
      </c>
      <c r="D6" s="647" t="s">
        <v>677</v>
      </c>
      <c r="E6" s="613">
        <v>3678.21</v>
      </c>
      <c r="F6" s="633">
        <v>772.42</v>
      </c>
      <c r="G6" s="613">
        <v>4450.63</v>
      </c>
      <c r="H6" s="664">
        <v>44147</v>
      </c>
      <c r="I6" s="689">
        <v>4450.63</v>
      </c>
      <c r="J6" s="664">
        <v>44203</v>
      </c>
      <c r="K6" s="524" t="s">
        <v>544</v>
      </c>
      <c r="L6" s="171" t="s">
        <v>678</v>
      </c>
      <c r="M6" s="294"/>
    </row>
    <row r="7" spans="1:13" ht="15">
      <c r="A7" s="664">
        <v>44187</v>
      </c>
      <c r="B7" s="1124" t="s">
        <v>522</v>
      </c>
      <c r="C7" s="1124" t="s">
        <v>4397</v>
      </c>
      <c r="D7" s="647" t="s">
        <v>679</v>
      </c>
      <c r="E7" s="613">
        <v>812.4</v>
      </c>
      <c r="F7" s="633">
        <v>170.6</v>
      </c>
      <c r="G7" s="613">
        <v>983</v>
      </c>
      <c r="H7" s="664">
        <v>44188</v>
      </c>
      <c r="I7" s="689">
        <v>983</v>
      </c>
      <c r="J7" s="664">
        <v>44195</v>
      </c>
      <c r="K7" s="524" t="s">
        <v>544</v>
      </c>
      <c r="L7" s="171" t="s">
        <v>680</v>
      </c>
      <c r="M7" s="294"/>
    </row>
    <row r="8" spans="1:13" ht="15">
      <c r="A8" s="664">
        <v>44203</v>
      </c>
      <c r="B8" s="1124" t="s">
        <v>522</v>
      </c>
      <c r="C8" s="1124" t="s">
        <v>4397</v>
      </c>
      <c r="D8" s="647" t="s">
        <v>681</v>
      </c>
      <c r="E8" s="613">
        <v>658.8</v>
      </c>
      <c r="F8" s="633">
        <v>138.35</v>
      </c>
      <c r="G8" s="613">
        <v>797.15</v>
      </c>
      <c r="H8" s="664">
        <v>44204</v>
      </c>
      <c r="I8" s="689">
        <v>797.15</v>
      </c>
      <c r="J8" s="664">
        <v>44237</v>
      </c>
      <c r="K8" s="524" t="s">
        <v>544</v>
      </c>
      <c r="L8" s="171" t="s">
        <v>682</v>
      </c>
      <c r="M8" s="294"/>
    </row>
    <row r="9" spans="1:13" ht="15">
      <c r="A9" s="664">
        <v>44245</v>
      </c>
      <c r="B9" s="1124" t="s">
        <v>522</v>
      </c>
      <c r="C9" s="1124" t="s">
        <v>4397</v>
      </c>
      <c r="D9" s="647" t="s">
        <v>683</v>
      </c>
      <c r="E9" s="613">
        <v>621.6</v>
      </c>
      <c r="F9" s="633">
        <v>130.54</v>
      </c>
      <c r="G9" s="613">
        <v>752.14</v>
      </c>
      <c r="H9" s="664">
        <v>44246</v>
      </c>
      <c r="I9" s="2063">
        <v>743.62</v>
      </c>
      <c r="J9" s="2068">
        <v>44270</v>
      </c>
      <c r="K9" s="2070" t="s">
        <v>544</v>
      </c>
      <c r="L9" s="171" t="s">
        <v>682</v>
      </c>
      <c r="M9" s="294"/>
    </row>
    <row r="10" spans="1:13" ht="15">
      <c r="A10" s="664">
        <v>44246</v>
      </c>
      <c r="B10" s="1124" t="s">
        <v>522</v>
      </c>
      <c r="C10" s="1124" t="s">
        <v>4397</v>
      </c>
      <c r="D10" s="647" t="s">
        <v>685</v>
      </c>
      <c r="E10" s="613">
        <v>1.06</v>
      </c>
      <c r="F10" s="633">
        <v>0.22</v>
      </c>
      <c r="G10" s="613">
        <v>1.28</v>
      </c>
      <c r="H10" s="664">
        <v>44247</v>
      </c>
      <c r="I10" s="2063"/>
      <c r="J10" s="2069"/>
      <c r="K10" s="2070"/>
      <c r="L10" s="171" t="s">
        <v>686</v>
      </c>
      <c r="M10" s="294"/>
    </row>
    <row r="11" spans="1:13" ht="15">
      <c r="A11" s="664">
        <v>44246</v>
      </c>
      <c r="B11" s="1124" t="s">
        <v>522</v>
      </c>
      <c r="C11" s="1124" t="s">
        <v>4397</v>
      </c>
      <c r="D11" s="647" t="s">
        <v>687</v>
      </c>
      <c r="E11" s="613">
        <v>-8.1</v>
      </c>
      <c r="F11" s="633">
        <v>-1.7</v>
      </c>
      <c r="G11" s="613">
        <v>-9.8000000000000007</v>
      </c>
      <c r="H11" s="664" t="s">
        <v>1529</v>
      </c>
      <c r="I11" s="2063"/>
      <c r="J11" s="2069"/>
      <c r="K11" s="2070"/>
      <c r="L11" s="171" t="s">
        <v>389</v>
      </c>
      <c r="M11" s="294"/>
    </row>
    <row r="12" spans="1:13" ht="15">
      <c r="A12" s="664">
        <v>44267</v>
      </c>
      <c r="B12" s="1124" t="s">
        <v>522</v>
      </c>
      <c r="C12" s="1124" t="s">
        <v>4397</v>
      </c>
      <c r="D12" s="647" t="s">
        <v>688</v>
      </c>
      <c r="E12" s="613">
        <v>442.2</v>
      </c>
      <c r="F12" s="633">
        <v>92.86</v>
      </c>
      <c r="G12" s="613">
        <v>535.05999999999995</v>
      </c>
      <c r="H12" s="664">
        <v>44268</v>
      </c>
      <c r="I12" s="689">
        <v>535.05999999999995</v>
      </c>
      <c r="J12" s="664">
        <v>44291</v>
      </c>
      <c r="K12" s="524" t="s">
        <v>544</v>
      </c>
      <c r="L12" s="171" t="s">
        <v>689</v>
      </c>
      <c r="M12" s="294"/>
    </row>
    <row r="13" spans="1:13" ht="15">
      <c r="A13" s="664">
        <v>44293</v>
      </c>
      <c r="B13" s="1124" t="s">
        <v>522</v>
      </c>
      <c r="C13" s="1124" t="s">
        <v>4397</v>
      </c>
      <c r="D13" s="647" t="s">
        <v>690</v>
      </c>
      <c r="E13" s="613">
        <v>537</v>
      </c>
      <c r="F13" s="633">
        <v>112.77</v>
      </c>
      <c r="G13" s="613">
        <v>649.77</v>
      </c>
      <c r="H13" s="664">
        <v>44294</v>
      </c>
      <c r="I13" s="689">
        <v>649.77</v>
      </c>
      <c r="J13" s="664">
        <v>44333</v>
      </c>
      <c r="K13" s="524" t="s">
        <v>544</v>
      </c>
      <c r="L13" s="171"/>
      <c r="M13" s="294"/>
    </row>
    <row r="14" spans="1:13" ht="15">
      <c r="A14" s="664">
        <v>44271</v>
      </c>
      <c r="B14" s="1124" t="s">
        <v>522</v>
      </c>
      <c r="C14" s="1124" t="s">
        <v>4397</v>
      </c>
      <c r="D14" s="647" t="s">
        <v>691</v>
      </c>
      <c r="E14" s="613">
        <v>1152.8399999999999</v>
      </c>
      <c r="F14" s="633">
        <v>0</v>
      </c>
      <c r="G14" s="613">
        <v>1152.8399999999999</v>
      </c>
      <c r="H14" s="664">
        <v>44272</v>
      </c>
      <c r="I14" s="2063">
        <v>4000</v>
      </c>
      <c r="J14" s="2068">
        <v>44342</v>
      </c>
      <c r="K14" s="2070" t="s">
        <v>550</v>
      </c>
      <c r="L14" s="171" t="s">
        <v>692</v>
      </c>
      <c r="M14" s="294"/>
    </row>
    <row r="15" spans="1:13" ht="15">
      <c r="A15" s="664">
        <v>44273</v>
      </c>
      <c r="B15" s="1124" t="s">
        <v>522</v>
      </c>
      <c r="C15" s="1124" t="s">
        <v>4397</v>
      </c>
      <c r="D15" s="647" t="s">
        <v>693</v>
      </c>
      <c r="E15" s="613">
        <v>-40</v>
      </c>
      <c r="F15" s="633">
        <v>0</v>
      </c>
      <c r="G15" s="613">
        <v>-40</v>
      </c>
      <c r="H15" s="664" t="s">
        <v>1529</v>
      </c>
      <c r="I15" s="2063"/>
      <c r="J15" s="2069"/>
      <c r="K15" s="2070"/>
      <c r="L15" s="171" t="s">
        <v>694</v>
      </c>
      <c r="M15" s="294"/>
    </row>
    <row r="16" spans="1:13" ht="15">
      <c r="A16" s="664">
        <v>44277</v>
      </c>
      <c r="B16" s="1124" t="s">
        <v>522</v>
      </c>
      <c r="C16" s="1124" t="s">
        <v>4397</v>
      </c>
      <c r="D16" s="647" t="s">
        <v>695</v>
      </c>
      <c r="E16" s="613">
        <v>50.03</v>
      </c>
      <c r="F16" s="633">
        <v>0</v>
      </c>
      <c r="G16" s="613">
        <v>50.03</v>
      </c>
      <c r="H16" s="664">
        <v>44278</v>
      </c>
      <c r="I16" s="2063"/>
      <c r="J16" s="2069"/>
      <c r="K16" s="2070"/>
      <c r="L16" s="277" t="s">
        <v>696</v>
      </c>
      <c r="M16" s="294"/>
    </row>
    <row r="17" spans="1:13" ht="15">
      <c r="A17" s="664">
        <v>44280</v>
      </c>
      <c r="B17" s="1124" t="s">
        <v>522</v>
      </c>
      <c r="C17" s="1124" t="s">
        <v>4397</v>
      </c>
      <c r="D17" s="647" t="s">
        <v>697</v>
      </c>
      <c r="E17" s="613">
        <v>0.02</v>
      </c>
      <c r="F17" s="633">
        <v>0</v>
      </c>
      <c r="G17" s="613">
        <v>0.02</v>
      </c>
      <c r="H17" s="664">
        <v>44281</v>
      </c>
      <c r="I17" s="2063"/>
      <c r="J17" s="2069"/>
      <c r="K17" s="2070"/>
      <c r="L17" s="277" t="s">
        <v>698</v>
      </c>
      <c r="M17" s="294"/>
    </row>
    <row r="18" spans="1:13" ht="15">
      <c r="A18" s="664">
        <v>44281</v>
      </c>
      <c r="B18" s="1124" t="s">
        <v>522</v>
      </c>
      <c r="C18" s="1124" t="s">
        <v>4397</v>
      </c>
      <c r="D18" s="647" t="s">
        <v>699</v>
      </c>
      <c r="E18" s="613">
        <v>4601.1000000000004</v>
      </c>
      <c r="F18" s="633">
        <v>0</v>
      </c>
      <c r="G18" s="613">
        <v>4601.1000000000004</v>
      </c>
      <c r="H18" s="664">
        <v>44282</v>
      </c>
      <c r="I18" s="2063"/>
      <c r="J18" s="2069"/>
      <c r="K18" s="2070"/>
      <c r="L18" s="277" t="s">
        <v>700</v>
      </c>
      <c r="M18" s="294"/>
    </row>
    <row r="19" spans="1:13" ht="15">
      <c r="A19" s="664">
        <v>44285</v>
      </c>
      <c r="B19" s="1124" t="s">
        <v>522</v>
      </c>
      <c r="C19" s="1124" t="s">
        <v>4397</v>
      </c>
      <c r="D19" s="647" t="s">
        <v>702</v>
      </c>
      <c r="E19" s="613">
        <v>-149.61000000000001</v>
      </c>
      <c r="F19" s="633">
        <v>-31.42</v>
      </c>
      <c r="G19" s="613">
        <v>-181.03</v>
      </c>
      <c r="H19" s="664" t="s">
        <v>1529</v>
      </c>
      <c r="I19" s="2063"/>
      <c r="J19" s="2069"/>
      <c r="K19" s="2070"/>
      <c r="L19" s="171" t="s">
        <v>703</v>
      </c>
      <c r="M19" s="294"/>
    </row>
    <row r="20" spans="1:13" ht="15">
      <c r="A20" s="664">
        <v>44285</v>
      </c>
      <c r="B20" s="1124" t="s">
        <v>522</v>
      </c>
      <c r="C20" s="1124" t="s">
        <v>4397</v>
      </c>
      <c r="D20" s="647" t="s">
        <v>704</v>
      </c>
      <c r="E20" s="613">
        <v>-1127.03</v>
      </c>
      <c r="F20" s="633">
        <v>0</v>
      </c>
      <c r="G20" s="613">
        <v>-1127.03</v>
      </c>
      <c r="H20" s="664" t="s">
        <v>1529</v>
      </c>
      <c r="I20" s="2063"/>
      <c r="J20" s="2069"/>
      <c r="K20" s="2070"/>
      <c r="L20" s="171" t="s">
        <v>705</v>
      </c>
      <c r="M20" s="294"/>
    </row>
    <row r="21" spans="1:13" ht="15">
      <c r="A21" s="664">
        <v>44286</v>
      </c>
      <c r="B21" s="1124" t="s">
        <v>522</v>
      </c>
      <c r="C21" s="1124" t="s">
        <v>4397</v>
      </c>
      <c r="D21" s="647" t="s">
        <v>706</v>
      </c>
      <c r="E21" s="613">
        <v>-31.92</v>
      </c>
      <c r="F21" s="633">
        <v>0</v>
      </c>
      <c r="G21" s="613">
        <v>-31.92</v>
      </c>
      <c r="H21" s="664" t="s">
        <v>1529</v>
      </c>
      <c r="I21" s="2063"/>
      <c r="J21" s="2069"/>
      <c r="K21" s="2070"/>
      <c r="L21" s="171" t="s">
        <v>705</v>
      </c>
      <c r="M21" s="294"/>
    </row>
    <row r="22" spans="1:13" ht="15">
      <c r="A22" s="664">
        <v>44286</v>
      </c>
      <c r="B22" s="1124" t="s">
        <v>522</v>
      </c>
      <c r="C22" s="1124" t="s">
        <v>4397</v>
      </c>
      <c r="D22" s="647" t="s">
        <v>707</v>
      </c>
      <c r="E22" s="613">
        <v>-815.71</v>
      </c>
      <c r="F22" s="633">
        <v>0</v>
      </c>
      <c r="G22" s="613">
        <v>-815.71</v>
      </c>
      <c r="H22" s="664" t="s">
        <v>1529</v>
      </c>
      <c r="I22" s="2063"/>
      <c r="J22" s="2069"/>
      <c r="K22" s="2070"/>
      <c r="L22" s="171" t="s">
        <v>705</v>
      </c>
      <c r="M22" s="294"/>
    </row>
    <row r="23" spans="1:13" ht="15">
      <c r="A23" s="664">
        <v>44286</v>
      </c>
      <c r="B23" s="1124" t="s">
        <v>522</v>
      </c>
      <c r="C23" s="1124" t="s">
        <v>4397</v>
      </c>
      <c r="D23" s="647" t="s">
        <v>708</v>
      </c>
      <c r="E23" s="613">
        <v>-276.48</v>
      </c>
      <c r="F23" s="633">
        <v>-58.06</v>
      </c>
      <c r="G23" s="613">
        <v>-334.54</v>
      </c>
      <c r="H23" s="664" t="s">
        <v>1529</v>
      </c>
      <c r="I23" s="2063"/>
      <c r="J23" s="2069"/>
      <c r="K23" s="2070"/>
      <c r="L23" s="171" t="s">
        <v>703</v>
      </c>
      <c r="M23" s="294"/>
    </row>
    <row r="24" spans="1:13" ht="15">
      <c r="A24" s="664">
        <v>44330</v>
      </c>
      <c r="B24" s="1124" t="s">
        <v>522</v>
      </c>
      <c r="C24" s="1124" t="s">
        <v>4397</v>
      </c>
      <c r="D24" s="647" t="s">
        <v>709</v>
      </c>
      <c r="E24" s="613">
        <v>429.6</v>
      </c>
      <c r="F24" s="633">
        <v>90.22</v>
      </c>
      <c r="G24" s="613">
        <v>519.82000000000005</v>
      </c>
      <c r="H24" s="664">
        <v>44331</v>
      </c>
      <c r="I24" s="2063"/>
      <c r="J24" s="2069"/>
      <c r="K24" s="2070"/>
      <c r="L24" s="171"/>
      <c r="M24" s="294"/>
    </row>
    <row r="25" spans="1:13" ht="15">
      <c r="A25" s="664"/>
      <c r="B25" s="1124"/>
      <c r="C25" s="1124"/>
      <c r="D25" s="647"/>
      <c r="E25" s="613"/>
      <c r="F25" s="633" t="s">
        <v>3095</v>
      </c>
      <c r="G25" s="613">
        <f>SUM(G5:G24)-I6-I7-I8-I9-I12-I13</f>
        <v>7200.1300000000028</v>
      </c>
      <c r="H25" s="665"/>
      <c r="I25" s="2063"/>
      <c r="J25" s="2069"/>
      <c r="K25" s="2070"/>
      <c r="L25" s="171"/>
      <c r="M25" s="294"/>
    </row>
    <row r="26" spans="1:13" ht="15">
      <c r="A26" s="664">
        <v>44348</v>
      </c>
      <c r="B26" s="1124" t="s">
        <v>522</v>
      </c>
      <c r="C26" s="1124" t="s">
        <v>4397</v>
      </c>
      <c r="D26" s="647" t="s">
        <v>710</v>
      </c>
      <c r="E26" s="613">
        <v>927.33</v>
      </c>
      <c r="F26" s="633">
        <v>194.74</v>
      </c>
      <c r="G26" s="613">
        <v>1122.07</v>
      </c>
      <c r="H26" s="664">
        <v>44349</v>
      </c>
      <c r="I26" s="689">
        <v>1122.07</v>
      </c>
      <c r="J26" s="664">
        <v>44378</v>
      </c>
      <c r="K26" s="524" t="s">
        <v>544</v>
      </c>
      <c r="L26" s="171"/>
      <c r="M26" s="294"/>
    </row>
    <row r="27" spans="1:13" ht="15">
      <c r="A27" s="664"/>
      <c r="B27" s="1124"/>
      <c r="C27" s="1124"/>
      <c r="D27" s="647"/>
      <c r="E27" s="613"/>
      <c r="F27" s="633" t="s">
        <v>3095</v>
      </c>
      <c r="G27" s="613">
        <f>SUM(G25:G26)-I14-I26</f>
        <v>3200.1300000000028</v>
      </c>
      <c r="H27" s="665"/>
      <c r="I27" s="689">
        <v>854.38</v>
      </c>
      <c r="J27" s="664">
        <v>44418</v>
      </c>
      <c r="K27" s="524" t="s">
        <v>544</v>
      </c>
      <c r="L27" s="171"/>
      <c r="M27" s="294"/>
    </row>
    <row r="28" spans="1:13" ht="15">
      <c r="A28" s="664"/>
      <c r="B28" s="1124"/>
      <c r="C28" s="1124"/>
      <c r="D28" s="647"/>
      <c r="E28" s="613"/>
      <c r="F28" s="633" t="s">
        <v>3095</v>
      </c>
      <c r="G28" s="613">
        <f>G27-I27</f>
        <v>2345.7500000000027</v>
      </c>
      <c r="H28" s="665"/>
      <c r="I28" s="2063">
        <v>5000</v>
      </c>
      <c r="J28" s="2068">
        <v>44455</v>
      </c>
      <c r="K28" s="2070" t="s">
        <v>550</v>
      </c>
      <c r="L28" s="171"/>
      <c r="M28" s="294"/>
    </row>
    <row r="29" spans="1:13" ht="15">
      <c r="A29" s="664">
        <v>44390</v>
      </c>
      <c r="B29" s="1124" t="s">
        <v>522</v>
      </c>
      <c r="C29" s="1124" t="s">
        <v>4397</v>
      </c>
      <c r="D29" s="647" t="s">
        <v>711</v>
      </c>
      <c r="E29" s="613">
        <v>784.56</v>
      </c>
      <c r="F29" s="633">
        <v>0</v>
      </c>
      <c r="G29" s="613">
        <v>784.56</v>
      </c>
      <c r="H29" s="664">
        <v>44391</v>
      </c>
      <c r="I29" s="2063"/>
      <c r="J29" s="2069"/>
      <c r="K29" s="2070"/>
      <c r="L29" s="171"/>
      <c r="M29" s="294"/>
    </row>
    <row r="30" spans="1:13" ht="15">
      <c r="A30" s="664">
        <v>44414</v>
      </c>
      <c r="B30" s="1124" t="s">
        <v>522</v>
      </c>
      <c r="C30" s="1124" t="s">
        <v>4397</v>
      </c>
      <c r="D30" s="647" t="s">
        <v>712</v>
      </c>
      <c r="E30" s="613">
        <v>69.819999999999993</v>
      </c>
      <c r="F30" s="633">
        <v>0</v>
      </c>
      <c r="G30" s="613">
        <v>69.819999999999993</v>
      </c>
      <c r="H30" s="664">
        <v>44415</v>
      </c>
      <c r="I30" s="2063"/>
      <c r="J30" s="2069"/>
      <c r="K30" s="2070"/>
      <c r="L30" s="171"/>
      <c r="M30" s="294"/>
    </row>
    <row r="31" spans="1:13" ht="15">
      <c r="A31" s="664">
        <v>44414</v>
      </c>
      <c r="B31" s="1124" t="s">
        <v>522</v>
      </c>
      <c r="C31" s="1124" t="s">
        <v>4397</v>
      </c>
      <c r="D31" s="647" t="s">
        <v>713</v>
      </c>
      <c r="E31" s="613">
        <v>1137.5</v>
      </c>
      <c r="F31" s="633">
        <v>0</v>
      </c>
      <c r="G31" s="613">
        <v>1137.5</v>
      </c>
      <c r="H31" s="664">
        <v>44415</v>
      </c>
      <c r="I31" s="2063"/>
      <c r="J31" s="2069"/>
      <c r="K31" s="2070"/>
      <c r="L31" s="171"/>
      <c r="M31" s="294"/>
    </row>
    <row r="32" spans="1:13" ht="15">
      <c r="A32" s="664">
        <v>44419</v>
      </c>
      <c r="B32" s="1124" t="s">
        <v>522</v>
      </c>
      <c r="C32" s="1124" t="s">
        <v>4397</v>
      </c>
      <c r="D32" s="647" t="s">
        <v>714</v>
      </c>
      <c r="E32" s="613">
        <v>147.44999999999999</v>
      </c>
      <c r="F32" s="633">
        <v>0</v>
      </c>
      <c r="G32" s="613">
        <v>147.44999999999999</v>
      </c>
      <c r="H32" s="664">
        <v>44420</v>
      </c>
      <c r="I32" s="2063"/>
      <c r="J32" s="2069"/>
      <c r="K32" s="2070"/>
      <c r="L32" s="171"/>
      <c r="M32" s="294"/>
    </row>
    <row r="33" spans="1:13" ht="15">
      <c r="A33" s="664">
        <v>44420</v>
      </c>
      <c r="B33" s="1124" t="s">
        <v>522</v>
      </c>
      <c r="C33" s="1124" t="s">
        <v>4397</v>
      </c>
      <c r="D33" s="647" t="s">
        <v>715</v>
      </c>
      <c r="E33" s="613">
        <v>364</v>
      </c>
      <c r="F33" s="633">
        <v>0</v>
      </c>
      <c r="G33" s="613">
        <v>364</v>
      </c>
      <c r="H33" s="664">
        <v>44421</v>
      </c>
      <c r="I33" s="2063"/>
      <c r="J33" s="2069"/>
      <c r="K33" s="2070"/>
      <c r="L33" s="171" t="s">
        <v>716</v>
      </c>
      <c r="M33" s="294"/>
    </row>
    <row r="34" spans="1:13" ht="15">
      <c r="A34" s="664">
        <v>44420</v>
      </c>
      <c r="B34" s="1124" t="s">
        <v>522</v>
      </c>
      <c r="C34" s="1124" t="s">
        <v>4397</v>
      </c>
      <c r="D34" s="647" t="s">
        <v>717</v>
      </c>
      <c r="E34" s="613">
        <v>133</v>
      </c>
      <c r="F34" s="633">
        <v>0</v>
      </c>
      <c r="G34" s="613">
        <v>133</v>
      </c>
      <c r="H34" s="664">
        <v>44421</v>
      </c>
      <c r="I34" s="2063"/>
      <c r="J34" s="2069"/>
      <c r="K34" s="2070"/>
      <c r="L34" s="171" t="s">
        <v>718</v>
      </c>
      <c r="M34" s="294"/>
    </row>
    <row r="35" spans="1:13" ht="15">
      <c r="A35" s="664">
        <v>44438</v>
      </c>
      <c r="B35" s="1124" t="s">
        <v>522</v>
      </c>
      <c r="C35" s="1124" t="s">
        <v>4397</v>
      </c>
      <c r="D35" s="647" t="s">
        <v>719</v>
      </c>
      <c r="E35" s="613">
        <v>65.099999999999994</v>
      </c>
      <c r="F35" s="633">
        <v>0</v>
      </c>
      <c r="G35" s="613">
        <v>65.099999999999994</v>
      </c>
      <c r="H35" s="664">
        <v>44439</v>
      </c>
      <c r="I35" s="2063"/>
      <c r="J35" s="2069"/>
      <c r="K35" s="2070"/>
      <c r="L35" s="171" t="s">
        <v>720</v>
      </c>
      <c r="M35" s="294"/>
    </row>
    <row r="36" spans="1:13" ht="15">
      <c r="A36" s="664"/>
      <c r="B36" s="1124"/>
      <c r="C36" s="1124"/>
      <c r="D36" s="647"/>
      <c r="E36" s="613"/>
      <c r="F36" s="633" t="s">
        <v>3095</v>
      </c>
      <c r="G36" s="613">
        <f>SUM(G28:G35)-I28</f>
        <v>47.18000000000302</v>
      </c>
      <c r="H36" s="665"/>
      <c r="I36" s="2063">
        <v>5000</v>
      </c>
      <c r="J36" s="2068">
        <v>44498</v>
      </c>
      <c r="K36" s="2070" t="s">
        <v>550</v>
      </c>
      <c r="L36" s="171"/>
      <c r="M36" s="294"/>
    </row>
    <row r="37" spans="1:13" ht="15">
      <c r="A37" s="664">
        <v>44438</v>
      </c>
      <c r="B37" s="1124" t="s">
        <v>522</v>
      </c>
      <c r="C37" s="1124" t="s">
        <v>4397</v>
      </c>
      <c r="D37" s="647" t="s">
        <v>721</v>
      </c>
      <c r="E37" s="613">
        <v>950.74</v>
      </c>
      <c r="F37" s="633">
        <v>0</v>
      </c>
      <c r="G37" s="613">
        <v>950.74</v>
      </c>
      <c r="H37" s="664">
        <v>44439</v>
      </c>
      <c r="I37" s="2063"/>
      <c r="J37" s="2069"/>
      <c r="K37" s="2070"/>
      <c r="L37" s="171" t="s">
        <v>722</v>
      </c>
      <c r="M37" s="294"/>
    </row>
    <row r="38" spans="1:13" ht="15">
      <c r="A38" s="664">
        <v>44455</v>
      </c>
      <c r="B38" s="1124" t="s">
        <v>522</v>
      </c>
      <c r="C38" s="1124" t="s">
        <v>4397</v>
      </c>
      <c r="D38" s="647" t="s">
        <v>723</v>
      </c>
      <c r="E38" s="613">
        <v>5152.03</v>
      </c>
      <c r="F38" s="633">
        <v>0</v>
      </c>
      <c r="G38" s="613">
        <v>5152.03</v>
      </c>
      <c r="H38" s="664">
        <v>44456</v>
      </c>
      <c r="I38" s="2063"/>
      <c r="J38" s="2069"/>
      <c r="K38" s="2070"/>
      <c r="L38" s="171" t="s">
        <v>724</v>
      </c>
      <c r="M38" s="294"/>
    </row>
    <row r="39" spans="1:13" ht="15">
      <c r="A39" s="664"/>
      <c r="B39" s="1124"/>
      <c r="C39" s="1124"/>
      <c r="D39" s="647"/>
      <c r="E39" s="613"/>
      <c r="F39" s="633" t="s">
        <v>3095</v>
      </c>
      <c r="G39" s="613">
        <f>SUM(G36:G38)-I36</f>
        <v>1149.9500000000025</v>
      </c>
      <c r="H39" s="665"/>
      <c r="I39" s="2063">
        <v>3000</v>
      </c>
      <c r="J39" s="2068">
        <v>44539</v>
      </c>
      <c r="K39" s="2070" t="s">
        <v>550</v>
      </c>
      <c r="L39" s="171"/>
      <c r="M39" s="294"/>
    </row>
    <row r="40" spans="1:13" ht="15">
      <c r="A40" s="664">
        <v>44455</v>
      </c>
      <c r="B40" s="1124" t="s">
        <v>522</v>
      </c>
      <c r="C40" s="1124" t="s">
        <v>4397</v>
      </c>
      <c r="D40" s="647" t="s">
        <v>725</v>
      </c>
      <c r="E40" s="613">
        <v>28.35</v>
      </c>
      <c r="F40" s="633">
        <v>0</v>
      </c>
      <c r="G40" s="613">
        <v>28.35</v>
      </c>
      <c r="H40" s="664">
        <v>44456</v>
      </c>
      <c r="I40" s="2063"/>
      <c r="J40" s="2069"/>
      <c r="K40" s="2070"/>
      <c r="L40" s="171" t="s">
        <v>726</v>
      </c>
      <c r="M40" s="294"/>
    </row>
    <row r="41" spans="1:13" ht="15">
      <c r="A41" s="664">
        <v>44498</v>
      </c>
      <c r="B41" s="1124" t="s">
        <v>522</v>
      </c>
      <c r="C41" s="1124" t="s">
        <v>4397</v>
      </c>
      <c r="D41" s="647" t="s">
        <v>727</v>
      </c>
      <c r="E41" s="613">
        <v>2327.08</v>
      </c>
      <c r="F41" s="633">
        <v>0</v>
      </c>
      <c r="G41" s="613">
        <v>2327.08</v>
      </c>
      <c r="H41" s="664">
        <v>44499</v>
      </c>
      <c r="I41" s="2063"/>
      <c r="J41" s="2069"/>
      <c r="K41" s="2070"/>
      <c r="L41" s="171"/>
      <c r="M41" s="294"/>
    </row>
    <row r="42" spans="1:13" ht="15">
      <c r="A42" s="664"/>
      <c r="B42" s="1124"/>
      <c r="C42" s="1124"/>
      <c r="D42" s="647"/>
      <c r="E42" s="613"/>
      <c r="F42" s="633" t="s">
        <v>3095</v>
      </c>
      <c r="G42" s="613">
        <f>SUM(G39:G41)-I39</f>
        <v>505.38000000000238</v>
      </c>
      <c r="H42" s="665"/>
      <c r="I42" s="2063">
        <v>3000</v>
      </c>
      <c r="J42" s="2068">
        <v>44564</v>
      </c>
      <c r="K42" s="2070" t="s">
        <v>550</v>
      </c>
      <c r="L42" s="171"/>
      <c r="M42" s="294"/>
    </row>
    <row r="43" spans="1:13" ht="15">
      <c r="A43" s="664">
        <v>44520</v>
      </c>
      <c r="B43" s="1124" t="s">
        <v>522</v>
      </c>
      <c r="C43" s="1124" t="s">
        <v>4397</v>
      </c>
      <c r="D43" s="647" t="s">
        <v>728</v>
      </c>
      <c r="E43" s="613">
        <v>1100.8900000000001</v>
      </c>
      <c r="F43" s="633">
        <v>0</v>
      </c>
      <c r="G43" s="613">
        <v>1100.8900000000001</v>
      </c>
      <c r="H43" s="664">
        <v>44521</v>
      </c>
      <c r="I43" s="2063"/>
      <c r="J43" s="2069"/>
      <c r="K43" s="2070"/>
      <c r="L43" s="171"/>
      <c r="M43" s="294"/>
    </row>
    <row r="44" spans="1:13" ht="15">
      <c r="A44" s="664">
        <v>44537</v>
      </c>
      <c r="B44" s="1124" t="s">
        <v>522</v>
      </c>
      <c r="C44" s="1124" t="s">
        <v>4397</v>
      </c>
      <c r="D44" s="647" t="s">
        <v>729</v>
      </c>
      <c r="E44" s="613">
        <v>896.75</v>
      </c>
      <c r="F44" s="633">
        <v>0</v>
      </c>
      <c r="G44" s="613">
        <v>896.75</v>
      </c>
      <c r="H44" s="664">
        <v>44538</v>
      </c>
      <c r="I44" s="2063"/>
      <c r="J44" s="2069"/>
      <c r="K44" s="2070"/>
      <c r="L44" s="171"/>
      <c r="M44" s="294"/>
    </row>
    <row r="45" spans="1:13" ht="15">
      <c r="A45" s="664">
        <v>44558</v>
      </c>
      <c r="B45" s="1124" t="s">
        <v>522</v>
      </c>
      <c r="C45" s="1124" t="s">
        <v>4397</v>
      </c>
      <c r="D45" s="647" t="s">
        <v>730</v>
      </c>
      <c r="E45" s="613">
        <v>851.83</v>
      </c>
      <c r="F45" s="633">
        <v>0</v>
      </c>
      <c r="G45" s="613">
        <v>851.83</v>
      </c>
      <c r="H45" s="664">
        <v>44559</v>
      </c>
      <c r="I45" s="2063"/>
      <c r="J45" s="2069"/>
      <c r="K45" s="2070"/>
      <c r="L45" s="171"/>
      <c r="M45" s="294"/>
    </row>
    <row r="46" spans="1:13" ht="15">
      <c r="A46" s="664"/>
      <c r="B46" s="1124"/>
      <c r="C46" s="1124"/>
      <c r="D46" s="647"/>
      <c r="E46" s="613"/>
      <c r="F46" s="633" t="s">
        <v>3095</v>
      </c>
      <c r="G46" s="613">
        <f>SUM(G42:G45)-I42</f>
        <v>354.85000000000218</v>
      </c>
      <c r="H46" s="665"/>
      <c r="I46" s="2064">
        <v>3000</v>
      </c>
      <c r="J46" s="2068">
        <v>44606</v>
      </c>
      <c r="K46" s="2070" t="s">
        <v>550</v>
      </c>
      <c r="L46" s="171"/>
      <c r="M46" s="294"/>
    </row>
    <row r="47" spans="1:13" ht="15">
      <c r="A47" s="664">
        <v>44578</v>
      </c>
      <c r="B47" s="1124" t="s">
        <v>522</v>
      </c>
      <c r="C47" s="1124" t="s">
        <v>4397</v>
      </c>
      <c r="D47" s="647" t="s">
        <v>731</v>
      </c>
      <c r="E47" s="613">
        <v>789.6</v>
      </c>
      <c r="F47" s="633">
        <v>0</v>
      </c>
      <c r="G47" s="613">
        <v>789.6</v>
      </c>
      <c r="H47" s="664">
        <v>44579</v>
      </c>
      <c r="I47" s="2064"/>
      <c r="J47" s="2069"/>
      <c r="K47" s="2070"/>
      <c r="L47" s="171"/>
      <c r="M47" s="294"/>
    </row>
    <row r="48" spans="1:13" ht="15">
      <c r="A48" s="664">
        <v>44586</v>
      </c>
      <c r="B48" s="1124" t="s">
        <v>522</v>
      </c>
      <c r="C48" s="1124" t="s">
        <v>4397</v>
      </c>
      <c r="D48" s="647" t="s">
        <v>1840</v>
      </c>
      <c r="E48" s="613">
        <v>761.95</v>
      </c>
      <c r="F48" s="633">
        <v>0</v>
      </c>
      <c r="G48" s="613">
        <v>761.95</v>
      </c>
      <c r="H48" s="664">
        <v>44587</v>
      </c>
      <c r="I48" s="2064"/>
      <c r="J48" s="2069"/>
      <c r="K48" s="2070"/>
      <c r="L48" s="171"/>
      <c r="M48" s="294"/>
    </row>
    <row r="49" spans="1:13" ht="15">
      <c r="A49" s="664">
        <v>44594</v>
      </c>
      <c r="B49" s="1124" t="s">
        <v>521</v>
      </c>
      <c r="C49" s="1124" t="s">
        <v>4397</v>
      </c>
      <c r="D49" s="647" t="s">
        <v>732</v>
      </c>
      <c r="E49" s="613">
        <v>817.18</v>
      </c>
      <c r="F49" s="633">
        <v>0</v>
      </c>
      <c r="G49" s="613">
        <v>817.18</v>
      </c>
      <c r="H49" s="664">
        <v>44595</v>
      </c>
      <c r="I49" s="2064"/>
      <c r="J49" s="2069"/>
      <c r="K49" s="2070"/>
      <c r="L49" s="171"/>
      <c r="M49" s="294"/>
    </row>
    <row r="50" spans="1:13" ht="15">
      <c r="A50" s="664">
        <v>44600</v>
      </c>
      <c r="B50" s="1124" t="s">
        <v>521</v>
      </c>
      <c r="C50" s="1124" t="s">
        <v>4397</v>
      </c>
      <c r="D50" s="647" t="s">
        <v>733</v>
      </c>
      <c r="E50" s="613">
        <v>558.17999999999995</v>
      </c>
      <c r="F50" s="633">
        <v>0</v>
      </c>
      <c r="G50" s="613">
        <v>558.17999999999995</v>
      </c>
      <c r="H50" s="664">
        <v>44601</v>
      </c>
      <c r="I50" s="2064"/>
      <c r="J50" s="2069"/>
      <c r="K50" s="2070"/>
      <c r="L50" s="171"/>
      <c r="M50" s="294"/>
    </row>
    <row r="51" spans="1:13" ht="15">
      <c r="A51" s="664"/>
      <c r="B51" s="1124"/>
      <c r="C51" s="1124"/>
      <c r="D51" s="647"/>
      <c r="E51" s="613"/>
      <c r="F51" s="633" t="s">
        <v>3095</v>
      </c>
      <c r="G51" s="613">
        <f>G46+G47+G48+G49+G50-I46</f>
        <v>281.76000000000204</v>
      </c>
      <c r="H51" s="665"/>
      <c r="I51" s="2060">
        <v>2733.3</v>
      </c>
      <c r="J51" s="2008">
        <v>44655</v>
      </c>
      <c r="K51" s="1956" t="s">
        <v>1828</v>
      </c>
      <c r="L51" s="171"/>
      <c r="M51" s="294"/>
    </row>
    <row r="52" spans="1:13" ht="15">
      <c r="A52" s="664">
        <v>44603</v>
      </c>
      <c r="B52" s="1124" t="s">
        <v>521</v>
      </c>
      <c r="C52" s="1124" t="s">
        <v>4397</v>
      </c>
      <c r="D52" s="647" t="s">
        <v>734</v>
      </c>
      <c r="E52" s="613">
        <v>1030.26</v>
      </c>
      <c r="F52" s="633">
        <v>0</v>
      </c>
      <c r="G52" s="613">
        <v>1030.26</v>
      </c>
      <c r="H52" s="664">
        <v>44604</v>
      </c>
      <c r="I52" s="2061"/>
      <c r="J52" s="2009"/>
      <c r="K52" s="2028"/>
      <c r="L52" s="171"/>
      <c r="M52" s="294"/>
    </row>
    <row r="53" spans="1:13" ht="15">
      <c r="A53" s="664">
        <v>44614</v>
      </c>
      <c r="B53" s="1124" t="s">
        <v>521</v>
      </c>
      <c r="C53" s="1124" t="s">
        <v>4397</v>
      </c>
      <c r="D53" s="647" t="s">
        <v>735</v>
      </c>
      <c r="E53" s="613">
        <v>443.45</v>
      </c>
      <c r="F53" s="633">
        <v>0</v>
      </c>
      <c r="G53" s="613">
        <v>443.45</v>
      </c>
      <c r="H53" s="664">
        <v>44615</v>
      </c>
      <c r="I53" s="2061"/>
      <c r="J53" s="2009"/>
      <c r="K53" s="2028"/>
      <c r="L53" s="171"/>
      <c r="M53" s="294"/>
    </row>
    <row r="54" spans="1:13" ht="15">
      <c r="A54" s="664">
        <v>44630</v>
      </c>
      <c r="B54" s="1124" t="s">
        <v>521</v>
      </c>
      <c r="C54" s="1124" t="s">
        <v>4397</v>
      </c>
      <c r="D54" s="647" t="s">
        <v>736</v>
      </c>
      <c r="E54" s="613">
        <v>977.83</v>
      </c>
      <c r="F54" s="633">
        <v>0</v>
      </c>
      <c r="G54" s="613">
        <v>977.83</v>
      </c>
      <c r="H54" s="664">
        <v>44631</v>
      </c>
      <c r="I54" s="2062"/>
      <c r="J54" s="2010"/>
      <c r="K54" s="2029"/>
      <c r="L54" s="171"/>
      <c r="M54" s="294"/>
    </row>
    <row r="55" spans="1:13" ht="15">
      <c r="A55" s="664"/>
      <c r="B55" s="1124"/>
      <c r="C55" s="1124"/>
      <c r="D55" s="647"/>
      <c r="E55" s="613"/>
      <c r="F55" s="633" t="s">
        <v>3095</v>
      </c>
      <c r="G55" s="613">
        <f>SUM(G51:G54)-I51</f>
        <v>0</v>
      </c>
      <c r="H55" s="664"/>
      <c r="I55" s="690"/>
      <c r="J55" s="664"/>
      <c r="K55" s="523"/>
      <c r="L55" s="171"/>
      <c r="M55" s="294"/>
    </row>
    <row r="56" spans="1:13" ht="15">
      <c r="A56" s="664">
        <v>44651</v>
      </c>
      <c r="B56" s="1124" t="s">
        <v>521</v>
      </c>
      <c r="C56" s="1124" t="s">
        <v>4397</v>
      </c>
      <c r="D56" s="647" t="s">
        <v>1808</v>
      </c>
      <c r="E56" s="613">
        <v>724.15</v>
      </c>
      <c r="F56" s="633">
        <v>0</v>
      </c>
      <c r="G56" s="613">
        <v>724.15</v>
      </c>
      <c r="H56" s="664">
        <v>44652</v>
      </c>
      <c r="I56" s="689">
        <v>724.15</v>
      </c>
      <c r="J56" s="664">
        <v>44684</v>
      </c>
      <c r="K56" s="524" t="s">
        <v>2079</v>
      </c>
      <c r="L56" s="171"/>
      <c r="M56" s="294"/>
    </row>
    <row r="57" spans="1:13" ht="15">
      <c r="A57" s="2057">
        <v>44655</v>
      </c>
      <c r="B57" s="1124" t="s">
        <v>521</v>
      </c>
      <c r="C57" s="1124" t="s">
        <v>4397</v>
      </c>
      <c r="D57" s="2071" t="s">
        <v>1841</v>
      </c>
      <c r="E57" s="1915">
        <v>5189.1400000000003</v>
      </c>
      <c r="F57" s="633">
        <v>0</v>
      </c>
      <c r="G57" s="613">
        <v>2275.85</v>
      </c>
      <c r="H57" s="678">
        <v>44656</v>
      </c>
      <c r="I57" s="689">
        <v>2275.85</v>
      </c>
      <c r="J57" s="664">
        <v>44684</v>
      </c>
      <c r="K57" s="524" t="s">
        <v>2079</v>
      </c>
      <c r="L57" s="171"/>
      <c r="M57" s="294"/>
    </row>
    <row r="58" spans="1:13" ht="15">
      <c r="A58" s="2059"/>
      <c r="B58" s="1124"/>
      <c r="C58" s="1124"/>
      <c r="D58" s="2072"/>
      <c r="E58" s="1917"/>
      <c r="F58" s="633"/>
      <c r="G58" s="613">
        <f>5189.14-2275.85</f>
        <v>2913.2900000000004</v>
      </c>
      <c r="H58" s="678">
        <v>44656</v>
      </c>
      <c r="I58" s="689">
        <v>2913.29</v>
      </c>
      <c r="J58" s="664">
        <v>44701</v>
      </c>
      <c r="K58" s="524" t="s">
        <v>550</v>
      </c>
      <c r="L58" s="171"/>
      <c r="M58" s="294"/>
    </row>
    <row r="59" spans="1:13" ht="15">
      <c r="A59" s="2057">
        <v>44673</v>
      </c>
      <c r="B59" s="1124" t="s">
        <v>521</v>
      </c>
      <c r="C59" s="1124" t="s">
        <v>4397</v>
      </c>
      <c r="D59" s="2071" t="s">
        <v>1948</v>
      </c>
      <c r="E59" s="1915">
        <v>557.69000000000005</v>
      </c>
      <c r="F59" s="633">
        <v>0</v>
      </c>
      <c r="G59" s="613">
        <v>86.71</v>
      </c>
      <c r="H59" s="678">
        <v>44674</v>
      </c>
      <c r="I59" s="689">
        <v>86.71</v>
      </c>
      <c r="J59" s="664">
        <v>44701</v>
      </c>
      <c r="K59" s="524" t="s">
        <v>1874</v>
      </c>
      <c r="L59" s="171"/>
      <c r="M59" s="294"/>
    </row>
    <row r="60" spans="1:13" ht="15">
      <c r="A60" s="2059"/>
      <c r="B60" s="1124"/>
      <c r="C60" s="1124"/>
      <c r="D60" s="2072"/>
      <c r="E60" s="1917"/>
      <c r="F60" s="633"/>
      <c r="G60" s="613">
        <f>557.69-86.71</f>
        <v>470.98000000000008</v>
      </c>
      <c r="H60" s="678">
        <v>44674</v>
      </c>
      <c r="I60" s="2060">
        <v>2853.28</v>
      </c>
      <c r="J60" s="2008">
        <v>44748</v>
      </c>
      <c r="K60" s="1956" t="s">
        <v>2424</v>
      </c>
      <c r="L60" s="171"/>
      <c r="M60" s="294"/>
    </row>
    <row r="61" spans="1:13" ht="15">
      <c r="A61" s="678">
        <v>44679</v>
      </c>
      <c r="B61" s="1124" t="s">
        <v>521</v>
      </c>
      <c r="C61" s="1124" t="s">
        <v>4397</v>
      </c>
      <c r="D61" s="648" t="s">
        <v>1995</v>
      </c>
      <c r="E61" s="613">
        <v>640.78</v>
      </c>
      <c r="F61" s="633">
        <v>0</v>
      </c>
      <c r="G61" s="613">
        <v>640.78</v>
      </c>
      <c r="H61" s="678">
        <v>44680</v>
      </c>
      <c r="I61" s="2061"/>
      <c r="J61" s="2009"/>
      <c r="K61" s="2028"/>
      <c r="L61" s="171"/>
      <c r="M61" s="294"/>
    </row>
    <row r="62" spans="1:13" ht="15">
      <c r="A62" s="678">
        <v>44704</v>
      </c>
      <c r="B62" s="1124" t="s">
        <v>521</v>
      </c>
      <c r="C62" s="1124" t="s">
        <v>4397</v>
      </c>
      <c r="D62" s="648" t="s">
        <v>2163</v>
      </c>
      <c r="E62" s="613">
        <v>1150.72</v>
      </c>
      <c r="F62" s="633">
        <v>0</v>
      </c>
      <c r="G62" s="613">
        <v>1150.72</v>
      </c>
      <c r="H62" s="678">
        <v>44749</v>
      </c>
      <c r="I62" s="2061"/>
      <c r="J62" s="2009"/>
      <c r="K62" s="2028"/>
      <c r="L62" s="171"/>
      <c r="M62" s="294"/>
    </row>
    <row r="63" spans="1:13" ht="15">
      <c r="A63" s="678">
        <v>44705</v>
      </c>
      <c r="B63" s="1124" t="s">
        <v>521</v>
      </c>
      <c r="C63" s="1124" t="s">
        <v>4397</v>
      </c>
      <c r="D63" s="648" t="s">
        <v>2164</v>
      </c>
      <c r="E63" s="613">
        <v>199.5</v>
      </c>
      <c r="F63" s="633">
        <v>0</v>
      </c>
      <c r="G63" s="613">
        <v>199.5</v>
      </c>
      <c r="H63" s="678">
        <v>44706</v>
      </c>
      <c r="I63" s="2061"/>
      <c r="J63" s="2009"/>
      <c r="K63" s="2028"/>
      <c r="L63" s="171"/>
      <c r="M63" s="294"/>
    </row>
    <row r="64" spans="1:13" ht="15">
      <c r="A64" s="678">
        <v>44713</v>
      </c>
      <c r="B64" s="1124" t="s">
        <v>521</v>
      </c>
      <c r="C64" s="1124" t="s">
        <v>4397</v>
      </c>
      <c r="D64" s="648" t="s">
        <v>2218</v>
      </c>
      <c r="E64" s="613">
        <v>391.3</v>
      </c>
      <c r="F64" s="633">
        <v>0</v>
      </c>
      <c r="G64" s="613">
        <v>391.3</v>
      </c>
      <c r="H64" s="678">
        <v>44714</v>
      </c>
      <c r="I64" s="2062"/>
      <c r="J64" s="2010"/>
      <c r="K64" s="2029"/>
      <c r="L64" s="171"/>
      <c r="M64" s="294"/>
    </row>
    <row r="65" spans="1:14" ht="15">
      <c r="A65" s="678">
        <v>44732</v>
      </c>
      <c r="B65" s="1124" t="s">
        <v>4116</v>
      </c>
      <c r="C65" s="1124" t="s">
        <v>4397</v>
      </c>
      <c r="D65" s="648" t="s">
        <v>2315</v>
      </c>
      <c r="E65" s="613">
        <v>2155.5100000000002</v>
      </c>
      <c r="F65" s="633">
        <v>0</v>
      </c>
      <c r="G65" s="613">
        <v>2155.5100000000002</v>
      </c>
      <c r="H65" s="678">
        <v>44733</v>
      </c>
      <c r="I65" s="691">
        <v>2155.5100000000002</v>
      </c>
      <c r="J65" s="678">
        <v>44777</v>
      </c>
      <c r="K65" s="451" t="s">
        <v>2629</v>
      </c>
      <c r="L65" s="493"/>
      <c r="M65" s="294"/>
    </row>
    <row r="66" spans="1:14" ht="15">
      <c r="A66" s="678">
        <v>44748.000497685185</v>
      </c>
      <c r="B66" s="1124" t="s">
        <v>4116</v>
      </c>
      <c r="C66" s="1124" t="s">
        <v>4397</v>
      </c>
      <c r="D66" s="648" t="s">
        <v>2402</v>
      </c>
      <c r="E66" s="613">
        <v>286.23</v>
      </c>
      <c r="F66" s="633">
        <v>0</v>
      </c>
      <c r="G66" s="613">
        <v>286.23</v>
      </c>
      <c r="H66" s="678">
        <v>44749.000497685185</v>
      </c>
      <c r="I66" s="691">
        <v>286.23</v>
      </c>
      <c r="J66" s="678">
        <v>44777</v>
      </c>
      <c r="K66" s="451" t="s">
        <v>2629</v>
      </c>
      <c r="L66" s="493"/>
      <c r="M66" s="294"/>
    </row>
    <row r="67" spans="1:14" ht="15">
      <c r="A67" s="678">
        <v>44754.000497685185</v>
      </c>
      <c r="B67" s="1124" t="s">
        <v>4116</v>
      </c>
      <c r="C67" s="1124" t="s">
        <v>4397</v>
      </c>
      <c r="D67" s="648" t="s">
        <v>2441</v>
      </c>
      <c r="E67" s="833">
        <v>434.07</v>
      </c>
      <c r="F67" s="649">
        <v>0</v>
      </c>
      <c r="G67" s="833">
        <v>434.07</v>
      </c>
      <c r="H67" s="678">
        <v>44755.000497685185</v>
      </c>
      <c r="I67" s="2065">
        <v>4958.03</v>
      </c>
      <c r="J67" s="2057">
        <v>44837</v>
      </c>
      <c r="K67" s="1938" t="s">
        <v>3243</v>
      </c>
      <c r="L67" s="493"/>
      <c r="M67" s="294"/>
    </row>
    <row r="68" spans="1:14" ht="15">
      <c r="A68" s="678">
        <v>44769</v>
      </c>
      <c r="B68" s="1124" t="s">
        <v>4116</v>
      </c>
      <c r="C68" s="1124" t="s">
        <v>4397</v>
      </c>
      <c r="D68" s="648" t="s">
        <v>2530</v>
      </c>
      <c r="E68" s="833">
        <v>468.05</v>
      </c>
      <c r="F68" s="649">
        <v>0</v>
      </c>
      <c r="G68" s="833">
        <v>468.05</v>
      </c>
      <c r="H68" s="678">
        <v>44770</v>
      </c>
      <c r="I68" s="2066"/>
      <c r="J68" s="2058"/>
      <c r="K68" s="2030"/>
      <c r="L68" s="493"/>
      <c r="M68" s="294"/>
    </row>
    <row r="69" spans="1:14" ht="15">
      <c r="A69" s="678">
        <v>44769</v>
      </c>
      <c r="B69" s="1124" t="s">
        <v>4116</v>
      </c>
      <c r="C69" s="1124" t="s">
        <v>4397</v>
      </c>
      <c r="D69" s="648" t="s">
        <v>2531</v>
      </c>
      <c r="E69" s="833">
        <v>1119.3</v>
      </c>
      <c r="F69" s="649">
        <v>0</v>
      </c>
      <c r="G69" s="833">
        <v>1119.3</v>
      </c>
      <c r="H69" s="678">
        <v>44770</v>
      </c>
      <c r="I69" s="2066"/>
      <c r="J69" s="2058"/>
      <c r="K69" s="2030"/>
      <c r="L69" s="493"/>
      <c r="M69" s="294"/>
    </row>
    <row r="70" spans="1:14" ht="15">
      <c r="A70" s="678">
        <v>44778</v>
      </c>
      <c r="B70" s="1124" t="s">
        <v>4116</v>
      </c>
      <c r="C70" s="1124" t="s">
        <v>4397</v>
      </c>
      <c r="D70" s="648" t="s">
        <v>2592</v>
      </c>
      <c r="E70" s="833">
        <v>285.08</v>
      </c>
      <c r="F70" s="649">
        <v>0</v>
      </c>
      <c r="G70" s="833">
        <v>285.08</v>
      </c>
      <c r="H70" s="678">
        <v>44779</v>
      </c>
      <c r="I70" s="2066"/>
      <c r="J70" s="2058"/>
      <c r="K70" s="2030"/>
      <c r="L70" s="493"/>
      <c r="M70" s="294"/>
    </row>
    <row r="71" spans="1:14" ht="15">
      <c r="A71" s="678">
        <v>44782.000497685185</v>
      </c>
      <c r="B71" s="1124" t="s">
        <v>4116</v>
      </c>
      <c r="C71" s="1124" t="s">
        <v>4397</v>
      </c>
      <c r="D71" s="648" t="s">
        <v>2663</v>
      </c>
      <c r="E71" s="833">
        <v>-19.010000000000002</v>
      </c>
      <c r="F71" s="649">
        <v>0</v>
      </c>
      <c r="G71" s="833">
        <v>-19.010000000000002</v>
      </c>
      <c r="H71" s="678">
        <v>44783.000497685185</v>
      </c>
      <c r="I71" s="2066"/>
      <c r="J71" s="2058"/>
      <c r="K71" s="2030"/>
      <c r="L71" s="493" t="s">
        <v>2664</v>
      </c>
      <c r="M71" s="294"/>
    </row>
    <row r="72" spans="1:14" ht="15">
      <c r="A72" s="678">
        <v>44806</v>
      </c>
      <c r="B72" s="1124" t="s">
        <v>4116</v>
      </c>
      <c r="C72" s="1124" t="s">
        <v>4397</v>
      </c>
      <c r="D72" s="648" t="s">
        <v>2896</v>
      </c>
      <c r="E72" s="833">
        <v>0.01</v>
      </c>
      <c r="F72" s="649">
        <v>0</v>
      </c>
      <c r="G72" s="833">
        <v>0.01</v>
      </c>
      <c r="H72" s="678">
        <v>44807</v>
      </c>
      <c r="I72" s="2066"/>
      <c r="J72" s="2058"/>
      <c r="K72" s="2030"/>
      <c r="L72" s="493" t="s">
        <v>2897</v>
      </c>
      <c r="M72" s="294"/>
    </row>
    <row r="73" spans="1:14" ht="15">
      <c r="A73" s="678">
        <v>44818</v>
      </c>
      <c r="B73" s="1124" t="s">
        <v>521</v>
      </c>
      <c r="C73" s="1124" t="s">
        <v>4397</v>
      </c>
      <c r="D73" s="648" t="s">
        <v>2997</v>
      </c>
      <c r="E73" s="833">
        <v>1485</v>
      </c>
      <c r="F73" s="649">
        <v>0</v>
      </c>
      <c r="G73" s="833">
        <v>1485</v>
      </c>
      <c r="H73" s="678">
        <v>44819</v>
      </c>
      <c r="I73" s="2066"/>
      <c r="J73" s="2058"/>
      <c r="K73" s="2030"/>
      <c r="L73" s="493"/>
      <c r="M73" s="294"/>
    </row>
    <row r="74" spans="1:14" ht="15">
      <c r="A74" s="678">
        <v>44824</v>
      </c>
      <c r="B74" s="1124" t="s">
        <v>521</v>
      </c>
      <c r="C74" s="1124" t="s">
        <v>4397</v>
      </c>
      <c r="D74" s="648" t="s">
        <v>3054</v>
      </c>
      <c r="E74" s="833">
        <v>1033.6500000000001</v>
      </c>
      <c r="F74" s="649">
        <v>0</v>
      </c>
      <c r="G74" s="833">
        <v>1033.6500000000001</v>
      </c>
      <c r="H74" s="678">
        <v>44825</v>
      </c>
      <c r="I74" s="2066"/>
      <c r="J74" s="2058"/>
      <c r="K74" s="2030"/>
      <c r="L74" s="493"/>
      <c r="M74" s="294"/>
    </row>
    <row r="75" spans="1:14" ht="15">
      <c r="A75" s="678">
        <v>44824</v>
      </c>
      <c r="B75" s="1124" t="s">
        <v>521</v>
      </c>
      <c r="C75" s="1124" t="s">
        <v>4397</v>
      </c>
      <c r="D75" s="648" t="s">
        <v>3055</v>
      </c>
      <c r="E75" s="833">
        <v>151.88</v>
      </c>
      <c r="F75" s="649">
        <v>0</v>
      </c>
      <c r="G75" s="833">
        <v>151.88</v>
      </c>
      <c r="H75" s="678">
        <v>44825</v>
      </c>
      <c r="I75" s="2067"/>
      <c r="J75" s="2059"/>
      <c r="K75" s="2031"/>
      <c r="L75" s="493"/>
      <c r="M75" s="294"/>
    </row>
    <row r="76" spans="1:14" ht="15">
      <c r="A76" s="678">
        <v>44830</v>
      </c>
      <c r="B76" s="1124" t="s">
        <v>521</v>
      </c>
      <c r="C76" s="1124" t="s">
        <v>4397</v>
      </c>
      <c r="D76" s="648" t="s">
        <v>3154</v>
      </c>
      <c r="E76" s="950">
        <v>653.85</v>
      </c>
      <c r="F76" s="649">
        <v>0</v>
      </c>
      <c r="G76" s="950">
        <v>653.85</v>
      </c>
      <c r="H76" s="678">
        <v>44831.000497685185</v>
      </c>
      <c r="I76" s="2065">
        <v>1515.06</v>
      </c>
      <c r="J76" s="2057">
        <v>44893</v>
      </c>
      <c r="K76" s="1938" t="s">
        <v>3637</v>
      </c>
      <c r="L76" s="493"/>
      <c r="M76" s="190"/>
      <c r="N76" s="190"/>
    </row>
    <row r="77" spans="1:14" ht="15">
      <c r="A77" s="678">
        <v>44833</v>
      </c>
      <c r="B77" s="1124" t="s">
        <v>521</v>
      </c>
      <c r="C77" s="1124" t="s">
        <v>4397</v>
      </c>
      <c r="D77" s="648" t="s">
        <v>3155</v>
      </c>
      <c r="E77" s="950">
        <v>-221.63</v>
      </c>
      <c r="F77" s="649">
        <v>0</v>
      </c>
      <c r="G77" s="950">
        <v>-221.63</v>
      </c>
      <c r="H77" s="678">
        <v>44834.000497685185</v>
      </c>
      <c r="I77" s="2066"/>
      <c r="J77" s="2058"/>
      <c r="K77" s="2030"/>
      <c r="L77" s="493" t="s">
        <v>3157</v>
      </c>
      <c r="M77" s="190"/>
      <c r="N77" s="190"/>
    </row>
    <row r="78" spans="1:14" ht="15">
      <c r="A78" s="678">
        <v>44834</v>
      </c>
      <c r="B78" s="1124" t="s">
        <v>521</v>
      </c>
      <c r="C78" s="1124" t="s">
        <v>4397</v>
      </c>
      <c r="D78" s="648" t="s">
        <v>3156</v>
      </c>
      <c r="E78" s="950">
        <v>377.3</v>
      </c>
      <c r="F78" s="649">
        <v>0</v>
      </c>
      <c r="G78" s="950">
        <v>377.3</v>
      </c>
      <c r="H78" s="678">
        <v>44835.000497685185</v>
      </c>
      <c r="I78" s="2066"/>
      <c r="J78" s="2058"/>
      <c r="K78" s="2030"/>
      <c r="L78" s="493"/>
      <c r="M78" s="190"/>
      <c r="N78" s="190"/>
    </row>
    <row r="79" spans="1:14" ht="15">
      <c r="A79" s="678">
        <v>44862</v>
      </c>
      <c r="B79" s="1124" t="s">
        <v>521</v>
      </c>
      <c r="C79" s="1124" t="s">
        <v>4397</v>
      </c>
      <c r="D79" s="648" t="s">
        <v>3338</v>
      </c>
      <c r="E79" s="950">
        <v>703.85</v>
      </c>
      <c r="F79" s="649">
        <v>0</v>
      </c>
      <c r="G79" s="950">
        <v>703.85</v>
      </c>
      <c r="H79" s="678">
        <v>44863</v>
      </c>
      <c r="I79" s="2066"/>
      <c r="J79" s="2058"/>
      <c r="K79" s="2030"/>
      <c r="L79" s="493"/>
      <c r="M79" s="190"/>
      <c r="N79" s="190"/>
    </row>
    <row r="80" spans="1:14" ht="15">
      <c r="A80" s="678">
        <v>44875</v>
      </c>
      <c r="B80" s="1124" t="s">
        <v>521</v>
      </c>
      <c r="C80" s="1124" t="s">
        <v>4397</v>
      </c>
      <c r="D80" s="648" t="s">
        <v>3433</v>
      </c>
      <c r="E80" s="950">
        <v>1226.82</v>
      </c>
      <c r="F80" s="649">
        <v>0</v>
      </c>
      <c r="G80" s="950">
        <v>1226.82</v>
      </c>
      <c r="H80" s="678">
        <v>44876</v>
      </c>
      <c r="I80" s="2066"/>
      <c r="J80" s="2058"/>
      <c r="K80" s="2030"/>
      <c r="L80" s="493"/>
      <c r="M80" s="190"/>
      <c r="N80" s="190"/>
    </row>
    <row r="81" spans="1:14" ht="15">
      <c r="A81" s="678">
        <v>44888</v>
      </c>
      <c r="B81" s="1124" t="s">
        <v>521</v>
      </c>
      <c r="C81" s="1124" t="s">
        <v>4397</v>
      </c>
      <c r="D81" s="648" t="s">
        <v>3521</v>
      </c>
      <c r="E81" s="950">
        <v>-1225.1300000000001</v>
      </c>
      <c r="F81" s="649">
        <v>0</v>
      </c>
      <c r="G81" s="950">
        <v>-1225.1300000000001</v>
      </c>
      <c r="H81" s="678"/>
      <c r="I81" s="2067"/>
      <c r="J81" s="2059"/>
      <c r="K81" s="2031"/>
      <c r="L81" s="493"/>
      <c r="M81" s="190"/>
      <c r="N81" s="190"/>
    </row>
    <row r="82" spans="1:14" ht="15">
      <c r="A82" s="1104">
        <v>44890</v>
      </c>
      <c r="B82" s="1124" t="s">
        <v>521</v>
      </c>
      <c r="C82" s="1124" t="s">
        <v>4397</v>
      </c>
      <c r="D82" s="648" t="s">
        <v>3522</v>
      </c>
      <c r="E82" s="1103">
        <v>578.34</v>
      </c>
      <c r="F82" s="649">
        <v>0</v>
      </c>
      <c r="G82" s="1103">
        <v>578.34</v>
      </c>
      <c r="H82" s="1104">
        <v>44891</v>
      </c>
      <c r="I82" s="2065">
        <v>1144.29</v>
      </c>
      <c r="J82" s="2057">
        <v>44937</v>
      </c>
      <c r="K82" s="1938" t="s">
        <v>3924</v>
      </c>
      <c r="L82" s="508"/>
      <c r="M82" s="190"/>
      <c r="N82" s="190"/>
    </row>
    <row r="83" spans="1:14" ht="15">
      <c r="A83" s="2057">
        <v>44910</v>
      </c>
      <c r="B83" s="1918" t="s">
        <v>521</v>
      </c>
      <c r="C83" s="1918" t="s">
        <v>4397</v>
      </c>
      <c r="D83" s="2071" t="s">
        <v>3685</v>
      </c>
      <c r="E83" s="1923">
        <v>1128.96</v>
      </c>
      <c r="F83" s="1927">
        <v>0</v>
      </c>
      <c r="G83" s="1103">
        <v>565.95000000000005</v>
      </c>
      <c r="H83" s="1104">
        <v>44911</v>
      </c>
      <c r="I83" s="2067"/>
      <c r="J83" s="2059"/>
      <c r="K83" s="2031"/>
      <c r="L83" s="508"/>
      <c r="M83" s="294"/>
    </row>
    <row r="84" spans="1:14" ht="15">
      <c r="A84" s="2059"/>
      <c r="B84" s="1920"/>
      <c r="C84" s="1920"/>
      <c r="D84" s="2072"/>
      <c r="E84" s="1924"/>
      <c r="F84" s="1928"/>
      <c r="G84" s="1103">
        <f>1128.96-565.95</f>
        <v>563.01</v>
      </c>
      <c r="H84" s="1104">
        <v>44911</v>
      </c>
      <c r="I84" s="1986">
        <v>0</v>
      </c>
      <c r="J84" s="2057">
        <v>44957</v>
      </c>
      <c r="K84" s="1938" t="s">
        <v>4016</v>
      </c>
      <c r="L84" s="508"/>
      <c r="M84" s="294"/>
    </row>
    <row r="85" spans="1:14" ht="15">
      <c r="A85" s="1104">
        <v>44911</v>
      </c>
      <c r="B85" s="1124" t="s">
        <v>521</v>
      </c>
      <c r="C85" s="1124" t="s">
        <v>4397</v>
      </c>
      <c r="D85" s="648" t="s">
        <v>3686</v>
      </c>
      <c r="E85" s="1103">
        <v>-6.2</v>
      </c>
      <c r="F85" s="649">
        <v>0</v>
      </c>
      <c r="G85" s="1103">
        <v>-6.2</v>
      </c>
      <c r="H85" s="1104"/>
      <c r="I85" s="2073"/>
      <c r="J85" s="2058"/>
      <c r="K85" s="2030"/>
      <c r="L85" s="508"/>
      <c r="M85" s="294"/>
    </row>
    <row r="86" spans="1:14" ht="15">
      <c r="A86" s="1104">
        <v>44911</v>
      </c>
      <c r="B86" s="1124" t="s">
        <v>521</v>
      </c>
      <c r="C86" s="1124" t="s">
        <v>4397</v>
      </c>
      <c r="D86" s="648" t="s">
        <v>3687</v>
      </c>
      <c r="E86" s="1103">
        <v>-480.62</v>
      </c>
      <c r="F86" s="649">
        <v>0</v>
      </c>
      <c r="G86" s="1103">
        <v>-480.62</v>
      </c>
      <c r="H86" s="1104"/>
      <c r="I86" s="2073"/>
      <c r="J86" s="2058"/>
      <c r="K86" s="2030"/>
      <c r="L86" s="508"/>
      <c r="M86" s="294"/>
    </row>
    <row r="87" spans="1:14" ht="15">
      <c r="A87" s="1104">
        <v>44911</v>
      </c>
      <c r="B87" s="1124" t="s">
        <v>521</v>
      </c>
      <c r="C87" s="1124" t="s">
        <v>4397</v>
      </c>
      <c r="D87" s="648" t="s">
        <v>3688</v>
      </c>
      <c r="E87" s="1103">
        <v>-62.97</v>
      </c>
      <c r="F87" s="649">
        <v>-13.22</v>
      </c>
      <c r="G87" s="1103">
        <v>-76.19</v>
      </c>
      <c r="H87" s="1104"/>
      <c r="I87" s="1987"/>
      <c r="J87" s="2059"/>
      <c r="K87" s="2031"/>
      <c r="L87" s="508"/>
      <c r="M87" s="294"/>
    </row>
    <row r="88" spans="1:14" ht="15">
      <c r="A88" s="1514">
        <v>44938</v>
      </c>
      <c r="B88" s="1507" t="s">
        <v>2518</v>
      </c>
      <c r="C88" s="1507" t="s">
        <v>4397</v>
      </c>
      <c r="D88" s="648" t="s">
        <v>3882</v>
      </c>
      <c r="E88" s="1512">
        <v>1343.02</v>
      </c>
      <c r="F88" s="649">
        <v>0</v>
      </c>
      <c r="G88" s="1512">
        <v>1343.02</v>
      </c>
      <c r="H88" s="1514">
        <v>44998</v>
      </c>
      <c r="I88" s="2054">
        <v>2607.64</v>
      </c>
      <c r="J88" s="2057">
        <v>45033</v>
      </c>
      <c r="K88" s="1938" t="s">
        <v>6538</v>
      </c>
      <c r="L88" s="508"/>
      <c r="M88" s="294"/>
    </row>
    <row r="89" spans="1:14" ht="15">
      <c r="A89" s="1514">
        <v>44988</v>
      </c>
      <c r="B89" s="1507" t="s">
        <v>2518</v>
      </c>
      <c r="C89" s="1507" t="s">
        <v>5561</v>
      </c>
      <c r="D89" s="648" t="s">
        <v>4348</v>
      </c>
      <c r="E89" s="1512">
        <v>1264.6199999999999</v>
      </c>
      <c r="F89" s="649">
        <v>0</v>
      </c>
      <c r="G89" s="1512">
        <v>1264.6199999999999</v>
      </c>
      <c r="H89" s="1514">
        <v>45048</v>
      </c>
      <c r="I89" s="2056"/>
      <c r="J89" s="2059"/>
      <c r="K89" s="2031"/>
      <c r="L89" s="508"/>
      <c r="M89" s="294"/>
    </row>
    <row r="90" spans="1:14" ht="15">
      <c r="A90" s="1514">
        <v>45036</v>
      </c>
      <c r="B90" s="1507" t="s">
        <v>2518</v>
      </c>
      <c r="C90" s="1507" t="s">
        <v>4397</v>
      </c>
      <c r="D90" s="648" t="s">
        <v>4789</v>
      </c>
      <c r="E90" s="1512">
        <v>2164.61</v>
      </c>
      <c r="F90" s="649">
        <v>0</v>
      </c>
      <c r="G90" s="1512">
        <v>2164.61</v>
      </c>
      <c r="H90" s="1514">
        <v>45096</v>
      </c>
      <c r="I90" s="691">
        <v>2164.61</v>
      </c>
      <c r="J90" s="1514">
        <v>45061</v>
      </c>
      <c r="K90" s="1513" t="s">
        <v>544</v>
      </c>
      <c r="L90" s="508"/>
      <c r="M90" s="294"/>
    </row>
    <row r="91" spans="1:14" ht="15">
      <c r="A91" s="1844">
        <v>45070</v>
      </c>
      <c r="B91" s="1835" t="s">
        <v>2518</v>
      </c>
      <c r="C91" s="1835" t="s">
        <v>4397</v>
      </c>
      <c r="D91" s="648" t="s">
        <v>5192</v>
      </c>
      <c r="E91" s="1840">
        <v>-2.17</v>
      </c>
      <c r="F91" s="649">
        <v>0</v>
      </c>
      <c r="G91" s="1840">
        <v>-2.17</v>
      </c>
      <c r="H91" s="1844"/>
      <c r="I91" s="2054">
        <v>1380.48</v>
      </c>
      <c r="J91" s="2057">
        <v>45114</v>
      </c>
      <c r="K91" s="1938" t="s">
        <v>5563</v>
      </c>
      <c r="L91" s="508"/>
      <c r="M91" s="294"/>
    </row>
    <row r="92" spans="1:14" ht="15">
      <c r="A92" s="1844">
        <v>45070</v>
      </c>
      <c r="B92" s="1835" t="s">
        <v>2518</v>
      </c>
      <c r="C92" s="1835" t="s">
        <v>4397</v>
      </c>
      <c r="D92" s="648" t="s">
        <v>5193</v>
      </c>
      <c r="E92" s="1840">
        <v>-285.35000000000002</v>
      </c>
      <c r="F92" s="649">
        <v>0</v>
      </c>
      <c r="G92" s="1840">
        <v>-285.35000000000002</v>
      </c>
      <c r="H92" s="1844"/>
      <c r="I92" s="2055"/>
      <c r="J92" s="2058"/>
      <c r="K92" s="2030"/>
      <c r="L92" s="508"/>
      <c r="M92" s="294"/>
    </row>
    <row r="93" spans="1:14" ht="15">
      <c r="A93" s="1844">
        <v>45070</v>
      </c>
      <c r="B93" s="1835" t="s">
        <v>2518</v>
      </c>
      <c r="C93" s="1835" t="s">
        <v>4397</v>
      </c>
      <c r="D93" s="648" t="s">
        <v>5194</v>
      </c>
      <c r="E93" s="1840">
        <v>-36.53</v>
      </c>
      <c r="F93" s="649">
        <v>-7.67</v>
      </c>
      <c r="G93" s="1840">
        <v>-44.2</v>
      </c>
      <c r="H93" s="1844"/>
      <c r="I93" s="2055"/>
      <c r="J93" s="2058"/>
      <c r="K93" s="2030"/>
      <c r="L93" s="508"/>
      <c r="M93" s="294"/>
    </row>
    <row r="94" spans="1:14" ht="15">
      <c r="A94" s="1844">
        <v>45083</v>
      </c>
      <c r="B94" s="1835" t="s">
        <v>2518</v>
      </c>
      <c r="C94" s="1835" t="s">
        <v>6540</v>
      </c>
      <c r="D94" s="648" t="s">
        <v>5307</v>
      </c>
      <c r="E94" s="1840">
        <v>1712.2</v>
      </c>
      <c r="F94" s="649">
        <v>0</v>
      </c>
      <c r="G94" s="1840">
        <v>1712.2</v>
      </c>
      <c r="H94" s="1844">
        <v>45143</v>
      </c>
      <c r="I94" s="2056"/>
      <c r="J94" s="2059"/>
      <c r="K94" s="2031"/>
      <c r="L94" s="508"/>
      <c r="M94" s="294"/>
    </row>
    <row r="95" spans="1:14" ht="15">
      <c r="A95" s="1844">
        <v>45139</v>
      </c>
      <c r="B95" s="1835" t="s">
        <v>5522</v>
      </c>
      <c r="C95" s="1835" t="s">
        <v>4397</v>
      </c>
      <c r="D95" s="648" t="s">
        <v>5732</v>
      </c>
      <c r="E95" s="1840">
        <v>595.46</v>
      </c>
      <c r="F95" s="649">
        <v>0</v>
      </c>
      <c r="G95" s="1840">
        <v>595.46</v>
      </c>
      <c r="H95" s="1844">
        <v>45199</v>
      </c>
      <c r="I95" s="691">
        <v>595.46</v>
      </c>
      <c r="J95" s="1844">
        <v>45189</v>
      </c>
      <c r="K95" s="1843" t="s">
        <v>6138</v>
      </c>
      <c r="L95" s="508"/>
      <c r="M95" s="294"/>
    </row>
    <row r="96" spans="1:14" ht="15">
      <c r="A96" s="1844">
        <v>45140</v>
      </c>
      <c r="B96" s="1835" t="s">
        <v>5522</v>
      </c>
      <c r="C96" s="1835" t="s">
        <v>4397</v>
      </c>
      <c r="D96" s="648" t="s">
        <v>5733</v>
      </c>
      <c r="E96" s="1840">
        <v>89.01</v>
      </c>
      <c r="F96" s="649">
        <v>0</v>
      </c>
      <c r="G96" s="1840">
        <v>89.01</v>
      </c>
      <c r="H96" s="1844">
        <v>45200</v>
      </c>
      <c r="I96" s="2054">
        <v>2330.9</v>
      </c>
      <c r="J96" s="2057">
        <v>45236</v>
      </c>
      <c r="K96" s="1938" t="s">
        <v>6539</v>
      </c>
      <c r="L96" s="508"/>
      <c r="M96" s="294"/>
    </row>
    <row r="97" spans="1:13" ht="15">
      <c r="A97" s="1844">
        <v>45169</v>
      </c>
      <c r="B97" s="1835" t="s">
        <v>2518</v>
      </c>
      <c r="C97" s="1835" t="s">
        <v>4397</v>
      </c>
      <c r="D97" s="648" t="s">
        <v>5943</v>
      </c>
      <c r="E97" s="1840">
        <v>876.12</v>
      </c>
      <c r="F97" s="649">
        <v>0</v>
      </c>
      <c r="G97" s="1840">
        <v>876.12</v>
      </c>
      <c r="H97" s="1844">
        <v>45229.000497685185</v>
      </c>
      <c r="I97" s="2055"/>
      <c r="J97" s="2058"/>
      <c r="K97" s="2030"/>
      <c r="L97" s="508"/>
      <c r="M97" s="294"/>
    </row>
    <row r="98" spans="1:13" ht="15">
      <c r="A98" s="1844">
        <v>45208</v>
      </c>
      <c r="B98" s="1835" t="s">
        <v>2518</v>
      </c>
      <c r="C98" s="1835" t="s">
        <v>4397</v>
      </c>
      <c r="D98" s="648" t="s">
        <v>6308</v>
      </c>
      <c r="E98" s="1840">
        <v>1365.77</v>
      </c>
      <c r="F98" s="649">
        <v>0</v>
      </c>
      <c r="G98" s="1840">
        <v>1365.77</v>
      </c>
      <c r="H98" s="1844">
        <v>45267</v>
      </c>
      <c r="I98" s="2056"/>
      <c r="J98" s="2059"/>
      <c r="K98" s="2031"/>
      <c r="L98" s="508"/>
      <c r="M98" s="294"/>
    </row>
    <row r="99" spans="1:13" ht="15">
      <c r="A99" s="679"/>
      <c r="B99" s="623"/>
      <c r="C99" s="623"/>
      <c r="D99" s="650"/>
      <c r="E99" s="603"/>
      <c r="F99" s="644"/>
      <c r="G99" s="603"/>
      <c r="H99" s="679"/>
      <c r="I99" s="692"/>
      <c r="J99" s="1659"/>
      <c r="K99" s="1660"/>
      <c r="L99" s="508"/>
      <c r="M99" s="294"/>
    </row>
    <row r="100" spans="1:13" ht="15">
      <c r="A100" s="679"/>
      <c r="B100" s="623"/>
      <c r="C100" s="623"/>
      <c r="D100" s="650"/>
      <c r="E100" s="603"/>
      <c r="F100" s="644"/>
      <c r="G100" s="603"/>
      <c r="H100" s="679"/>
      <c r="I100" s="692"/>
      <c r="J100" s="1581"/>
      <c r="K100" s="1582"/>
      <c r="L100" s="508"/>
      <c r="M100" s="294"/>
    </row>
    <row r="101" spans="1:13" ht="15">
      <c r="A101" s="679"/>
      <c r="B101" s="623"/>
      <c r="C101" s="623"/>
      <c r="D101" s="650"/>
      <c r="E101" s="603"/>
      <c r="F101" s="644"/>
      <c r="G101" s="603"/>
      <c r="H101" s="679"/>
      <c r="I101" s="692"/>
      <c r="J101" s="1581"/>
      <c r="K101" s="1582"/>
      <c r="L101" s="508"/>
      <c r="M101" s="294"/>
    </row>
    <row r="102" spans="1:13" ht="15">
      <c r="A102" s="679"/>
      <c r="B102" s="679"/>
      <c r="C102" s="679"/>
      <c r="D102" s="650"/>
      <c r="E102" s="603"/>
      <c r="F102" s="644"/>
      <c r="G102" s="603"/>
      <c r="H102" s="679"/>
      <c r="I102" s="692"/>
      <c r="J102" s="1034"/>
      <c r="K102" s="1033"/>
      <c r="L102" s="508"/>
      <c r="M102" s="294"/>
    </row>
    <row r="103" spans="1:13" ht="15">
      <c r="A103" s="679"/>
      <c r="B103" s="679"/>
      <c r="C103" s="679"/>
      <c r="D103" s="650"/>
      <c r="E103" s="603"/>
      <c r="F103" s="644"/>
      <c r="G103" s="603"/>
      <c r="H103" s="679"/>
      <c r="I103" s="692"/>
      <c r="J103" s="861"/>
      <c r="K103" s="862"/>
      <c r="L103" s="508"/>
      <c r="M103" s="294"/>
    </row>
    <row r="104" spans="1:13" ht="15">
      <c r="A104" s="679"/>
      <c r="B104" s="679"/>
      <c r="C104" s="679"/>
      <c r="D104" s="650"/>
      <c r="E104" s="603"/>
      <c r="F104" s="644"/>
      <c r="G104" s="603"/>
      <c r="H104" s="679"/>
      <c r="I104" s="692"/>
      <c r="J104" s="861"/>
      <c r="K104" s="862"/>
      <c r="L104" s="508"/>
      <c r="M104" s="294"/>
    </row>
    <row r="105" spans="1:13" ht="15">
      <c r="A105" s="664"/>
      <c r="B105" s="1127"/>
      <c r="C105" s="1127"/>
      <c r="D105" s="688"/>
      <c r="E105" s="688"/>
      <c r="F105" s="1144" t="s">
        <v>545</v>
      </c>
      <c r="G105" s="693">
        <f>SUM(G55:G104)-SUM(I55:I104)</f>
        <v>0</v>
      </c>
      <c r="H105" s="665"/>
      <c r="I105" s="689"/>
      <c r="J105" s="664"/>
      <c r="K105" s="524"/>
      <c r="L105" s="171"/>
    </row>
    <row r="106" spans="1:13">
      <c r="A106" s="274"/>
      <c r="B106" s="274"/>
      <c r="C106" s="274"/>
      <c r="D106" s="275"/>
      <c r="E106" s="275"/>
      <c r="F106" s="275"/>
      <c r="G106" s="225"/>
      <c r="H106" s="225"/>
      <c r="I106" s="176"/>
      <c r="J106" s="176"/>
      <c r="K106" s="139"/>
      <c r="L106" s="174"/>
    </row>
    <row r="107" spans="1:13">
      <c r="A107" s="274"/>
      <c r="B107" s="274"/>
      <c r="C107" s="274"/>
      <c r="D107" s="275"/>
      <c r="E107" s="275"/>
      <c r="F107" s="275"/>
      <c r="G107" s="225"/>
      <c r="H107" s="225"/>
      <c r="I107" s="176"/>
      <c r="J107" s="176"/>
      <c r="K107" s="139"/>
      <c r="L107" s="174"/>
    </row>
    <row r="108" spans="1:13">
      <c r="I108" s="176"/>
      <c r="J108" s="176"/>
      <c r="K108" s="139"/>
      <c r="L108" s="174"/>
    </row>
  </sheetData>
  <mergeCells count="63">
    <mergeCell ref="D83:D84"/>
    <mergeCell ref="A83:A84"/>
    <mergeCell ref="C83:C84"/>
    <mergeCell ref="B83:B84"/>
    <mergeCell ref="J84:J87"/>
    <mergeCell ref="I84:I87"/>
    <mergeCell ref="J88:J89"/>
    <mergeCell ref="F83:F84"/>
    <mergeCell ref="E83:E84"/>
    <mergeCell ref="D57:D58"/>
    <mergeCell ref="A57:A58"/>
    <mergeCell ref="D59:D60"/>
    <mergeCell ref="A59:A60"/>
    <mergeCell ref="E59:E60"/>
    <mergeCell ref="E57:E58"/>
    <mergeCell ref="I2:I4"/>
    <mergeCell ref="I9:I11"/>
    <mergeCell ref="I14:I25"/>
    <mergeCell ref="I28:I35"/>
    <mergeCell ref="I36:I38"/>
    <mergeCell ref="K2:K4"/>
    <mergeCell ref="K9:K11"/>
    <mergeCell ref="K14:K25"/>
    <mergeCell ref="K28:K35"/>
    <mergeCell ref="K36:K38"/>
    <mergeCell ref="J2:J4"/>
    <mergeCell ref="J9:J11"/>
    <mergeCell ref="J14:J25"/>
    <mergeCell ref="J28:J35"/>
    <mergeCell ref="J36:J38"/>
    <mergeCell ref="I88:I89"/>
    <mergeCell ref="K88:K89"/>
    <mergeCell ref="I39:I41"/>
    <mergeCell ref="I60:I64"/>
    <mergeCell ref="J39:J41"/>
    <mergeCell ref="J42:J45"/>
    <mergeCell ref="J46:J50"/>
    <mergeCell ref="J51:J54"/>
    <mergeCell ref="J60:J64"/>
    <mergeCell ref="K39:K41"/>
    <mergeCell ref="K42:K45"/>
    <mergeCell ref="K46:K50"/>
    <mergeCell ref="K82:K83"/>
    <mergeCell ref="J82:J83"/>
    <mergeCell ref="I82:I83"/>
    <mergeCell ref="K84:K87"/>
    <mergeCell ref="I51:I54"/>
    <mergeCell ref="I42:I45"/>
    <mergeCell ref="I46:I50"/>
    <mergeCell ref="K51:K54"/>
    <mergeCell ref="I76:I81"/>
    <mergeCell ref="K76:K81"/>
    <mergeCell ref="J76:J81"/>
    <mergeCell ref="K60:K64"/>
    <mergeCell ref="I67:I75"/>
    <mergeCell ref="K67:K75"/>
    <mergeCell ref="J67:J75"/>
    <mergeCell ref="I96:I98"/>
    <mergeCell ref="K96:K98"/>
    <mergeCell ref="J96:J98"/>
    <mergeCell ref="I91:I94"/>
    <mergeCell ref="K91:K94"/>
    <mergeCell ref="J91:J94"/>
  </mergeCells>
  <phoneticPr fontId="15" type="noConversion"/>
  <hyperlinks>
    <hyperlink ref="F105" location="汇总!A1" display="剩余欠款"/>
  </hyperlinks>
  <pageMargins left="0.75" right="0.75" top="1" bottom="1" header="0.5" footer="0.5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N127"/>
  <sheetViews>
    <sheetView zoomScaleNormal="100" zoomScaleSheetLayoutView="100" workbookViewId="0">
      <pane ySplit="1" topLeftCell="A94" activePane="bottomLeft" state="frozen"/>
      <selection activeCell="C33" sqref="C33"/>
      <selection pane="bottomLeft" activeCell="F120" sqref="F120"/>
    </sheetView>
  </sheetViews>
  <sheetFormatPr defaultRowHeight="14.25"/>
  <cols>
    <col min="1" max="2" width="11.25" style="135" customWidth="1"/>
    <col min="3" max="3" width="35.5" style="135" bestFit="1" customWidth="1"/>
    <col min="4" max="4" width="18.375" style="280" bestFit="1" customWidth="1"/>
    <col min="5" max="5" width="11.375" style="520" bestFit="1" customWidth="1"/>
    <col min="6" max="6" width="11.625" style="533" bestFit="1" customWidth="1"/>
    <col min="7" max="7" width="15.375" style="87" bestFit="1" customWidth="1"/>
    <col min="8" max="8" width="17.875" style="173" customWidth="1"/>
    <col min="9" max="9" width="14" style="87" bestFit="1" customWidth="1"/>
    <col min="10" max="10" width="19.375" style="135" customWidth="1"/>
    <col min="11" max="11" width="17" style="135" customWidth="1"/>
    <col min="12" max="12" width="44.625" style="280" customWidth="1"/>
    <col min="13" max="13" width="13.875" style="87" bestFit="1" customWidth="1"/>
    <col min="14" max="16384" width="9" style="87"/>
  </cols>
  <sheetData>
    <row r="1" spans="1:13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65" t="s">
        <v>2718</v>
      </c>
      <c r="F1" s="510" t="s">
        <v>2719</v>
      </c>
      <c r="G1" s="257" t="s">
        <v>2721</v>
      </c>
      <c r="H1" s="256" t="s">
        <v>4099</v>
      </c>
      <c r="I1" s="265" t="s">
        <v>3043</v>
      </c>
      <c r="J1" s="257" t="s">
        <v>4100</v>
      </c>
      <c r="K1" s="257" t="s">
        <v>541</v>
      </c>
      <c r="L1" s="256" t="s">
        <v>542</v>
      </c>
    </row>
    <row r="2" spans="1:13" ht="15" hidden="1">
      <c r="A2" s="263">
        <v>43524</v>
      </c>
      <c r="B2" s="1124"/>
      <c r="C2" s="1124"/>
      <c r="D2" s="234" t="s">
        <v>368</v>
      </c>
      <c r="E2" s="354"/>
      <c r="F2" s="513"/>
      <c r="G2" s="429">
        <v>1653.09</v>
      </c>
      <c r="H2" s="264"/>
      <c r="I2" s="2088">
        <v>3000</v>
      </c>
      <c r="J2" s="2087">
        <v>43629</v>
      </c>
      <c r="K2" s="2086" t="s">
        <v>384</v>
      </c>
      <c r="L2" s="283"/>
    </row>
    <row r="3" spans="1:13" ht="15" hidden="1">
      <c r="A3" s="263"/>
      <c r="B3" s="1124"/>
      <c r="C3" s="1124"/>
      <c r="D3" s="234" t="s">
        <v>369</v>
      </c>
      <c r="E3" s="354"/>
      <c r="F3" s="513"/>
      <c r="G3" s="429">
        <v>714.46</v>
      </c>
      <c r="H3" s="264"/>
      <c r="I3" s="2088"/>
      <c r="J3" s="2086"/>
      <c r="K3" s="2086"/>
      <c r="L3" s="283" t="s">
        <v>370</v>
      </c>
    </row>
    <row r="4" spans="1:13" ht="15" hidden="1">
      <c r="A4" s="263">
        <v>43515</v>
      </c>
      <c r="B4" s="1124"/>
      <c r="C4" s="1124"/>
      <c r="D4" s="234" t="s">
        <v>371</v>
      </c>
      <c r="E4" s="354"/>
      <c r="F4" s="513"/>
      <c r="G4" s="429">
        <v>2220.59</v>
      </c>
      <c r="H4" s="264"/>
      <c r="I4" s="2088"/>
      <c r="J4" s="2086"/>
      <c r="K4" s="2086"/>
      <c r="L4" s="283"/>
    </row>
    <row r="5" spans="1:13" ht="15" hidden="1">
      <c r="A5" s="263"/>
      <c r="B5" s="1124"/>
      <c r="C5" s="1124"/>
      <c r="D5" s="234"/>
      <c r="E5" s="354"/>
      <c r="F5" s="513" t="s">
        <v>2735</v>
      </c>
      <c r="G5" s="429">
        <f>SUM(G2:G4)-I2</f>
        <v>1588.1400000000003</v>
      </c>
      <c r="H5" s="282"/>
      <c r="I5" s="427">
        <v>4000</v>
      </c>
      <c r="J5" s="233">
        <v>43778</v>
      </c>
      <c r="K5" s="234" t="s">
        <v>398</v>
      </c>
      <c r="L5" s="283"/>
    </row>
    <row r="6" spans="1:13" ht="15" hidden="1">
      <c r="A6" s="263"/>
      <c r="B6" s="1124"/>
      <c r="C6" s="1124"/>
      <c r="D6" s="234" t="s">
        <v>373</v>
      </c>
      <c r="E6" s="354"/>
      <c r="F6" s="513"/>
      <c r="G6" s="429">
        <v>5520.15</v>
      </c>
      <c r="H6" s="264"/>
      <c r="I6" s="427">
        <v>2000</v>
      </c>
      <c r="J6" s="233">
        <v>43865</v>
      </c>
      <c r="K6" s="234" t="s">
        <v>738</v>
      </c>
      <c r="L6" s="283"/>
    </row>
    <row r="7" spans="1:13" ht="15" hidden="1">
      <c r="A7" s="263"/>
      <c r="B7" s="1124"/>
      <c r="C7" s="1124"/>
      <c r="D7" s="234"/>
      <c r="E7" s="354"/>
      <c r="F7" s="513" t="s">
        <v>2735</v>
      </c>
      <c r="G7" s="429">
        <f>SUM(G5+G6-I5-I6)</f>
        <v>1108.29</v>
      </c>
      <c r="H7" s="282"/>
      <c r="I7" s="2092">
        <v>0.02</v>
      </c>
      <c r="J7" s="2089" t="s">
        <v>2347</v>
      </c>
      <c r="K7" s="2086" t="s">
        <v>739</v>
      </c>
      <c r="L7" s="283"/>
    </row>
    <row r="8" spans="1:13" ht="15" hidden="1">
      <c r="A8" s="263">
        <v>43539</v>
      </c>
      <c r="B8" s="1124"/>
      <c r="C8" s="1124"/>
      <c r="D8" s="234" t="s">
        <v>379</v>
      </c>
      <c r="E8" s="354"/>
      <c r="F8" s="513"/>
      <c r="G8" s="429">
        <v>1116.92</v>
      </c>
      <c r="H8" s="264"/>
      <c r="I8" s="2092"/>
      <c r="J8" s="2090"/>
      <c r="K8" s="2086"/>
      <c r="L8" s="283"/>
    </row>
    <row r="9" spans="1:13" ht="15" hidden="1">
      <c r="A9" s="263"/>
      <c r="B9" s="1124"/>
      <c r="C9" s="1124"/>
      <c r="D9" s="234" t="s">
        <v>380</v>
      </c>
      <c r="E9" s="354"/>
      <c r="F9" s="513"/>
      <c r="G9" s="429">
        <v>2718.52</v>
      </c>
      <c r="H9" s="264"/>
      <c r="I9" s="2092"/>
      <c r="J9" s="2090"/>
      <c r="K9" s="2086"/>
      <c r="L9" s="283"/>
    </row>
    <row r="10" spans="1:13" ht="15" hidden="1">
      <c r="A10" s="263">
        <v>43626</v>
      </c>
      <c r="B10" s="1124"/>
      <c r="C10" s="1124"/>
      <c r="D10" s="234" t="s">
        <v>382</v>
      </c>
      <c r="E10" s="354"/>
      <c r="F10" s="513"/>
      <c r="G10" s="429">
        <v>0.02</v>
      </c>
      <c r="H10" s="264"/>
      <c r="I10" s="2092"/>
      <c r="J10" s="2090"/>
      <c r="K10" s="2086"/>
      <c r="L10" s="283" t="s">
        <v>741</v>
      </c>
      <c r="M10" s="175"/>
    </row>
    <row r="11" spans="1:13" ht="15" hidden="1">
      <c r="A11" s="263">
        <v>43633</v>
      </c>
      <c r="B11" s="1124"/>
      <c r="C11" s="1124"/>
      <c r="D11" s="234" t="s">
        <v>385</v>
      </c>
      <c r="E11" s="354"/>
      <c r="F11" s="513"/>
      <c r="G11" s="429">
        <v>346.5</v>
      </c>
      <c r="H11" s="264"/>
      <c r="I11" s="2092"/>
      <c r="J11" s="2090"/>
      <c r="K11" s="2086"/>
      <c r="L11" s="283" t="s">
        <v>386</v>
      </c>
      <c r="M11" s="175"/>
    </row>
    <row r="12" spans="1:13" ht="15" hidden="1">
      <c r="A12" s="263">
        <v>43717</v>
      </c>
      <c r="B12" s="1124"/>
      <c r="C12" s="1124"/>
      <c r="D12" s="234" t="s">
        <v>388</v>
      </c>
      <c r="E12" s="354"/>
      <c r="F12" s="513"/>
      <c r="G12" s="429">
        <v>-4379.9799999999996</v>
      </c>
      <c r="H12" s="264"/>
      <c r="I12" s="2092"/>
      <c r="J12" s="2090"/>
      <c r="K12" s="2086"/>
      <c r="L12" s="2093" t="s">
        <v>389</v>
      </c>
      <c r="M12" s="175"/>
    </row>
    <row r="13" spans="1:13" ht="15" hidden="1">
      <c r="A13" s="263">
        <v>43717</v>
      </c>
      <c r="B13" s="1124"/>
      <c r="C13" s="1124"/>
      <c r="D13" s="234" t="s">
        <v>390</v>
      </c>
      <c r="E13" s="354"/>
      <c r="F13" s="513"/>
      <c r="G13" s="429">
        <v>-96.39</v>
      </c>
      <c r="H13" s="264"/>
      <c r="I13" s="2092"/>
      <c r="J13" s="2090"/>
      <c r="K13" s="2086"/>
      <c r="L13" s="2093"/>
      <c r="M13" s="175"/>
    </row>
    <row r="14" spans="1:13" ht="15" hidden="1">
      <c r="A14" s="263">
        <v>43717</v>
      </c>
      <c r="B14" s="1124"/>
      <c r="C14" s="1124"/>
      <c r="D14" s="234" t="s">
        <v>391</v>
      </c>
      <c r="E14" s="354"/>
      <c r="F14" s="513"/>
      <c r="G14" s="429">
        <v>-45.54</v>
      </c>
      <c r="H14" s="264"/>
      <c r="I14" s="2092"/>
      <c r="J14" s="2090"/>
      <c r="K14" s="2086"/>
      <c r="L14" s="2093"/>
      <c r="M14" s="175"/>
    </row>
    <row r="15" spans="1:13" ht="15" hidden="1">
      <c r="A15" s="263">
        <v>43717</v>
      </c>
      <c r="B15" s="1124"/>
      <c r="C15" s="1124"/>
      <c r="D15" s="234" t="s">
        <v>392</v>
      </c>
      <c r="E15" s="354"/>
      <c r="F15" s="513"/>
      <c r="G15" s="429">
        <v>-86.45</v>
      </c>
      <c r="H15" s="264"/>
      <c r="I15" s="2092"/>
      <c r="J15" s="2091"/>
      <c r="K15" s="2086"/>
      <c r="L15" s="2093"/>
      <c r="M15" s="175"/>
    </row>
    <row r="16" spans="1:13" ht="15" hidden="1">
      <c r="A16" s="263"/>
      <c r="B16" s="1124"/>
      <c r="C16" s="1124"/>
      <c r="D16" s="234"/>
      <c r="E16" s="354"/>
      <c r="F16" s="513" t="s">
        <v>2735</v>
      </c>
      <c r="G16" s="429">
        <f>SUM(G7:G15)-I7</f>
        <v>681.87000000000046</v>
      </c>
      <c r="H16" s="282"/>
      <c r="I16" s="2092">
        <v>2000</v>
      </c>
      <c r="J16" s="2087">
        <v>44098</v>
      </c>
      <c r="K16" s="2086" t="s">
        <v>738</v>
      </c>
      <c r="L16" s="122"/>
      <c r="M16" s="175"/>
    </row>
    <row r="17" spans="1:13" ht="15" hidden="1">
      <c r="A17" s="263">
        <v>43720</v>
      </c>
      <c r="B17" s="1124"/>
      <c r="C17" s="1124"/>
      <c r="D17" s="234" t="s">
        <v>393</v>
      </c>
      <c r="E17" s="354"/>
      <c r="F17" s="513"/>
      <c r="G17" s="429">
        <v>1024.5</v>
      </c>
      <c r="H17" s="264"/>
      <c r="I17" s="2092"/>
      <c r="J17" s="2087"/>
      <c r="K17" s="2086"/>
      <c r="L17" s="122" t="s">
        <v>394</v>
      </c>
      <c r="M17" s="175"/>
    </row>
    <row r="18" spans="1:13" ht="15" hidden="1">
      <c r="A18" s="263">
        <v>43735</v>
      </c>
      <c r="B18" s="1124"/>
      <c r="C18" s="1124"/>
      <c r="D18" s="234" t="s">
        <v>396</v>
      </c>
      <c r="E18" s="354"/>
      <c r="F18" s="513"/>
      <c r="G18" s="429">
        <v>353.6</v>
      </c>
      <c r="H18" s="264"/>
      <c r="I18" s="2092"/>
      <c r="J18" s="2087"/>
      <c r="K18" s="2086"/>
      <c r="L18" s="122" t="s">
        <v>394</v>
      </c>
      <c r="M18" s="175"/>
    </row>
    <row r="19" spans="1:13" ht="15" hidden="1">
      <c r="A19" s="263"/>
      <c r="B19" s="1124"/>
      <c r="C19" s="1124"/>
      <c r="D19" s="234"/>
      <c r="E19" s="354"/>
      <c r="F19" s="513" t="s">
        <v>2735</v>
      </c>
      <c r="G19" s="429">
        <f>SUM(G16:G18)-I16</f>
        <v>59.970000000000255</v>
      </c>
      <c r="H19" s="282"/>
      <c r="I19" s="2092">
        <v>3000</v>
      </c>
      <c r="J19" s="2087">
        <v>44165</v>
      </c>
      <c r="K19" s="2086" t="s">
        <v>743</v>
      </c>
      <c r="L19" s="122"/>
      <c r="M19" s="175"/>
    </row>
    <row r="20" spans="1:13" ht="15" hidden="1">
      <c r="A20" s="263">
        <v>43794</v>
      </c>
      <c r="B20" s="1124"/>
      <c r="C20" s="1124"/>
      <c r="D20" s="234" t="s">
        <v>399</v>
      </c>
      <c r="E20" s="354"/>
      <c r="F20" s="513"/>
      <c r="G20" s="429">
        <v>971.94</v>
      </c>
      <c r="H20" s="264"/>
      <c r="I20" s="2092"/>
      <c r="J20" s="2087"/>
      <c r="K20" s="2086"/>
      <c r="L20" s="122" t="s">
        <v>400</v>
      </c>
      <c r="M20" s="175"/>
    </row>
    <row r="21" spans="1:13" ht="15" hidden="1">
      <c r="A21" s="263">
        <v>43794</v>
      </c>
      <c r="B21" s="1124"/>
      <c r="C21" s="1124"/>
      <c r="D21" s="234" t="s">
        <v>401</v>
      </c>
      <c r="E21" s="354"/>
      <c r="F21" s="513"/>
      <c r="G21" s="429">
        <v>74.25</v>
      </c>
      <c r="H21" s="264"/>
      <c r="I21" s="2092"/>
      <c r="J21" s="2087"/>
      <c r="K21" s="2086"/>
      <c r="L21" s="122" t="s">
        <v>400</v>
      </c>
      <c r="M21" s="175"/>
    </row>
    <row r="22" spans="1:13" ht="15" hidden="1">
      <c r="A22" s="264">
        <v>43853</v>
      </c>
      <c r="B22" s="1124"/>
      <c r="C22" s="1124"/>
      <c r="D22" s="234" t="s">
        <v>744</v>
      </c>
      <c r="E22" s="354"/>
      <c r="F22" s="513"/>
      <c r="G22" s="429">
        <v>461.63</v>
      </c>
      <c r="H22" s="264"/>
      <c r="I22" s="2092"/>
      <c r="J22" s="2087"/>
      <c r="K22" s="2086"/>
      <c r="L22" s="122" t="s">
        <v>400</v>
      </c>
      <c r="M22" s="175"/>
    </row>
    <row r="23" spans="1:13" ht="15" hidden="1">
      <c r="A23" s="264">
        <v>43882</v>
      </c>
      <c r="B23" s="1124"/>
      <c r="C23" s="1124"/>
      <c r="D23" s="234" t="s">
        <v>745</v>
      </c>
      <c r="E23" s="354"/>
      <c r="F23" s="513"/>
      <c r="G23" s="429">
        <v>5905.88</v>
      </c>
      <c r="H23" s="264"/>
      <c r="I23" s="2092"/>
      <c r="J23" s="2087"/>
      <c r="K23" s="2086"/>
      <c r="L23" s="122" t="s">
        <v>400</v>
      </c>
      <c r="M23" s="175"/>
    </row>
    <row r="24" spans="1:13" ht="15" hidden="1">
      <c r="A24" s="264"/>
      <c r="B24" s="1124"/>
      <c r="C24" s="1124"/>
      <c r="D24" s="284"/>
      <c r="E24" s="354"/>
      <c r="F24" s="513" t="s">
        <v>2735</v>
      </c>
      <c r="G24" s="429">
        <f>SUM(G19:G23)-I19</f>
        <v>4473.67</v>
      </c>
      <c r="H24" s="282"/>
      <c r="I24" s="427">
        <v>4000</v>
      </c>
      <c r="J24" s="353">
        <v>44281</v>
      </c>
      <c r="K24" s="285" t="s">
        <v>746</v>
      </c>
      <c r="L24" s="122"/>
      <c r="M24" s="175"/>
    </row>
    <row r="25" spans="1:13" ht="15" hidden="1">
      <c r="A25" s="264"/>
      <c r="B25" s="1124"/>
      <c r="C25" s="1124"/>
      <c r="D25" s="284"/>
      <c r="E25" s="354"/>
      <c r="F25" s="513" t="s">
        <v>2735</v>
      </c>
      <c r="G25" s="429">
        <f>G24-I24</f>
        <v>473.67000000000007</v>
      </c>
      <c r="H25" s="282"/>
      <c r="I25" s="2092">
        <v>6000.44</v>
      </c>
      <c r="J25" s="285"/>
      <c r="K25" s="2098" t="s">
        <v>2346</v>
      </c>
      <c r="L25" s="122"/>
      <c r="M25" s="175"/>
    </row>
    <row r="26" spans="1:13" s="280" customFormat="1" ht="48" hidden="1">
      <c r="A26" s="263">
        <v>43982</v>
      </c>
      <c r="B26" s="1124" t="s">
        <v>522</v>
      </c>
      <c r="C26" s="1124" t="s">
        <v>4104</v>
      </c>
      <c r="D26" s="234" t="s">
        <v>747</v>
      </c>
      <c r="E26" s="354">
        <v>-591.95000000000005</v>
      </c>
      <c r="F26" s="513">
        <v>0</v>
      </c>
      <c r="G26" s="429">
        <v>-591.95000000000005</v>
      </c>
      <c r="H26" s="264">
        <v>44012</v>
      </c>
      <c r="I26" s="2092"/>
      <c r="J26" s="234"/>
      <c r="K26" s="2015"/>
      <c r="L26" s="279" t="s">
        <v>748</v>
      </c>
      <c r="M26" s="175"/>
    </row>
    <row r="27" spans="1:13" ht="15" hidden="1">
      <c r="A27" s="263">
        <v>44102</v>
      </c>
      <c r="B27" s="1124" t="s">
        <v>522</v>
      </c>
      <c r="C27" s="1124" t="s">
        <v>4104</v>
      </c>
      <c r="D27" s="234" t="s">
        <v>749</v>
      </c>
      <c r="E27" s="354">
        <v>1476.23</v>
      </c>
      <c r="F27" s="513">
        <v>0</v>
      </c>
      <c r="G27" s="429">
        <v>1476.23</v>
      </c>
      <c r="H27" s="264">
        <v>44132</v>
      </c>
      <c r="I27" s="2092"/>
      <c r="J27" s="285"/>
      <c r="K27" s="2015"/>
      <c r="L27" s="122" t="s">
        <v>750</v>
      </c>
      <c r="M27" s="175"/>
    </row>
    <row r="28" spans="1:13" ht="15" hidden="1">
      <c r="A28" s="263">
        <v>44145</v>
      </c>
      <c r="B28" s="1124" t="s">
        <v>522</v>
      </c>
      <c r="C28" s="1124" t="s">
        <v>4104</v>
      </c>
      <c r="D28" s="234" t="s">
        <v>752</v>
      </c>
      <c r="E28" s="354">
        <v>1383.99</v>
      </c>
      <c r="F28" s="513">
        <v>0</v>
      </c>
      <c r="G28" s="429">
        <v>1383.99</v>
      </c>
      <c r="H28" s="264">
        <v>44175</v>
      </c>
      <c r="I28" s="2092"/>
      <c r="J28" s="285"/>
      <c r="K28" s="2015"/>
      <c r="L28" s="122" t="s">
        <v>753</v>
      </c>
      <c r="M28" s="175"/>
    </row>
    <row r="29" spans="1:13" ht="28.5" hidden="1">
      <c r="A29" s="263"/>
      <c r="B29" s="1124"/>
      <c r="C29" s="1124"/>
      <c r="D29" s="284"/>
      <c r="E29" s="354"/>
      <c r="F29" s="513"/>
      <c r="G29" s="429">
        <v>-37.5</v>
      </c>
      <c r="H29" s="264"/>
      <c r="I29" s="2092"/>
      <c r="J29" s="285"/>
      <c r="K29" s="2015"/>
      <c r="L29" s="121" t="s">
        <v>754</v>
      </c>
      <c r="M29" s="175"/>
    </row>
    <row r="30" spans="1:13" ht="15" hidden="1">
      <c r="A30" s="263">
        <v>44218</v>
      </c>
      <c r="B30" s="1124" t="s">
        <v>522</v>
      </c>
      <c r="C30" s="1124" t="s">
        <v>4104</v>
      </c>
      <c r="D30" s="262" t="s">
        <v>755</v>
      </c>
      <c r="E30" s="354">
        <v>2749.07</v>
      </c>
      <c r="F30" s="513">
        <v>0</v>
      </c>
      <c r="G30" s="429">
        <v>0</v>
      </c>
      <c r="H30" s="264">
        <v>44248</v>
      </c>
      <c r="I30" s="2092"/>
      <c r="J30" s="293" t="s">
        <v>1852</v>
      </c>
      <c r="K30" s="2015"/>
      <c r="L30" s="122" t="s">
        <v>756</v>
      </c>
      <c r="M30" s="175"/>
    </row>
    <row r="31" spans="1:13" ht="15" hidden="1">
      <c r="A31" s="263">
        <v>44221</v>
      </c>
      <c r="B31" s="1124" t="s">
        <v>522</v>
      </c>
      <c r="C31" s="1124" t="s">
        <v>4104</v>
      </c>
      <c r="D31" s="262" t="s">
        <v>758</v>
      </c>
      <c r="E31" s="354">
        <v>952.31</v>
      </c>
      <c r="F31" s="513">
        <v>0</v>
      </c>
      <c r="G31" s="429">
        <v>952.31</v>
      </c>
      <c r="H31" s="264">
        <v>44251</v>
      </c>
      <c r="I31" s="2092"/>
      <c r="J31" s="285"/>
      <c r="K31" s="2015"/>
      <c r="L31" s="118" t="s">
        <v>759</v>
      </c>
      <c r="M31" s="175"/>
    </row>
    <row r="32" spans="1:13" ht="15" hidden="1">
      <c r="A32" s="263">
        <v>44278</v>
      </c>
      <c r="B32" s="1124" t="s">
        <v>522</v>
      </c>
      <c r="C32" s="1124" t="s">
        <v>4104</v>
      </c>
      <c r="D32" s="262" t="s">
        <v>760</v>
      </c>
      <c r="E32" s="354">
        <v>8098.08</v>
      </c>
      <c r="F32" s="513">
        <v>0</v>
      </c>
      <c r="G32" s="429">
        <v>8098.07</v>
      </c>
      <c r="H32" s="264">
        <v>44309</v>
      </c>
      <c r="I32" s="2092"/>
      <c r="J32" s="285"/>
      <c r="K32" s="2015"/>
      <c r="L32" s="286" t="s">
        <v>753</v>
      </c>
      <c r="M32" s="175"/>
    </row>
    <row r="33" spans="1:13" ht="15" hidden="1">
      <c r="A33" s="263">
        <v>44281</v>
      </c>
      <c r="B33" s="1124" t="s">
        <v>522</v>
      </c>
      <c r="C33" s="1124" t="s">
        <v>4104</v>
      </c>
      <c r="D33" s="262" t="s">
        <v>762</v>
      </c>
      <c r="E33" s="354">
        <v>-515.36</v>
      </c>
      <c r="F33" s="513">
        <v>0</v>
      </c>
      <c r="G33" s="429">
        <v>-515.36</v>
      </c>
      <c r="H33" s="264" t="s">
        <v>1529</v>
      </c>
      <c r="I33" s="2092"/>
      <c r="J33" s="285"/>
      <c r="K33" s="2015"/>
      <c r="L33" s="287" t="s">
        <v>763</v>
      </c>
      <c r="M33" s="175"/>
    </row>
    <row r="34" spans="1:13" ht="15" hidden="1">
      <c r="A34" s="263">
        <v>44285</v>
      </c>
      <c r="B34" s="1124" t="s">
        <v>522</v>
      </c>
      <c r="C34" s="1124" t="s">
        <v>4104</v>
      </c>
      <c r="D34" s="262" t="s">
        <v>764</v>
      </c>
      <c r="E34" s="354">
        <v>-146.85</v>
      </c>
      <c r="F34" s="513">
        <v>0</v>
      </c>
      <c r="G34" s="429">
        <v>-146.85</v>
      </c>
      <c r="H34" s="264" t="s">
        <v>1529</v>
      </c>
      <c r="I34" s="2092"/>
      <c r="J34" s="285"/>
      <c r="K34" s="2015"/>
      <c r="L34" s="287" t="s">
        <v>763</v>
      </c>
      <c r="M34" s="175"/>
    </row>
    <row r="35" spans="1:13" ht="15" hidden="1">
      <c r="A35" s="263">
        <v>44285</v>
      </c>
      <c r="B35" s="1124" t="s">
        <v>522</v>
      </c>
      <c r="C35" s="1124" t="s">
        <v>4104</v>
      </c>
      <c r="D35" s="262" t="s">
        <v>765</v>
      </c>
      <c r="E35" s="354">
        <v>-98.21</v>
      </c>
      <c r="F35" s="513">
        <v>0</v>
      </c>
      <c r="G35" s="429">
        <v>-98.21</v>
      </c>
      <c r="H35" s="264" t="s">
        <v>1529</v>
      </c>
      <c r="I35" s="2092"/>
      <c r="J35" s="285"/>
      <c r="K35" s="2015"/>
      <c r="L35" s="287" t="s">
        <v>763</v>
      </c>
      <c r="M35" s="175"/>
    </row>
    <row r="36" spans="1:13" ht="15" hidden="1">
      <c r="A36" s="263">
        <v>44285</v>
      </c>
      <c r="B36" s="1124" t="s">
        <v>522</v>
      </c>
      <c r="C36" s="1124" t="s">
        <v>4104</v>
      </c>
      <c r="D36" s="262" t="s">
        <v>766</v>
      </c>
      <c r="E36" s="354">
        <v>-135.19</v>
      </c>
      <c r="F36" s="513">
        <v>0</v>
      </c>
      <c r="G36" s="429">
        <v>-135.19</v>
      </c>
      <c r="H36" s="264" t="s">
        <v>1529</v>
      </c>
      <c r="I36" s="2092"/>
      <c r="J36" s="285"/>
      <c r="K36" s="2015"/>
      <c r="L36" s="287" t="s">
        <v>763</v>
      </c>
      <c r="M36" s="175"/>
    </row>
    <row r="37" spans="1:13" ht="15" hidden="1">
      <c r="A37" s="263">
        <v>44285</v>
      </c>
      <c r="B37" s="1124" t="s">
        <v>522</v>
      </c>
      <c r="C37" s="1124" t="s">
        <v>4104</v>
      </c>
      <c r="D37" s="262" t="s">
        <v>767</v>
      </c>
      <c r="E37" s="354">
        <v>-81.34</v>
      </c>
      <c r="F37" s="513">
        <v>0</v>
      </c>
      <c r="G37" s="429">
        <v>-81.34</v>
      </c>
      <c r="H37" s="264" t="s">
        <v>1529</v>
      </c>
      <c r="I37" s="2092"/>
      <c r="J37" s="285"/>
      <c r="K37" s="2015"/>
      <c r="L37" s="287" t="s">
        <v>763</v>
      </c>
      <c r="M37" s="175"/>
    </row>
    <row r="38" spans="1:13" ht="15" hidden="1">
      <c r="A38" s="263">
        <v>44285</v>
      </c>
      <c r="B38" s="1124" t="s">
        <v>522</v>
      </c>
      <c r="C38" s="1124" t="s">
        <v>4104</v>
      </c>
      <c r="D38" s="262" t="s">
        <v>768</v>
      </c>
      <c r="E38" s="354">
        <v>-20.25</v>
      </c>
      <c r="F38" s="513">
        <v>0</v>
      </c>
      <c r="G38" s="429">
        <v>-20.25</v>
      </c>
      <c r="H38" s="264" t="s">
        <v>1529</v>
      </c>
      <c r="I38" s="2092"/>
      <c r="J38" s="285"/>
      <c r="K38" s="2015"/>
      <c r="L38" s="287" t="s">
        <v>763</v>
      </c>
      <c r="M38" s="175"/>
    </row>
    <row r="39" spans="1:13" ht="15" hidden="1">
      <c r="A39" s="263">
        <v>44285</v>
      </c>
      <c r="B39" s="1124" t="s">
        <v>522</v>
      </c>
      <c r="C39" s="1124" t="s">
        <v>4104</v>
      </c>
      <c r="D39" s="262" t="s">
        <v>769</v>
      </c>
      <c r="E39" s="354">
        <v>-35.700000000000003</v>
      </c>
      <c r="F39" s="513">
        <v>0</v>
      </c>
      <c r="G39" s="429">
        <v>-35.700000000000003</v>
      </c>
      <c r="H39" s="264" t="s">
        <v>1529</v>
      </c>
      <c r="I39" s="2092"/>
      <c r="J39" s="285"/>
      <c r="K39" s="2015"/>
      <c r="L39" s="287" t="s">
        <v>763</v>
      </c>
      <c r="M39" s="175"/>
    </row>
    <row r="40" spans="1:13" ht="15" hidden="1">
      <c r="A40" s="263">
        <v>44285</v>
      </c>
      <c r="B40" s="1124" t="s">
        <v>522</v>
      </c>
      <c r="C40" s="1124" t="s">
        <v>4104</v>
      </c>
      <c r="D40" s="262" t="s">
        <v>770</v>
      </c>
      <c r="E40" s="354">
        <v>-132.53</v>
      </c>
      <c r="F40" s="513">
        <v>0</v>
      </c>
      <c r="G40" s="429">
        <v>-132.53</v>
      </c>
      <c r="H40" s="264" t="s">
        <v>1529</v>
      </c>
      <c r="I40" s="2092"/>
      <c r="J40" s="353"/>
      <c r="K40" s="2015"/>
      <c r="L40" s="287" t="s">
        <v>763</v>
      </c>
      <c r="M40" s="175"/>
    </row>
    <row r="41" spans="1:13" ht="15" hidden="1">
      <c r="A41" s="263">
        <v>44315</v>
      </c>
      <c r="B41" s="1124" t="s">
        <v>522</v>
      </c>
      <c r="C41" s="1124" t="s">
        <v>4104</v>
      </c>
      <c r="D41" s="262" t="s">
        <v>771</v>
      </c>
      <c r="E41" s="354">
        <v>-219</v>
      </c>
      <c r="F41" s="513">
        <v>0</v>
      </c>
      <c r="G41" s="429">
        <v>-219</v>
      </c>
      <c r="H41" s="264">
        <v>44345</v>
      </c>
      <c r="I41" s="2092"/>
      <c r="J41" s="353"/>
      <c r="K41" s="2016"/>
      <c r="L41" s="118" t="s">
        <v>772</v>
      </c>
      <c r="M41" s="175"/>
    </row>
    <row r="42" spans="1:13" ht="15" hidden="1">
      <c r="A42" s="263"/>
      <c r="B42" s="1124"/>
      <c r="C42" s="1124"/>
      <c r="D42" s="262"/>
      <c r="E42" s="354"/>
      <c r="F42" s="513" t="s">
        <v>2735</v>
      </c>
      <c r="G42" s="429">
        <f>SUM(G25:G41)-I25</f>
        <v>4369.949999999998</v>
      </c>
      <c r="H42" s="91"/>
      <c r="I42" s="427">
        <v>3000</v>
      </c>
      <c r="J42" s="353">
        <v>44406</v>
      </c>
      <c r="K42" s="347" t="s">
        <v>550</v>
      </c>
      <c r="L42" s="118"/>
      <c r="M42" s="175"/>
    </row>
    <row r="43" spans="1:13" ht="15" hidden="1">
      <c r="A43" s="263"/>
      <c r="B43" s="1124"/>
      <c r="C43" s="1124"/>
      <c r="D43" s="262"/>
      <c r="E43" s="354"/>
      <c r="F43" s="513" t="s">
        <v>2735</v>
      </c>
      <c r="G43" s="429">
        <f>G42-I42</f>
        <v>1369.949999999998</v>
      </c>
      <c r="H43" s="91"/>
      <c r="I43" s="2092">
        <v>2505</v>
      </c>
      <c r="J43" s="2094">
        <v>44456</v>
      </c>
      <c r="K43" s="1968" t="s">
        <v>550</v>
      </c>
      <c r="L43" s="118"/>
      <c r="M43" s="175"/>
    </row>
    <row r="44" spans="1:13" ht="15" hidden="1">
      <c r="A44" s="263">
        <v>44327</v>
      </c>
      <c r="B44" s="1124" t="s">
        <v>522</v>
      </c>
      <c r="C44" s="1124" t="s">
        <v>4104</v>
      </c>
      <c r="D44" s="262" t="s">
        <v>773</v>
      </c>
      <c r="E44" s="354">
        <v>1135.05</v>
      </c>
      <c r="F44" s="513">
        <v>0</v>
      </c>
      <c r="G44" s="429">
        <v>1135.05</v>
      </c>
      <c r="H44" s="264">
        <v>44357</v>
      </c>
      <c r="I44" s="2092"/>
      <c r="J44" s="2094"/>
      <c r="K44" s="1957"/>
      <c r="L44" s="283"/>
      <c r="M44" s="175"/>
    </row>
    <row r="45" spans="1:13" ht="15" hidden="1">
      <c r="A45" s="263"/>
      <c r="B45" s="1124"/>
      <c r="C45" s="1124"/>
      <c r="D45" s="262"/>
      <c r="E45" s="354"/>
      <c r="F45" s="513" t="s">
        <v>2735</v>
      </c>
      <c r="G45" s="429">
        <f>G44+G43-I43</f>
        <v>0</v>
      </c>
      <c r="H45" s="285"/>
      <c r="I45" s="2092">
        <v>5000</v>
      </c>
      <c r="J45" s="2095">
        <v>44497</v>
      </c>
      <c r="K45" s="1968" t="s">
        <v>550</v>
      </c>
      <c r="L45" s="283"/>
      <c r="M45" s="175"/>
    </row>
    <row r="46" spans="1:13" ht="15" hidden="1">
      <c r="A46" s="362">
        <v>44343</v>
      </c>
      <c r="B46" s="1124" t="s">
        <v>522</v>
      </c>
      <c r="C46" s="1124" t="s">
        <v>4104</v>
      </c>
      <c r="D46" s="262" t="s">
        <v>774</v>
      </c>
      <c r="E46" s="354">
        <v>2990.81</v>
      </c>
      <c r="F46" s="513">
        <v>0</v>
      </c>
      <c r="G46" s="429">
        <v>2990.81</v>
      </c>
      <c r="H46" s="264">
        <v>44373</v>
      </c>
      <c r="I46" s="2092"/>
      <c r="J46" s="2096"/>
      <c r="K46" s="1962"/>
      <c r="L46" s="283"/>
      <c r="M46" s="175"/>
    </row>
    <row r="47" spans="1:13" ht="15" hidden="1">
      <c r="A47" s="263">
        <v>44370</v>
      </c>
      <c r="B47" s="1124" t="s">
        <v>522</v>
      </c>
      <c r="C47" s="1124" t="s">
        <v>4104</v>
      </c>
      <c r="D47" s="262" t="s">
        <v>775</v>
      </c>
      <c r="E47" s="354">
        <v>866.78</v>
      </c>
      <c r="F47" s="513">
        <v>0</v>
      </c>
      <c r="G47" s="429">
        <v>866.77</v>
      </c>
      <c r="H47" s="264">
        <v>44400</v>
      </c>
      <c r="I47" s="2092"/>
      <c r="J47" s="2096"/>
      <c r="K47" s="1962"/>
      <c r="L47" s="283"/>
      <c r="M47" s="175"/>
    </row>
    <row r="48" spans="1:13" ht="15" hidden="1">
      <c r="A48" s="263">
        <v>44391</v>
      </c>
      <c r="B48" s="1124" t="s">
        <v>522</v>
      </c>
      <c r="C48" s="1124" t="s">
        <v>4104</v>
      </c>
      <c r="D48" s="262" t="s">
        <v>776</v>
      </c>
      <c r="E48" s="354">
        <v>2198.0500000000002</v>
      </c>
      <c r="F48" s="513">
        <v>0</v>
      </c>
      <c r="G48" s="429">
        <v>2198.0500000000002</v>
      </c>
      <c r="H48" s="264">
        <v>44421</v>
      </c>
      <c r="I48" s="2092"/>
      <c r="J48" s="2097"/>
      <c r="K48" s="1957"/>
      <c r="L48" s="283"/>
      <c r="M48" s="175"/>
    </row>
    <row r="49" spans="1:13" ht="15" hidden="1">
      <c r="A49" s="263"/>
      <c r="B49" s="1124"/>
      <c r="C49" s="1124"/>
      <c r="D49" s="262"/>
      <c r="E49" s="354"/>
      <c r="F49" s="513" t="s">
        <v>2735</v>
      </c>
      <c r="G49" s="429">
        <f>SUM(G45:G48)-I45</f>
        <v>1055.6300000000001</v>
      </c>
      <c r="H49" s="285"/>
      <c r="I49" s="2092">
        <f>1653-0.82</f>
        <v>1652.18</v>
      </c>
      <c r="J49" s="353"/>
      <c r="K49" s="347"/>
      <c r="L49" s="283"/>
      <c r="M49" s="175"/>
    </row>
    <row r="50" spans="1:13" ht="15" hidden="1">
      <c r="A50" s="263">
        <v>44400</v>
      </c>
      <c r="B50" s="1124" t="s">
        <v>522</v>
      </c>
      <c r="C50" s="1124" t="s">
        <v>4104</v>
      </c>
      <c r="D50" s="262" t="s">
        <v>1851</v>
      </c>
      <c r="E50" s="354">
        <v>-37.5</v>
      </c>
      <c r="F50" s="513">
        <v>0</v>
      </c>
      <c r="G50" s="429"/>
      <c r="H50" s="264">
        <v>44430</v>
      </c>
      <c r="I50" s="2092"/>
      <c r="J50" s="349"/>
      <c r="K50" s="352">
        <v>-37.5</v>
      </c>
      <c r="L50" s="283" t="s">
        <v>777</v>
      </c>
      <c r="M50" s="175"/>
    </row>
    <row r="51" spans="1:13" ht="15" hidden="1">
      <c r="A51" s="263">
        <v>44419</v>
      </c>
      <c r="B51" s="1124" t="s">
        <v>522</v>
      </c>
      <c r="C51" s="1124" t="s">
        <v>4104</v>
      </c>
      <c r="D51" s="262" t="s">
        <v>778</v>
      </c>
      <c r="E51" s="354">
        <v>596.54999999999995</v>
      </c>
      <c r="F51" s="513">
        <v>0</v>
      </c>
      <c r="G51" s="429">
        <v>596.54999999999995</v>
      </c>
      <c r="H51" s="264">
        <v>44449</v>
      </c>
      <c r="I51" s="2092"/>
      <c r="J51" s="353">
        <v>44539</v>
      </c>
      <c r="K51" s="347" t="s">
        <v>550</v>
      </c>
      <c r="L51" s="283"/>
      <c r="M51" s="175"/>
    </row>
    <row r="52" spans="1:13" ht="15" hidden="1">
      <c r="A52" s="263">
        <v>44440</v>
      </c>
      <c r="B52" s="1124" t="s">
        <v>522</v>
      </c>
      <c r="C52" s="1124" t="s">
        <v>4104</v>
      </c>
      <c r="D52" s="262" t="s">
        <v>779</v>
      </c>
      <c r="E52" s="354">
        <v>1194.6099999999999</v>
      </c>
      <c r="F52" s="513">
        <v>0</v>
      </c>
      <c r="G52" s="429">
        <v>1194.6099999999999</v>
      </c>
      <c r="H52" s="264">
        <v>44470</v>
      </c>
      <c r="I52" s="427">
        <v>1194.6099999999999</v>
      </c>
      <c r="J52" s="353">
        <v>44606</v>
      </c>
      <c r="K52" s="347" t="s">
        <v>550</v>
      </c>
      <c r="L52" s="283"/>
      <c r="M52" s="175"/>
    </row>
    <row r="53" spans="1:13" s="230" customFormat="1" ht="15" hidden="1">
      <c r="A53" s="263">
        <v>44456</v>
      </c>
      <c r="B53" s="1124" t="s">
        <v>522</v>
      </c>
      <c r="C53" s="1124" t="s">
        <v>4104</v>
      </c>
      <c r="D53" s="262" t="s">
        <v>1842</v>
      </c>
      <c r="E53" s="354">
        <v>2985.9</v>
      </c>
      <c r="F53" s="513">
        <v>0</v>
      </c>
      <c r="G53" s="429">
        <v>2985.9</v>
      </c>
      <c r="H53" s="264">
        <v>44486</v>
      </c>
      <c r="I53" s="428">
        <v>2985.9</v>
      </c>
      <c r="J53" s="348">
        <v>44606</v>
      </c>
      <c r="K53" s="347" t="s">
        <v>550</v>
      </c>
      <c r="L53" s="235"/>
      <c r="M53" s="175"/>
    </row>
    <row r="54" spans="1:13" s="230" customFormat="1" ht="15" hidden="1">
      <c r="A54" s="525">
        <v>44498</v>
      </c>
      <c r="B54" s="1124" t="s">
        <v>522</v>
      </c>
      <c r="C54" s="1124" t="s">
        <v>4104</v>
      </c>
      <c r="D54" s="262" t="s">
        <v>1843</v>
      </c>
      <c r="E54" s="354">
        <v>3060.25</v>
      </c>
      <c r="F54" s="513">
        <v>0</v>
      </c>
      <c r="G54" s="429">
        <v>3060.25</v>
      </c>
      <c r="H54" s="264">
        <v>44528</v>
      </c>
      <c r="I54" s="428">
        <v>3060.25</v>
      </c>
      <c r="J54" s="348">
        <v>44606</v>
      </c>
      <c r="K54" s="347" t="s">
        <v>550</v>
      </c>
      <c r="L54" s="235"/>
      <c r="M54" s="175"/>
    </row>
    <row r="55" spans="1:13" s="230" customFormat="1" ht="15">
      <c r="A55" s="2099" t="s">
        <v>3096</v>
      </c>
      <c r="B55" s="2100"/>
      <c r="C55" s="2100"/>
      <c r="D55" s="2100"/>
      <c r="E55" s="2101"/>
      <c r="F55" s="694" t="s">
        <v>3097</v>
      </c>
      <c r="G55" s="695">
        <f>SUM(G49:G54)-I49-I52-I53-I54</f>
        <v>0</v>
      </c>
      <c r="H55" s="668"/>
      <c r="I55" s="696"/>
      <c r="J55" s="664"/>
      <c r="K55" s="229"/>
      <c r="L55" s="235"/>
      <c r="M55" s="175"/>
    </row>
    <row r="56" spans="1:13" s="230" customFormat="1" ht="15">
      <c r="A56" s="664">
        <v>44529</v>
      </c>
      <c r="B56" s="1124" t="s">
        <v>522</v>
      </c>
      <c r="C56" s="1124" t="s">
        <v>4582</v>
      </c>
      <c r="D56" s="669" t="s">
        <v>1844</v>
      </c>
      <c r="E56" s="696">
        <v>856.45</v>
      </c>
      <c r="F56" s="694">
        <v>0</v>
      </c>
      <c r="G56" s="695">
        <v>856.45</v>
      </c>
      <c r="H56" s="668">
        <v>44559</v>
      </c>
      <c r="I56" s="696">
        <v>856.45</v>
      </c>
      <c r="J56" s="664">
        <v>44684</v>
      </c>
      <c r="K56" s="372" t="s">
        <v>550</v>
      </c>
      <c r="L56" s="235"/>
      <c r="M56" s="175"/>
    </row>
    <row r="57" spans="1:13" s="230" customFormat="1" ht="15">
      <c r="A57" s="664">
        <v>44537</v>
      </c>
      <c r="B57" s="1124" t="s">
        <v>522</v>
      </c>
      <c r="C57" s="1124" t="s">
        <v>4582</v>
      </c>
      <c r="D57" s="669" t="s">
        <v>1845</v>
      </c>
      <c r="E57" s="696">
        <v>873.85</v>
      </c>
      <c r="F57" s="694">
        <v>0</v>
      </c>
      <c r="G57" s="695">
        <v>873.85</v>
      </c>
      <c r="H57" s="668">
        <v>44567</v>
      </c>
      <c r="I57" s="696">
        <v>873.85</v>
      </c>
      <c r="J57" s="664">
        <v>44684</v>
      </c>
      <c r="K57" s="372" t="s">
        <v>550</v>
      </c>
      <c r="L57" s="235"/>
      <c r="M57" s="175"/>
    </row>
    <row r="58" spans="1:13" s="230" customFormat="1" ht="15">
      <c r="A58" s="664">
        <v>44544</v>
      </c>
      <c r="B58" s="1124" t="s">
        <v>522</v>
      </c>
      <c r="C58" s="1124" t="s">
        <v>4582</v>
      </c>
      <c r="D58" s="669" t="s">
        <v>1846</v>
      </c>
      <c r="E58" s="696">
        <v>-26.33</v>
      </c>
      <c r="F58" s="694">
        <v>0</v>
      </c>
      <c r="G58" s="695">
        <v>-26.33</v>
      </c>
      <c r="H58" s="668" t="s">
        <v>1529</v>
      </c>
      <c r="I58" s="696">
        <v>-26.33</v>
      </c>
      <c r="J58" s="664">
        <v>44684</v>
      </c>
      <c r="K58" s="372" t="s">
        <v>550</v>
      </c>
      <c r="L58" s="235"/>
      <c r="M58" s="175"/>
    </row>
    <row r="59" spans="1:13" s="230" customFormat="1" ht="15">
      <c r="A59" s="2008">
        <v>44564</v>
      </c>
      <c r="B59" s="1918" t="s">
        <v>522</v>
      </c>
      <c r="C59" s="1918" t="s">
        <v>4582</v>
      </c>
      <c r="D59" s="2026" t="s">
        <v>1847</v>
      </c>
      <c r="E59" s="2083">
        <v>2941.47</v>
      </c>
      <c r="F59" s="2078">
        <v>0</v>
      </c>
      <c r="G59" s="695">
        <v>2526.0300000000002</v>
      </c>
      <c r="H59" s="668">
        <v>44594</v>
      </c>
      <c r="I59" s="696">
        <v>2526.0300000000002</v>
      </c>
      <c r="J59" s="664">
        <v>44684</v>
      </c>
      <c r="K59" s="372" t="s">
        <v>550</v>
      </c>
      <c r="L59" s="235"/>
      <c r="M59" s="175"/>
    </row>
    <row r="60" spans="1:13" s="237" customFormat="1" ht="15">
      <c r="A60" s="2010"/>
      <c r="B60" s="1920"/>
      <c r="C60" s="1920"/>
      <c r="D60" s="2027"/>
      <c r="E60" s="2085"/>
      <c r="F60" s="2080"/>
      <c r="G60" s="695">
        <v>415.44000000000051</v>
      </c>
      <c r="H60" s="668"/>
      <c r="I60" s="2083">
        <v>2352.54</v>
      </c>
      <c r="J60" s="2008">
        <v>44732</v>
      </c>
      <c r="K60" s="1956" t="s">
        <v>2316</v>
      </c>
      <c r="L60" s="171"/>
      <c r="M60" s="175"/>
    </row>
    <row r="61" spans="1:13" s="230" customFormat="1" ht="15">
      <c r="A61" s="664">
        <v>44585</v>
      </c>
      <c r="B61" s="1124" t="s">
        <v>522</v>
      </c>
      <c r="C61" s="1124" t="s">
        <v>4582</v>
      </c>
      <c r="D61" s="669" t="s">
        <v>2736</v>
      </c>
      <c r="E61" s="696">
        <v>1408.43</v>
      </c>
      <c r="F61" s="694">
        <v>0</v>
      </c>
      <c r="G61" s="695">
        <v>1408.42</v>
      </c>
      <c r="H61" s="668"/>
      <c r="I61" s="2084"/>
      <c r="J61" s="2009"/>
      <c r="K61" s="2028"/>
      <c r="L61" s="171"/>
      <c r="M61" s="175"/>
    </row>
    <row r="62" spans="1:13" s="230" customFormat="1" ht="15">
      <c r="A62" s="664">
        <v>44594</v>
      </c>
      <c r="B62" s="1124" t="s">
        <v>521</v>
      </c>
      <c r="C62" s="1124" t="s">
        <v>4582</v>
      </c>
      <c r="D62" s="669" t="s">
        <v>2737</v>
      </c>
      <c r="E62" s="696">
        <v>-815.3</v>
      </c>
      <c r="F62" s="694">
        <v>0</v>
      </c>
      <c r="G62" s="695">
        <v>-815.3</v>
      </c>
      <c r="H62" s="668"/>
      <c r="I62" s="2084"/>
      <c r="J62" s="2009"/>
      <c r="K62" s="2028"/>
      <c r="L62" s="171"/>
      <c r="M62" s="175"/>
    </row>
    <row r="63" spans="1:13" s="230" customFormat="1" ht="15">
      <c r="A63" s="664">
        <v>44594</v>
      </c>
      <c r="B63" s="1124" t="s">
        <v>521</v>
      </c>
      <c r="C63" s="1124" t="s">
        <v>4582</v>
      </c>
      <c r="D63" s="669" t="s">
        <v>2738</v>
      </c>
      <c r="E63" s="696">
        <v>-741.94</v>
      </c>
      <c r="F63" s="694">
        <v>0</v>
      </c>
      <c r="G63" s="695">
        <v>-741.94</v>
      </c>
      <c r="H63" s="668"/>
      <c r="I63" s="2084"/>
      <c r="J63" s="2009"/>
      <c r="K63" s="2028"/>
      <c r="L63" s="171"/>
      <c r="M63" s="175"/>
    </row>
    <row r="64" spans="1:13" s="230" customFormat="1" ht="15">
      <c r="A64" s="664">
        <v>44602</v>
      </c>
      <c r="B64" s="1124" t="s">
        <v>521</v>
      </c>
      <c r="C64" s="1124" t="s">
        <v>4582</v>
      </c>
      <c r="D64" s="669" t="s">
        <v>1848</v>
      </c>
      <c r="E64" s="696">
        <v>2348.7600000000002</v>
      </c>
      <c r="F64" s="694">
        <v>0</v>
      </c>
      <c r="G64" s="695">
        <v>2348.7600000000002</v>
      </c>
      <c r="H64" s="668">
        <v>44603</v>
      </c>
      <c r="I64" s="2084"/>
      <c r="J64" s="2009"/>
      <c r="K64" s="2028"/>
      <c r="L64" s="171"/>
      <c r="M64" s="175"/>
    </row>
    <row r="65" spans="1:14" s="230" customFormat="1" ht="15">
      <c r="A65" s="664">
        <v>44648</v>
      </c>
      <c r="B65" s="1124" t="s">
        <v>521</v>
      </c>
      <c r="C65" s="1124" t="s">
        <v>4582</v>
      </c>
      <c r="D65" s="677" t="s">
        <v>1849</v>
      </c>
      <c r="E65" s="696">
        <v>-262.83999999999997</v>
      </c>
      <c r="F65" s="694">
        <v>0</v>
      </c>
      <c r="G65" s="697">
        <v>-262.83999999999997</v>
      </c>
      <c r="H65" s="668">
        <v>44649</v>
      </c>
      <c r="I65" s="2085"/>
      <c r="J65" s="2010"/>
      <c r="K65" s="2029"/>
      <c r="L65" s="171"/>
      <c r="M65" s="175"/>
    </row>
    <row r="66" spans="1:14" s="230" customFormat="1" ht="15">
      <c r="A66" s="678">
        <v>44651</v>
      </c>
      <c r="B66" s="1124" t="s">
        <v>521</v>
      </c>
      <c r="C66" s="1124" t="s">
        <v>4582</v>
      </c>
      <c r="D66" s="648" t="s">
        <v>1850</v>
      </c>
      <c r="E66" s="696">
        <v>3434.3</v>
      </c>
      <c r="F66" s="694">
        <v>0</v>
      </c>
      <c r="G66" s="697">
        <v>3434.3</v>
      </c>
      <c r="H66" s="676">
        <v>44652</v>
      </c>
      <c r="I66" s="697">
        <v>3434.3</v>
      </c>
      <c r="J66" s="678">
        <v>44753</v>
      </c>
      <c r="K66" s="229" t="s">
        <v>2423</v>
      </c>
      <c r="L66" s="366"/>
      <c r="M66" s="175"/>
    </row>
    <row r="67" spans="1:14" s="230" customFormat="1" ht="15">
      <c r="A67" s="2102">
        <v>44680</v>
      </c>
      <c r="B67" s="1941" t="s">
        <v>521</v>
      </c>
      <c r="C67" s="1941" t="s">
        <v>4583</v>
      </c>
      <c r="D67" s="2105" t="s">
        <v>1996</v>
      </c>
      <c r="E67" s="2108">
        <v>4157.25</v>
      </c>
      <c r="F67" s="2111">
        <v>0</v>
      </c>
      <c r="G67" s="697">
        <v>2605</v>
      </c>
      <c r="H67" s="676">
        <v>44681</v>
      </c>
      <c r="I67" s="697">
        <v>2605</v>
      </c>
      <c r="J67" s="664">
        <v>44783</v>
      </c>
      <c r="K67" s="500" t="s">
        <v>1752</v>
      </c>
      <c r="L67" s="366"/>
      <c r="M67" s="175"/>
      <c r="N67" s="237"/>
    </row>
    <row r="68" spans="1:14" s="237" customFormat="1" ht="15">
      <c r="A68" s="2103"/>
      <c r="B68" s="1967"/>
      <c r="C68" s="1967"/>
      <c r="D68" s="2106"/>
      <c r="E68" s="2109"/>
      <c r="F68" s="2112"/>
      <c r="G68" s="698">
        <f>1552.25-1435.65</f>
        <v>116.59999999999991</v>
      </c>
      <c r="H68" s="681">
        <v>44681</v>
      </c>
      <c r="I68" s="834"/>
      <c r="J68" s="830"/>
      <c r="K68" s="831"/>
      <c r="L68" s="366"/>
      <c r="M68" s="175"/>
    </row>
    <row r="69" spans="1:14" s="237" customFormat="1" ht="15">
      <c r="A69" s="2104"/>
      <c r="B69" s="1942"/>
      <c r="C69" s="1942"/>
      <c r="D69" s="2107"/>
      <c r="E69" s="2110"/>
      <c r="F69" s="2113"/>
      <c r="G69" s="834">
        <v>1435.65</v>
      </c>
      <c r="H69" s="676">
        <v>44681</v>
      </c>
      <c r="I69" s="2078">
        <v>0</v>
      </c>
      <c r="J69" s="2008">
        <v>44837</v>
      </c>
      <c r="K69" s="1956" t="s">
        <v>3245</v>
      </c>
      <c r="L69" s="366"/>
      <c r="M69" s="175"/>
    </row>
    <row r="70" spans="1:14" s="237" customFormat="1" ht="15">
      <c r="A70" s="678">
        <v>44798</v>
      </c>
      <c r="B70" s="1124" t="s">
        <v>4116</v>
      </c>
      <c r="C70" s="1124" t="s">
        <v>4582</v>
      </c>
      <c r="D70" s="648" t="s">
        <v>2833</v>
      </c>
      <c r="E70" s="835">
        <v>-226.46</v>
      </c>
      <c r="F70" s="722">
        <v>0</v>
      </c>
      <c r="G70" s="834">
        <v>-226.46</v>
      </c>
      <c r="H70" s="676"/>
      <c r="I70" s="2079"/>
      <c r="J70" s="2009"/>
      <c r="K70" s="2028"/>
      <c r="L70" s="366"/>
      <c r="M70" s="175"/>
    </row>
    <row r="71" spans="1:14" s="237" customFormat="1" ht="15">
      <c r="A71" s="678">
        <v>44798</v>
      </c>
      <c r="B71" s="1124" t="s">
        <v>4116</v>
      </c>
      <c r="C71" s="1124" t="s">
        <v>4582</v>
      </c>
      <c r="D71" s="648" t="s">
        <v>2834</v>
      </c>
      <c r="E71" s="835">
        <v>-247.57</v>
      </c>
      <c r="F71" s="722">
        <v>0</v>
      </c>
      <c r="G71" s="834">
        <v>-247.58</v>
      </c>
      <c r="H71" s="676"/>
      <c r="I71" s="2079"/>
      <c r="J71" s="2009"/>
      <c r="K71" s="2028"/>
      <c r="L71" s="366"/>
      <c r="M71" s="175"/>
    </row>
    <row r="72" spans="1:14" s="237" customFormat="1" ht="15">
      <c r="A72" s="678">
        <v>44798</v>
      </c>
      <c r="B72" s="1124" t="s">
        <v>4116</v>
      </c>
      <c r="C72" s="1124" t="s">
        <v>4582</v>
      </c>
      <c r="D72" s="648" t="s">
        <v>2835</v>
      </c>
      <c r="E72" s="835">
        <v>-277.22000000000003</v>
      </c>
      <c r="F72" s="722">
        <v>0</v>
      </c>
      <c r="G72" s="834">
        <v>-277.22000000000003</v>
      </c>
      <c r="H72" s="676"/>
      <c r="I72" s="2079"/>
      <c r="J72" s="2009"/>
      <c r="K72" s="2028"/>
      <c r="L72" s="366"/>
      <c r="M72" s="175"/>
    </row>
    <row r="73" spans="1:14" s="237" customFormat="1" ht="15">
      <c r="A73" s="678">
        <v>44798</v>
      </c>
      <c r="B73" s="1124" t="s">
        <v>4116</v>
      </c>
      <c r="C73" s="1124" t="s">
        <v>4582</v>
      </c>
      <c r="D73" s="648" t="s">
        <v>2836</v>
      </c>
      <c r="E73" s="835">
        <v>-421.7</v>
      </c>
      <c r="F73" s="722">
        <v>0</v>
      </c>
      <c r="G73" s="834">
        <v>-421.7</v>
      </c>
      <c r="H73" s="676"/>
      <c r="I73" s="2079"/>
      <c r="J73" s="2009"/>
      <c r="K73" s="2028"/>
      <c r="L73" s="366"/>
      <c r="M73" s="175"/>
    </row>
    <row r="74" spans="1:14" s="237" customFormat="1" ht="15">
      <c r="A74" s="678">
        <v>44798</v>
      </c>
      <c r="B74" s="1124" t="s">
        <v>4116</v>
      </c>
      <c r="C74" s="1124" t="s">
        <v>4582</v>
      </c>
      <c r="D74" s="648" t="s">
        <v>2837</v>
      </c>
      <c r="E74" s="835">
        <v>-226.28</v>
      </c>
      <c r="F74" s="722">
        <v>0</v>
      </c>
      <c r="G74" s="834">
        <v>-226.28</v>
      </c>
      <c r="H74" s="676"/>
      <c r="I74" s="2079"/>
      <c r="J74" s="2009"/>
      <c r="K74" s="2028"/>
      <c r="L74" s="366"/>
      <c r="M74" s="175"/>
    </row>
    <row r="75" spans="1:14" s="237" customFormat="1" ht="15">
      <c r="A75" s="678">
        <v>44798</v>
      </c>
      <c r="B75" s="1124" t="s">
        <v>4116</v>
      </c>
      <c r="C75" s="1124" t="s">
        <v>4582</v>
      </c>
      <c r="D75" s="648" t="s">
        <v>2838</v>
      </c>
      <c r="E75" s="835">
        <v>-36.409999999999997</v>
      </c>
      <c r="F75" s="722">
        <v>0</v>
      </c>
      <c r="G75" s="834">
        <v>-36.409999999999997</v>
      </c>
      <c r="H75" s="676"/>
      <c r="I75" s="2080"/>
      <c r="J75" s="2010"/>
      <c r="K75" s="2029"/>
      <c r="L75" s="366"/>
      <c r="M75" s="175"/>
    </row>
    <row r="76" spans="1:14" s="237" customFormat="1" ht="15">
      <c r="A76" s="678">
        <v>44700</v>
      </c>
      <c r="B76" s="1124" t="s">
        <v>521</v>
      </c>
      <c r="C76" s="1124" t="s">
        <v>4582</v>
      </c>
      <c r="D76" s="648" t="s">
        <v>2120</v>
      </c>
      <c r="E76" s="835">
        <v>1244.0999999999999</v>
      </c>
      <c r="F76" s="722">
        <v>0</v>
      </c>
      <c r="G76" s="834">
        <v>1244.0999999999999</v>
      </c>
      <c r="H76" s="676">
        <v>44701</v>
      </c>
      <c r="I76" s="2081">
        <v>2367.48</v>
      </c>
      <c r="J76" s="2008">
        <v>44837</v>
      </c>
      <c r="K76" s="1956" t="s">
        <v>3243</v>
      </c>
      <c r="L76" s="2076" t="s">
        <v>3244</v>
      </c>
      <c r="M76" s="175"/>
    </row>
    <row r="77" spans="1:14" s="237" customFormat="1" ht="15">
      <c r="A77" s="678">
        <v>44734</v>
      </c>
      <c r="B77" s="1124" t="s">
        <v>4116</v>
      </c>
      <c r="C77" s="1124" t="s">
        <v>4582</v>
      </c>
      <c r="D77" s="648" t="s">
        <v>2317</v>
      </c>
      <c r="E77" s="835">
        <v>1123.3800000000001</v>
      </c>
      <c r="F77" s="722">
        <v>0</v>
      </c>
      <c r="G77" s="834">
        <v>1123.3800000000001</v>
      </c>
      <c r="H77" s="676">
        <v>44735</v>
      </c>
      <c r="I77" s="2082"/>
      <c r="J77" s="2010"/>
      <c r="K77" s="2029"/>
      <c r="L77" s="2077"/>
      <c r="M77" s="175"/>
    </row>
    <row r="78" spans="1:14" s="237" customFormat="1" ht="15">
      <c r="A78" s="1268">
        <v>44767</v>
      </c>
      <c r="B78" s="1258" t="s">
        <v>4116</v>
      </c>
      <c r="C78" s="1254" t="s">
        <v>4582</v>
      </c>
      <c r="D78" s="648" t="s">
        <v>2532</v>
      </c>
      <c r="E78" s="1267">
        <v>1490.4</v>
      </c>
      <c r="F78" s="722">
        <v>0</v>
      </c>
      <c r="G78" s="1265">
        <v>1490.4</v>
      </c>
      <c r="H78" s="676">
        <v>44812</v>
      </c>
      <c r="I78" s="2117">
        <v>0</v>
      </c>
      <c r="J78" s="2008">
        <v>44918</v>
      </c>
      <c r="K78" s="1956" t="s">
        <v>4842</v>
      </c>
      <c r="L78" s="917"/>
      <c r="M78" s="190"/>
      <c r="N78" s="190"/>
    </row>
    <row r="79" spans="1:14" s="237" customFormat="1" ht="15">
      <c r="A79" s="1268">
        <v>44769</v>
      </c>
      <c r="B79" s="1258" t="s">
        <v>4116</v>
      </c>
      <c r="C79" s="1254" t="s">
        <v>4582</v>
      </c>
      <c r="D79" s="648" t="s">
        <v>2533</v>
      </c>
      <c r="E79" s="1267">
        <v>238.5</v>
      </c>
      <c r="F79" s="722">
        <v>0</v>
      </c>
      <c r="G79" s="1265">
        <v>238.5</v>
      </c>
      <c r="H79" s="676">
        <v>44770</v>
      </c>
      <c r="I79" s="2119"/>
      <c r="J79" s="2009"/>
      <c r="K79" s="2028"/>
      <c r="L79" s="917"/>
      <c r="M79" s="190"/>
      <c r="N79" s="190"/>
    </row>
    <row r="80" spans="1:14" s="237" customFormat="1" ht="15">
      <c r="A80" s="1268">
        <v>44796</v>
      </c>
      <c r="B80" s="1258" t="s">
        <v>4116</v>
      </c>
      <c r="C80" s="1254" t="s">
        <v>4582</v>
      </c>
      <c r="D80" s="648" t="s">
        <v>2832</v>
      </c>
      <c r="E80" s="1267">
        <v>36</v>
      </c>
      <c r="F80" s="722">
        <v>0</v>
      </c>
      <c r="G80" s="1265">
        <v>36</v>
      </c>
      <c r="H80" s="676">
        <v>44797</v>
      </c>
      <c r="I80" s="2119"/>
      <c r="J80" s="2009"/>
      <c r="K80" s="2028"/>
      <c r="L80" s="917" t="s">
        <v>2839</v>
      </c>
      <c r="M80" s="190"/>
      <c r="N80" s="190"/>
    </row>
    <row r="81" spans="1:14" s="237" customFormat="1" ht="15">
      <c r="A81" s="1268">
        <v>44806</v>
      </c>
      <c r="B81" s="1258" t="s">
        <v>4116</v>
      </c>
      <c r="C81" s="1254" t="s">
        <v>4582</v>
      </c>
      <c r="D81" s="648" t="s">
        <v>2898</v>
      </c>
      <c r="E81" s="1267">
        <v>0.01</v>
      </c>
      <c r="F81" s="722">
        <v>0</v>
      </c>
      <c r="G81" s="1265">
        <v>0.01</v>
      </c>
      <c r="H81" s="676">
        <v>44807</v>
      </c>
      <c r="I81" s="2119"/>
      <c r="J81" s="2009"/>
      <c r="K81" s="2028"/>
      <c r="L81" s="917" t="s">
        <v>2897</v>
      </c>
      <c r="M81" s="190"/>
      <c r="N81" s="190"/>
    </row>
    <row r="82" spans="1:14" s="237" customFormat="1" ht="15">
      <c r="A82" s="1268">
        <v>44876</v>
      </c>
      <c r="B82" s="1258" t="s">
        <v>521</v>
      </c>
      <c r="C82" s="1254" t="s">
        <v>4582</v>
      </c>
      <c r="D82" s="648" t="s">
        <v>3434</v>
      </c>
      <c r="E82" s="1267">
        <v>-1483.06</v>
      </c>
      <c r="F82" s="722">
        <v>0</v>
      </c>
      <c r="G82" s="1265">
        <v>-1483.06</v>
      </c>
      <c r="H82" s="676"/>
      <c r="I82" s="2119"/>
      <c r="J82" s="2009"/>
      <c r="K82" s="2028"/>
      <c r="L82" s="917"/>
      <c r="M82" s="190"/>
      <c r="N82" s="190"/>
    </row>
    <row r="83" spans="1:14" s="237" customFormat="1" ht="15">
      <c r="A83" s="1268">
        <v>44876</v>
      </c>
      <c r="B83" s="1258" t="s">
        <v>521</v>
      </c>
      <c r="C83" s="1254" t="s">
        <v>4582</v>
      </c>
      <c r="D83" s="648" t="s">
        <v>3435</v>
      </c>
      <c r="E83" s="1267">
        <v>-414.11</v>
      </c>
      <c r="F83" s="722">
        <v>0</v>
      </c>
      <c r="G83" s="1265">
        <v>-414.11</v>
      </c>
      <c r="H83" s="676"/>
      <c r="I83" s="2119"/>
      <c r="J83" s="2009"/>
      <c r="K83" s="2028"/>
      <c r="L83" s="917"/>
      <c r="M83" s="190"/>
      <c r="N83" s="190"/>
    </row>
    <row r="84" spans="1:14" s="237" customFormat="1" ht="15">
      <c r="A84" s="1268">
        <v>44881</v>
      </c>
      <c r="B84" s="1258" t="s">
        <v>521</v>
      </c>
      <c r="C84" s="1254" t="s">
        <v>4582</v>
      </c>
      <c r="D84" s="648" t="s">
        <v>3478</v>
      </c>
      <c r="E84" s="1267">
        <v>-65.7</v>
      </c>
      <c r="F84" s="722">
        <v>0</v>
      </c>
      <c r="G84" s="1265">
        <v>-65.7</v>
      </c>
      <c r="H84" s="676"/>
      <c r="I84" s="2119"/>
      <c r="J84" s="2009"/>
      <c r="K84" s="2028"/>
      <c r="L84" s="917"/>
      <c r="M84" s="190"/>
      <c r="N84" s="190"/>
    </row>
    <row r="85" spans="1:14" s="237" customFormat="1" ht="15">
      <c r="A85" s="1268">
        <v>44881</v>
      </c>
      <c r="B85" s="1258" t="s">
        <v>521</v>
      </c>
      <c r="C85" s="1254" t="s">
        <v>4582</v>
      </c>
      <c r="D85" s="648" t="s">
        <v>3479</v>
      </c>
      <c r="E85" s="1267">
        <v>-32.549999999999997</v>
      </c>
      <c r="F85" s="722">
        <v>0</v>
      </c>
      <c r="G85" s="1265">
        <v>-32.549999999999997</v>
      </c>
      <c r="H85" s="676"/>
      <c r="I85" s="2119"/>
      <c r="J85" s="2009"/>
      <c r="K85" s="2028"/>
      <c r="L85" s="917"/>
      <c r="M85" s="190"/>
      <c r="N85" s="190"/>
    </row>
    <row r="86" spans="1:14" s="237" customFormat="1" ht="15">
      <c r="A86" s="1268">
        <v>44881</v>
      </c>
      <c r="B86" s="1258" t="s">
        <v>521</v>
      </c>
      <c r="C86" s="1254" t="s">
        <v>4582</v>
      </c>
      <c r="D86" s="648" t="s">
        <v>3480</v>
      </c>
      <c r="E86" s="1267">
        <v>-39.26</v>
      </c>
      <c r="F86" s="722">
        <v>0</v>
      </c>
      <c r="G86" s="1265">
        <v>-39.26</v>
      </c>
      <c r="H86" s="676">
        <v>44882</v>
      </c>
      <c r="I86" s="2119"/>
      <c r="J86" s="2009"/>
      <c r="K86" s="2028"/>
      <c r="L86" s="917" t="s">
        <v>3481</v>
      </c>
      <c r="M86" s="190"/>
      <c r="N86" s="190"/>
    </row>
    <row r="87" spans="1:14" s="237" customFormat="1" ht="15">
      <c r="A87" s="2057">
        <v>44806</v>
      </c>
      <c r="B87" s="1903" t="s">
        <v>4116</v>
      </c>
      <c r="C87" s="1918" t="s">
        <v>4582</v>
      </c>
      <c r="D87" s="2071" t="s">
        <v>2899</v>
      </c>
      <c r="E87" s="2081">
        <v>971.1</v>
      </c>
      <c r="F87" s="2117">
        <v>0</v>
      </c>
      <c r="G87" s="1265">
        <v>269.77</v>
      </c>
      <c r="H87" s="676">
        <v>44807</v>
      </c>
      <c r="I87" s="2118"/>
      <c r="J87" s="2010"/>
      <c r="K87" s="2029"/>
      <c r="L87" s="917"/>
      <c r="M87" s="190"/>
      <c r="N87" s="190"/>
    </row>
    <row r="88" spans="1:14" s="237" customFormat="1" ht="15">
      <c r="A88" s="2059"/>
      <c r="B88" s="1905"/>
      <c r="C88" s="1905"/>
      <c r="D88" s="2072"/>
      <c r="E88" s="2082"/>
      <c r="F88" s="2118"/>
      <c r="G88" s="1265">
        <f>971.1-269.77</f>
        <v>701.33</v>
      </c>
      <c r="H88" s="676">
        <v>44807</v>
      </c>
      <c r="I88" s="2074">
        <v>4000</v>
      </c>
      <c r="J88" s="2008">
        <v>44979</v>
      </c>
      <c r="K88" s="1956" t="s">
        <v>4245</v>
      </c>
      <c r="L88" s="366"/>
      <c r="M88" s="190"/>
      <c r="N88" s="190"/>
    </row>
    <row r="89" spans="1:14" s="237" customFormat="1" ht="15">
      <c r="A89" s="1268">
        <v>44831</v>
      </c>
      <c r="B89" s="1258" t="s">
        <v>521</v>
      </c>
      <c r="C89" s="1254" t="s">
        <v>4582</v>
      </c>
      <c r="D89" s="648" t="s">
        <v>3158</v>
      </c>
      <c r="E89" s="1267">
        <v>1528.91</v>
      </c>
      <c r="F89" s="722">
        <v>0</v>
      </c>
      <c r="G89" s="1265">
        <v>1528.91</v>
      </c>
      <c r="H89" s="676">
        <v>44832.000497685185</v>
      </c>
      <c r="I89" s="2116"/>
      <c r="J89" s="2009"/>
      <c r="K89" s="2028"/>
      <c r="L89" s="366"/>
      <c r="M89" s="190"/>
      <c r="N89" s="190"/>
    </row>
    <row r="90" spans="1:14" s="237" customFormat="1" ht="15">
      <c r="A90" s="2057">
        <v>44834</v>
      </c>
      <c r="B90" s="1903" t="s">
        <v>521</v>
      </c>
      <c r="C90" s="1918" t="s">
        <v>4582</v>
      </c>
      <c r="D90" s="2071" t="s">
        <v>3159</v>
      </c>
      <c r="E90" s="2081">
        <v>2832.53</v>
      </c>
      <c r="F90" s="2117">
        <v>0</v>
      </c>
      <c r="G90" s="1265">
        <v>1769.76</v>
      </c>
      <c r="H90" s="676">
        <v>44835.000497685185</v>
      </c>
      <c r="I90" s="2075"/>
      <c r="J90" s="2010"/>
      <c r="K90" s="2029"/>
      <c r="L90" s="366"/>
      <c r="M90" s="190"/>
      <c r="N90" s="190"/>
    </row>
    <row r="91" spans="1:14" s="237" customFormat="1" ht="15">
      <c r="A91" s="2059"/>
      <c r="B91" s="1905"/>
      <c r="C91" s="1905"/>
      <c r="D91" s="2072"/>
      <c r="E91" s="2082"/>
      <c r="F91" s="2118"/>
      <c r="G91" s="1265">
        <f>2832.53-1769.76</f>
        <v>1062.7700000000002</v>
      </c>
      <c r="H91" s="676">
        <v>44835.000497685185</v>
      </c>
      <c r="I91" s="2074">
        <v>1006.07</v>
      </c>
      <c r="J91" s="2008">
        <v>45006</v>
      </c>
      <c r="K91" s="1956" t="s">
        <v>4578</v>
      </c>
      <c r="L91" s="366"/>
      <c r="M91" s="190"/>
      <c r="N91" s="190"/>
    </row>
    <row r="92" spans="1:14" s="237" customFormat="1" ht="15">
      <c r="A92" s="1268">
        <v>44979</v>
      </c>
      <c r="B92" s="1268" t="s">
        <v>2518</v>
      </c>
      <c r="C92" s="1260" t="s">
        <v>4582</v>
      </c>
      <c r="D92" s="648" t="s">
        <v>4205</v>
      </c>
      <c r="E92" s="1267">
        <v>-20.7</v>
      </c>
      <c r="F92" s="722">
        <v>0</v>
      </c>
      <c r="G92" s="1265">
        <v>-20.7</v>
      </c>
      <c r="H92" s="676"/>
      <c r="I92" s="2116"/>
      <c r="J92" s="2009"/>
      <c r="K92" s="2028"/>
      <c r="L92" s="366"/>
      <c r="M92" s="175"/>
    </row>
    <row r="93" spans="1:14" s="237" customFormat="1" ht="15">
      <c r="A93" s="1268">
        <v>44979</v>
      </c>
      <c r="B93" s="1268" t="s">
        <v>2518</v>
      </c>
      <c r="C93" s="1260" t="s">
        <v>4582</v>
      </c>
      <c r="D93" s="648" t="s">
        <v>4206</v>
      </c>
      <c r="E93" s="1267">
        <v>-36</v>
      </c>
      <c r="F93" s="722">
        <v>0</v>
      </c>
      <c r="G93" s="1265">
        <v>-36</v>
      </c>
      <c r="H93" s="676">
        <v>44980</v>
      </c>
      <c r="I93" s="2075"/>
      <c r="J93" s="2010"/>
      <c r="K93" s="2029"/>
      <c r="L93" s="366" t="s">
        <v>4207</v>
      </c>
      <c r="M93" s="175"/>
    </row>
    <row r="94" spans="1:14" s="237" customFormat="1" ht="15">
      <c r="A94" s="1469">
        <v>44938</v>
      </c>
      <c r="B94" s="1456" t="s">
        <v>2518</v>
      </c>
      <c r="C94" s="1456" t="s">
        <v>5349</v>
      </c>
      <c r="D94" s="648" t="s">
        <v>3883</v>
      </c>
      <c r="E94" s="1467">
        <v>3161.7</v>
      </c>
      <c r="F94" s="722">
        <v>0</v>
      </c>
      <c r="G94" s="1465">
        <v>3161.7</v>
      </c>
      <c r="H94" s="676">
        <v>45028</v>
      </c>
      <c r="I94" s="1465">
        <v>3161.7</v>
      </c>
      <c r="J94" s="1469">
        <v>45061</v>
      </c>
      <c r="K94" s="1468" t="s">
        <v>5846</v>
      </c>
      <c r="L94" s="366"/>
      <c r="M94" s="175"/>
    </row>
    <row r="95" spans="1:14" s="237" customFormat="1" ht="15">
      <c r="A95" s="1469">
        <v>44979</v>
      </c>
      <c r="B95" s="1469" t="s">
        <v>2518</v>
      </c>
      <c r="C95" s="1469" t="s">
        <v>5349</v>
      </c>
      <c r="D95" s="648" t="s">
        <v>4204</v>
      </c>
      <c r="E95" s="1467">
        <v>2585.6999999999998</v>
      </c>
      <c r="F95" s="722">
        <v>0</v>
      </c>
      <c r="G95" s="1465">
        <v>2585.6999999999998</v>
      </c>
      <c r="H95" s="676">
        <v>45069</v>
      </c>
      <c r="I95" s="1465">
        <v>2585.6999999999998</v>
      </c>
      <c r="J95" s="1469">
        <v>45086</v>
      </c>
      <c r="K95" s="1468" t="s">
        <v>6337</v>
      </c>
      <c r="L95" s="366"/>
      <c r="M95" s="175"/>
    </row>
    <row r="96" spans="1:14" s="237" customFormat="1" ht="15">
      <c r="A96" s="1579">
        <v>45006</v>
      </c>
      <c r="B96" s="1579" t="s">
        <v>2518</v>
      </c>
      <c r="C96" s="1579" t="s">
        <v>5848</v>
      </c>
      <c r="D96" s="1584" t="s">
        <v>4540</v>
      </c>
      <c r="E96" s="1592">
        <v>1843.73</v>
      </c>
      <c r="F96" s="722">
        <v>0</v>
      </c>
      <c r="G96" s="1590">
        <v>1843.73</v>
      </c>
      <c r="H96" s="1591">
        <v>45096</v>
      </c>
      <c r="I96" s="2074">
        <v>4949.67</v>
      </c>
      <c r="J96" s="2057">
        <v>45142</v>
      </c>
      <c r="K96" s="1938" t="s">
        <v>5847</v>
      </c>
      <c r="L96" s="366"/>
      <c r="M96" s="175"/>
    </row>
    <row r="97" spans="1:13" s="237" customFormat="1" ht="15">
      <c r="A97" s="1579">
        <v>45036</v>
      </c>
      <c r="B97" s="1579" t="s">
        <v>2518</v>
      </c>
      <c r="C97" s="1579" t="s">
        <v>4398</v>
      </c>
      <c r="D97" s="1584" t="s">
        <v>4792</v>
      </c>
      <c r="E97" s="1592">
        <v>3105.94</v>
      </c>
      <c r="F97" s="722">
        <v>0</v>
      </c>
      <c r="G97" s="1590">
        <v>3105.94</v>
      </c>
      <c r="H97" s="1591">
        <v>45126</v>
      </c>
      <c r="I97" s="2075"/>
      <c r="J97" s="2059"/>
      <c r="K97" s="2031"/>
      <c r="L97" s="366"/>
      <c r="M97" s="175"/>
    </row>
    <row r="98" spans="1:13" s="269" customFormat="1" ht="15">
      <c r="A98" s="1321">
        <v>45033</v>
      </c>
      <c r="B98" s="1321" t="s">
        <v>2518</v>
      </c>
      <c r="C98" s="1321" t="s">
        <v>4398</v>
      </c>
      <c r="D98" s="1324" t="s">
        <v>4790</v>
      </c>
      <c r="E98" s="1332">
        <v>3896.25</v>
      </c>
      <c r="F98" s="722">
        <v>0</v>
      </c>
      <c r="G98" s="1330">
        <v>3896.25</v>
      </c>
      <c r="H98" s="1331">
        <v>45034</v>
      </c>
      <c r="I98" s="2114">
        <v>0</v>
      </c>
      <c r="J98" s="2057">
        <v>45037</v>
      </c>
      <c r="K98" s="1938" t="s">
        <v>4838</v>
      </c>
      <c r="L98" s="917"/>
      <c r="M98" s="1359"/>
    </row>
    <row r="99" spans="1:13" s="269" customFormat="1" ht="15">
      <c r="A99" s="1321">
        <v>45036</v>
      </c>
      <c r="B99" s="1321" t="s">
        <v>2518</v>
      </c>
      <c r="C99" s="1321" t="s">
        <v>4398</v>
      </c>
      <c r="D99" s="1324" t="s">
        <v>4791</v>
      </c>
      <c r="E99" s="1332">
        <v>-3896.25</v>
      </c>
      <c r="F99" s="722">
        <v>0</v>
      </c>
      <c r="G99" s="1330">
        <v>-3896.25</v>
      </c>
      <c r="H99" s="1331"/>
      <c r="I99" s="2115"/>
      <c r="J99" s="2059"/>
      <c r="K99" s="2031"/>
      <c r="L99" s="917"/>
      <c r="M99" s="1359"/>
    </row>
    <row r="100" spans="1:13" s="237" customFormat="1" ht="15">
      <c r="A100" s="1456">
        <v>45058</v>
      </c>
      <c r="B100" s="1456" t="s">
        <v>2518</v>
      </c>
      <c r="C100" s="1456" t="s">
        <v>4398</v>
      </c>
      <c r="D100" s="1461" t="s">
        <v>4966</v>
      </c>
      <c r="E100" s="1467">
        <v>-20.7</v>
      </c>
      <c r="F100" s="722">
        <v>0</v>
      </c>
      <c r="G100" s="1465">
        <v>-20.7</v>
      </c>
      <c r="H100" s="1466"/>
      <c r="I100" s="2074">
        <v>-105.4</v>
      </c>
      <c r="J100" s="2008">
        <v>45086</v>
      </c>
      <c r="K100" s="1956" t="s">
        <v>5350</v>
      </c>
      <c r="L100" s="366" t="s">
        <v>4968</v>
      </c>
      <c r="M100" s="175"/>
    </row>
    <row r="101" spans="1:13" s="237" customFormat="1" ht="57">
      <c r="A101" s="1469">
        <v>45058</v>
      </c>
      <c r="B101" s="1469" t="s">
        <v>2518</v>
      </c>
      <c r="C101" s="1469" t="s">
        <v>4398</v>
      </c>
      <c r="D101" s="648" t="s">
        <v>4967</v>
      </c>
      <c r="E101" s="1467">
        <v>-84.7</v>
      </c>
      <c r="F101" s="722">
        <v>0</v>
      </c>
      <c r="G101" s="1465">
        <v>-84.7</v>
      </c>
      <c r="H101" s="676">
        <v>45059</v>
      </c>
      <c r="I101" s="2075"/>
      <c r="J101" s="2010"/>
      <c r="K101" s="2029"/>
      <c r="L101" s="366" t="s">
        <v>4969</v>
      </c>
      <c r="M101" s="175"/>
    </row>
    <row r="102" spans="1:13" s="237" customFormat="1" ht="15">
      <c r="A102" s="1844">
        <v>45062</v>
      </c>
      <c r="B102" s="1844" t="s">
        <v>2518</v>
      </c>
      <c r="C102" s="1844" t="s">
        <v>4398</v>
      </c>
      <c r="D102" s="648" t="s">
        <v>5082</v>
      </c>
      <c r="E102" s="1839">
        <v>3189.28</v>
      </c>
      <c r="F102" s="722">
        <v>0</v>
      </c>
      <c r="G102" s="1841">
        <v>3189.28</v>
      </c>
      <c r="H102" s="676">
        <v>45152</v>
      </c>
      <c r="I102" s="2074">
        <v>4741.78</v>
      </c>
      <c r="J102" s="2057">
        <v>45208</v>
      </c>
      <c r="K102" s="1938" t="s">
        <v>6338</v>
      </c>
      <c r="L102" s="366"/>
      <c r="M102" s="175"/>
    </row>
    <row r="103" spans="1:13" s="237" customFormat="1" ht="15">
      <c r="A103" s="1844">
        <v>45089</v>
      </c>
      <c r="B103" s="1844" t="s">
        <v>2518</v>
      </c>
      <c r="C103" s="1844" t="s">
        <v>4398</v>
      </c>
      <c r="D103" s="648" t="s">
        <v>5369</v>
      </c>
      <c r="E103" s="1839">
        <v>1552.5</v>
      </c>
      <c r="F103" s="722">
        <v>0</v>
      </c>
      <c r="G103" s="1841">
        <v>1552.5</v>
      </c>
      <c r="H103" s="676">
        <v>45179</v>
      </c>
      <c r="I103" s="2075"/>
      <c r="J103" s="2059"/>
      <c r="K103" s="2031"/>
      <c r="L103" s="366"/>
      <c r="M103" s="175"/>
    </row>
    <row r="104" spans="1:13" s="237" customFormat="1" ht="15">
      <c r="A104" s="1844">
        <v>45113</v>
      </c>
      <c r="B104" s="1844" t="s">
        <v>5522</v>
      </c>
      <c r="C104" s="1844" t="s">
        <v>4398</v>
      </c>
      <c r="D104" s="648" t="s">
        <v>5542</v>
      </c>
      <c r="E104" s="1839">
        <v>1918.95</v>
      </c>
      <c r="F104" s="722">
        <v>0</v>
      </c>
      <c r="G104" s="1841">
        <v>1918.95</v>
      </c>
      <c r="H104" s="676">
        <v>45203</v>
      </c>
      <c r="I104" s="2074">
        <v>1909.95</v>
      </c>
      <c r="J104" s="2057">
        <v>45236</v>
      </c>
      <c r="K104" s="1938" t="s">
        <v>6541</v>
      </c>
      <c r="L104" s="366"/>
      <c r="M104" s="175"/>
    </row>
    <row r="105" spans="1:13" s="237" customFormat="1" ht="28.5">
      <c r="A105" s="1844">
        <v>45128</v>
      </c>
      <c r="B105" s="1844" t="s">
        <v>5522</v>
      </c>
      <c r="C105" s="1844" t="s">
        <v>4398</v>
      </c>
      <c r="D105" s="648" t="s">
        <v>5622</v>
      </c>
      <c r="E105" s="1839">
        <v>-9</v>
      </c>
      <c r="F105" s="722">
        <v>0</v>
      </c>
      <c r="G105" s="1841">
        <v>-9</v>
      </c>
      <c r="H105" s="676">
        <v>45129</v>
      </c>
      <c r="I105" s="2075"/>
      <c r="J105" s="2059"/>
      <c r="K105" s="2031"/>
      <c r="L105" s="366" t="s">
        <v>5623</v>
      </c>
      <c r="M105" s="175"/>
    </row>
    <row r="106" spans="1:13" s="237" customFormat="1" ht="15">
      <c r="A106" s="679">
        <v>45145</v>
      </c>
      <c r="B106" s="679" t="s">
        <v>5522</v>
      </c>
      <c r="C106" s="679" t="s">
        <v>4398</v>
      </c>
      <c r="D106" s="650" t="s">
        <v>5859</v>
      </c>
      <c r="E106" s="699">
        <v>4386.68</v>
      </c>
      <c r="F106" s="700">
        <v>0</v>
      </c>
      <c r="G106" s="698">
        <v>4386.68</v>
      </c>
      <c r="H106" s="681">
        <v>45234</v>
      </c>
      <c r="I106" s="698"/>
      <c r="J106" s="1474"/>
      <c r="K106" s="1473"/>
      <c r="L106" s="366"/>
      <c r="M106" s="175"/>
    </row>
    <row r="107" spans="1:13" s="237" customFormat="1" ht="15">
      <c r="A107" s="679">
        <v>45169</v>
      </c>
      <c r="B107" s="679" t="s">
        <v>2518</v>
      </c>
      <c r="C107" s="679" t="s">
        <v>4398</v>
      </c>
      <c r="D107" s="650" t="s">
        <v>5944</v>
      </c>
      <c r="E107" s="699">
        <v>1130.4000000000001</v>
      </c>
      <c r="F107" s="700">
        <v>0</v>
      </c>
      <c r="G107" s="698">
        <v>1130.4000000000001</v>
      </c>
      <c r="H107" s="681">
        <v>45229.000497685185</v>
      </c>
      <c r="I107" s="698"/>
      <c r="J107" s="1604"/>
      <c r="K107" s="1603"/>
      <c r="L107" s="366"/>
      <c r="M107" s="175"/>
    </row>
    <row r="108" spans="1:13" s="237" customFormat="1" ht="15">
      <c r="A108" s="679">
        <v>45209</v>
      </c>
      <c r="B108" s="679" t="s">
        <v>2518</v>
      </c>
      <c r="C108" s="679" t="s">
        <v>4398</v>
      </c>
      <c r="D108" s="650" t="s">
        <v>6309</v>
      </c>
      <c r="E108" s="699">
        <v>1832.1</v>
      </c>
      <c r="F108" s="700">
        <v>0</v>
      </c>
      <c r="G108" s="698">
        <v>1832.1</v>
      </c>
      <c r="H108" s="681">
        <v>45298</v>
      </c>
      <c r="I108" s="698"/>
      <c r="J108" s="1604"/>
      <c r="K108" s="1603"/>
      <c r="L108" s="366"/>
      <c r="M108" s="175"/>
    </row>
    <row r="109" spans="1:13" s="237" customFormat="1" ht="15">
      <c r="A109" s="679">
        <v>45246</v>
      </c>
      <c r="B109" s="679" t="s">
        <v>2518</v>
      </c>
      <c r="C109" s="679" t="s">
        <v>4398</v>
      </c>
      <c r="D109" s="650" t="s">
        <v>6562</v>
      </c>
      <c r="E109" s="699">
        <v>712.5</v>
      </c>
      <c r="F109" s="700">
        <v>0</v>
      </c>
      <c r="G109" s="698">
        <v>712.5</v>
      </c>
      <c r="H109" s="681">
        <v>45336</v>
      </c>
      <c r="I109" s="695"/>
      <c r="J109" s="1604"/>
      <c r="K109" s="1603"/>
      <c r="L109" s="366"/>
      <c r="M109" s="175"/>
    </row>
    <row r="110" spans="1:13" s="237" customFormat="1" ht="15">
      <c r="A110" s="679"/>
      <c r="B110" s="679"/>
      <c r="C110" s="679"/>
      <c r="D110" s="650"/>
      <c r="E110" s="699"/>
      <c r="F110" s="700"/>
      <c r="G110" s="698"/>
      <c r="H110" s="681"/>
      <c r="I110" s="695"/>
      <c r="J110" s="1604"/>
      <c r="K110" s="1603"/>
      <c r="L110" s="366"/>
      <c r="M110" s="175"/>
    </row>
    <row r="111" spans="1:13" s="237" customFormat="1" ht="15">
      <c r="A111" s="679"/>
      <c r="B111" s="679"/>
      <c r="C111" s="679"/>
      <c r="D111" s="650"/>
      <c r="E111" s="699"/>
      <c r="F111" s="700"/>
      <c r="G111" s="698"/>
      <c r="H111" s="681"/>
      <c r="I111" s="695"/>
      <c r="J111" s="1604"/>
      <c r="K111" s="1603"/>
      <c r="L111" s="366"/>
      <c r="M111" s="175"/>
    </row>
    <row r="112" spans="1:13" s="237" customFormat="1" ht="15">
      <c r="A112" s="679"/>
      <c r="B112" s="679"/>
      <c r="C112" s="679"/>
      <c r="D112" s="650"/>
      <c r="E112" s="699"/>
      <c r="F112" s="700"/>
      <c r="G112" s="698"/>
      <c r="H112" s="681"/>
      <c r="I112" s="695"/>
      <c r="J112" s="1604"/>
      <c r="K112" s="1603"/>
      <c r="L112" s="366"/>
      <c r="M112" s="175"/>
    </row>
    <row r="113" spans="1:13" s="237" customFormat="1" ht="15">
      <c r="A113" s="679"/>
      <c r="B113" s="679"/>
      <c r="C113" s="679"/>
      <c r="D113" s="650"/>
      <c r="E113" s="699"/>
      <c r="F113" s="700"/>
      <c r="G113" s="698"/>
      <c r="H113" s="681"/>
      <c r="I113" s="695"/>
      <c r="J113" s="1604"/>
      <c r="K113" s="1603"/>
      <c r="L113" s="366"/>
      <c r="M113" s="175"/>
    </row>
    <row r="114" spans="1:13" s="237" customFormat="1" ht="15">
      <c r="A114" s="679"/>
      <c r="B114" s="679"/>
      <c r="C114" s="679"/>
      <c r="D114" s="650"/>
      <c r="E114" s="699"/>
      <c r="F114" s="700"/>
      <c r="G114" s="698"/>
      <c r="H114" s="681"/>
      <c r="I114" s="695"/>
      <c r="J114" s="1604"/>
      <c r="K114" s="1603"/>
      <c r="L114" s="366"/>
      <c r="M114" s="175"/>
    </row>
    <row r="115" spans="1:13" s="237" customFormat="1" ht="15">
      <c r="A115" s="679"/>
      <c r="B115" s="679"/>
      <c r="C115" s="679"/>
      <c r="D115" s="650"/>
      <c r="E115" s="699"/>
      <c r="F115" s="700"/>
      <c r="G115" s="698"/>
      <c r="H115" s="681"/>
      <c r="I115" s="695"/>
      <c r="J115" s="1379"/>
      <c r="K115" s="1378"/>
      <c r="L115" s="366"/>
      <c r="M115" s="175"/>
    </row>
    <row r="116" spans="1:13" s="237" customFormat="1" ht="15">
      <c r="A116" s="679"/>
      <c r="B116" s="679"/>
      <c r="C116" s="679"/>
      <c r="D116" s="650"/>
      <c r="E116" s="699"/>
      <c r="F116" s="700"/>
      <c r="G116" s="698"/>
      <c r="H116" s="681"/>
      <c r="I116" s="695"/>
      <c r="J116" s="1379"/>
      <c r="K116" s="1378"/>
      <c r="L116" s="366"/>
      <c r="M116" s="175"/>
    </row>
    <row r="117" spans="1:13" s="237" customFormat="1" ht="15">
      <c r="A117" s="679"/>
      <c r="B117" s="679"/>
      <c r="C117" s="679"/>
      <c r="D117" s="650"/>
      <c r="E117" s="699"/>
      <c r="F117" s="700"/>
      <c r="G117" s="698"/>
      <c r="H117" s="681"/>
      <c r="I117" s="695"/>
      <c r="J117" s="1172"/>
      <c r="K117" s="1171"/>
      <c r="L117" s="366"/>
      <c r="M117" s="175"/>
    </row>
    <row r="118" spans="1:13" s="237" customFormat="1" ht="15">
      <c r="A118" s="679"/>
      <c r="B118" s="679"/>
      <c r="C118" s="679"/>
      <c r="D118" s="650"/>
      <c r="E118" s="699"/>
      <c r="F118" s="700"/>
      <c r="G118" s="698"/>
      <c r="H118" s="681"/>
      <c r="I118" s="695"/>
      <c r="J118" s="1172"/>
      <c r="K118" s="1171"/>
      <c r="L118" s="366"/>
      <c r="M118" s="175"/>
    </row>
    <row r="119" spans="1:13" s="237" customFormat="1" ht="15">
      <c r="A119" s="679"/>
      <c r="B119" s="679"/>
      <c r="C119" s="679"/>
      <c r="D119" s="650"/>
      <c r="E119" s="699"/>
      <c r="F119" s="700"/>
      <c r="G119" s="698"/>
      <c r="H119" s="681"/>
      <c r="I119" s="695"/>
      <c r="J119" s="664"/>
      <c r="K119" s="567"/>
      <c r="L119" s="366"/>
      <c r="M119" s="175"/>
    </row>
    <row r="120" spans="1:13" ht="15.75">
      <c r="A120" s="701"/>
      <c r="B120" s="1138"/>
      <c r="C120" s="1138"/>
      <c r="D120" s="702"/>
      <c r="E120" s="703"/>
      <c r="F120" s="1144" t="s">
        <v>545</v>
      </c>
      <c r="G120" s="704">
        <f>SUM(G55:G119)-SUM(I55:I119)</f>
        <v>8178.2799999999988</v>
      </c>
      <c r="H120" s="705"/>
      <c r="I120" s="706"/>
      <c r="J120" s="707"/>
      <c r="K120" s="285"/>
      <c r="L120" s="283"/>
    </row>
    <row r="121" spans="1:13" ht="15">
      <c r="A121" s="288"/>
      <c r="B121" s="288"/>
      <c r="C121" s="288"/>
      <c r="D121" s="289"/>
      <c r="E121" s="312"/>
      <c r="F121" s="532"/>
      <c r="G121" s="290"/>
      <c r="H121" s="290"/>
      <c r="I121" s="288"/>
      <c r="J121" s="291"/>
      <c r="K121" s="291"/>
      <c r="L121" s="292"/>
    </row>
    <row r="122" spans="1:13" ht="15">
      <c r="A122" s="288"/>
      <c r="B122" s="288"/>
      <c r="C122" s="288"/>
      <c r="D122" s="289"/>
      <c r="E122" s="312"/>
      <c r="F122" s="532"/>
      <c r="G122" s="290"/>
      <c r="H122" s="290"/>
      <c r="I122" s="288"/>
      <c r="J122" s="291"/>
      <c r="K122" s="291"/>
      <c r="L122" s="292"/>
    </row>
    <row r="123" spans="1:13" ht="15">
      <c r="A123" s="288"/>
      <c r="B123" s="288"/>
      <c r="C123" s="288"/>
      <c r="D123" s="289"/>
      <c r="E123" s="312"/>
      <c r="F123" s="532"/>
      <c r="G123" s="386"/>
      <c r="H123" s="290"/>
      <c r="I123" s="288"/>
      <c r="J123" s="291"/>
      <c r="K123" s="291"/>
      <c r="L123" s="292"/>
    </row>
    <row r="124" spans="1:13">
      <c r="D124" s="289"/>
      <c r="G124" s="386"/>
    </row>
    <row r="125" spans="1:13">
      <c r="D125" s="289"/>
      <c r="G125" s="386"/>
    </row>
    <row r="126" spans="1:13">
      <c r="D126" s="289"/>
      <c r="G126" s="386"/>
    </row>
    <row r="127" spans="1:13">
      <c r="D127" s="289"/>
      <c r="G127" s="386"/>
    </row>
  </sheetData>
  <mergeCells count="81">
    <mergeCell ref="A90:A91"/>
    <mergeCell ref="K88:K90"/>
    <mergeCell ref="J88:J90"/>
    <mergeCell ref="I88:I90"/>
    <mergeCell ref="F90:F91"/>
    <mergeCell ref="E90:E91"/>
    <mergeCell ref="D90:D91"/>
    <mergeCell ref="C90:C91"/>
    <mergeCell ref="B90:B91"/>
    <mergeCell ref="F87:F88"/>
    <mergeCell ref="E87:E88"/>
    <mergeCell ref="D87:D88"/>
    <mergeCell ref="A87:A88"/>
    <mergeCell ref="J78:J87"/>
    <mergeCell ref="I78:I87"/>
    <mergeCell ref="C87:C88"/>
    <mergeCell ref="B87:B88"/>
    <mergeCell ref="K102:K103"/>
    <mergeCell ref="J102:J103"/>
    <mergeCell ref="I102:I103"/>
    <mergeCell ref="F67:F69"/>
    <mergeCell ref="I100:I101"/>
    <mergeCell ref="J100:J101"/>
    <mergeCell ref="K100:K101"/>
    <mergeCell ref="K98:K99"/>
    <mergeCell ref="J98:J99"/>
    <mergeCell ref="I98:I99"/>
    <mergeCell ref="K91:K93"/>
    <mergeCell ref="J91:J93"/>
    <mergeCell ref="I91:I93"/>
    <mergeCell ref="K96:K97"/>
    <mergeCell ref="J96:J97"/>
    <mergeCell ref="A67:A69"/>
    <mergeCell ref="D67:D69"/>
    <mergeCell ref="E67:E69"/>
    <mergeCell ref="C67:C69"/>
    <mergeCell ref="B67:B69"/>
    <mergeCell ref="A55:E55"/>
    <mergeCell ref="A59:A60"/>
    <mergeCell ref="D59:D60"/>
    <mergeCell ref="E59:E60"/>
    <mergeCell ref="F59:F60"/>
    <mergeCell ref="C59:C60"/>
    <mergeCell ref="B59:B60"/>
    <mergeCell ref="L12:L15"/>
    <mergeCell ref="J19:J23"/>
    <mergeCell ref="K19:K23"/>
    <mergeCell ref="I19:I23"/>
    <mergeCell ref="I49:I51"/>
    <mergeCell ref="I16:I18"/>
    <mergeCell ref="K7:K15"/>
    <mergeCell ref="K16:K18"/>
    <mergeCell ref="J16:J18"/>
    <mergeCell ref="J43:J44"/>
    <mergeCell ref="J45:J48"/>
    <mergeCell ref="I25:I41"/>
    <mergeCell ref="K25:K41"/>
    <mergeCell ref="I43:I44"/>
    <mergeCell ref="I45:I48"/>
    <mergeCell ref="K45:K48"/>
    <mergeCell ref="K2:K4"/>
    <mergeCell ref="J2:J4"/>
    <mergeCell ref="I2:I4"/>
    <mergeCell ref="J7:J15"/>
    <mergeCell ref="I7:I15"/>
    <mergeCell ref="K43:K44"/>
    <mergeCell ref="I60:I65"/>
    <mergeCell ref="K60:K65"/>
    <mergeCell ref="J60:J65"/>
    <mergeCell ref="I96:I97"/>
    <mergeCell ref="K78:K87"/>
    <mergeCell ref="K104:K105"/>
    <mergeCell ref="J104:J105"/>
    <mergeCell ref="I104:I105"/>
    <mergeCell ref="L76:L77"/>
    <mergeCell ref="I69:I75"/>
    <mergeCell ref="K69:K75"/>
    <mergeCell ref="J69:J75"/>
    <mergeCell ref="I76:I77"/>
    <mergeCell ref="K76:K77"/>
    <mergeCell ref="J76:J77"/>
  </mergeCells>
  <phoneticPr fontId="15" type="noConversion"/>
  <hyperlinks>
    <hyperlink ref="F120" location="汇总!A1" display="剩余欠款"/>
  </hyperlinks>
  <pageMargins left="0.75" right="0.75" top="1" bottom="1" header="0.5" footer="0.5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L18"/>
  <sheetViews>
    <sheetView workbookViewId="0">
      <pane ySplit="1" topLeftCell="A2" activePane="bottomLeft" state="frozen"/>
      <selection activeCell="C33" sqref="C33"/>
      <selection pane="bottomLeft" activeCell="F17" sqref="F17"/>
    </sheetView>
  </sheetViews>
  <sheetFormatPr defaultRowHeight="14.25"/>
  <cols>
    <col min="1" max="1" width="12" bestFit="1" customWidth="1"/>
    <col min="2" max="2" width="13.5" bestFit="1" customWidth="1"/>
    <col min="3" max="3" width="49.875" bestFit="1" customWidth="1"/>
    <col min="4" max="4" width="15" bestFit="1" customWidth="1"/>
    <col min="5" max="5" width="11.375" bestFit="1" customWidth="1"/>
    <col min="6" max="6" width="9.125" bestFit="1" customWidth="1"/>
    <col min="7" max="7" width="11.375" style="114" customWidth="1"/>
    <col min="8" max="8" width="16.75" bestFit="1" customWidth="1"/>
    <col min="9" max="9" width="14.125" bestFit="1" customWidth="1"/>
    <col min="10" max="10" width="14" bestFit="1" customWidth="1"/>
    <col min="11" max="11" width="11.375" bestFit="1" customWidth="1"/>
    <col min="12" max="12" width="33.875" customWidth="1"/>
    <col min="13" max="13" width="13.875" bestFit="1" customWidth="1"/>
  </cols>
  <sheetData>
    <row r="1" spans="1:12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7" t="s">
        <v>2721</v>
      </c>
      <c r="H1" s="256" t="s">
        <v>4099</v>
      </c>
      <c r="I1" s="265" t="s">
        <v>3043</v>
      </c>
      <c r="J1" s="257" t="s">
        <v>4100</v>
      </c>
      <c r="K1" s="257" t="s">
        <v>541</v>
      </c>
      <c r="L1" s="256" t="s">
        <v>542</v>
      </c>
    </row>
    <row r="2" spans="1:12" ht="15">
      <c r="A2" s="1903">
        <v>44606</v>
      </c>
      <c r="B2" s="1903" t="s">
        <v>4142</v>
      </c>
      <c r="C2" s="1903" t="s">
        <v>4596</v>
      </c>
      <c r="D2" s="1909" t="s">
        <v>780</v>
      </c>
      <c r="E2" s="2081">
        <v>2533.17</v>
      </c>
      <c r="F2" s="2117">
        <v>0</v>
      </c>
      <c r="G2" s="611">
        <v>233.15</v>
      </c>
      <c r="H2" s="1201">
        <v>44606</v>
      </c>
      <c r="I2" s="611">
        <v>233.15</v>
      </c>
      <c r="J2" s="906">
        <v>44880</v>
      </c>
      <c r="K2" s="905" t="s">
        <v>3506</v>
      </c>
      <c r="L2" s="226" t="s">
        <v>3509</v>
      </c>
    </row>
    <row r="3" spans="1:12" ht="15">
      <c r="A3" s="1904"/>
      <c r="B3" s="1904"/>
      <c r="C3" s="1904"/>
      <c r="D3" s="1910"/>
      <c r="E3" s="2120"/>
      <c r="F3" s="2119"/>
      <c r="G3" s="611">
        <f>2533.17-233.15-2239.2</f>
        <v>60.820000000000164</v>
      </c>
      <c r="H3" s="1201">
        <v>44606</v>
      </c>
      <c r="I3" s="1199">
        <v>60.820000000000164</v>
      </c>
      <c r="J3" s="1198">
        <v>44986</v>
      </c>
      <c r="K3" s="1203" t="s">
        <v>4389</v>
      </c>
      <c r="L3" s="226"/>
    </row>
    <row r="4" spans="1:12" ht="15">
      <c r="A4" s="1905"/>
      <c r="B4" s="1905"/>
      <c r="C4" s="1905"/>
      <c r="D4" s="1911"/>
      <c r="E4" s="2082"/>
      <c r="F4" s="2118"/>
      <c r="G4" s="611">
        <v>2239.1999999999998</v>
      </c>
      <c r="H4" s="1201">
        <v>44606</v>
      </c>
      <c r="I4" s="1951">
        <v>44</v>
      </c>
      <c r="J4" s="1918">
        <v>44985</v>
      </c>
      <c r="K4" s="1968" t="s">
        <v>4388</v>
      </c>
      <c r="L4" s="226"/>
    </row>
    <row r="5" spans="1:12" ht="15">
      <c r="A5" s="1201">
        <v>44894</v>
      </c>
      <c r="B5" s="1201" t="s">
        <v>521</v>
      </c>
      <c r="C5" s="1201" t="s">
        <v>4596</v>
      </c>
      <c r="D5" s="1202" t="s">
        <v>3596</v>
      </c>
      <c r="E5" s="1207">
        <v>-602.96</v>
      </c>
      <c r="F5" s="649">
        <v>0</v>
      </c>
      <c r="G5" s="611">
        <v>-602.96</v>
      </c>
      <c r="H5" s="1201"/>
      <c r="I5" s="1952"/>
      <c r="J5" s="1919"/>
      <c r="K5" s="1962"/>
      <c r="L5" s="226"/>
    </row>
    <row r="6" spans="1:12" ht="15">
      <c r="A6" s="1201">
        <v>44894</v>
      </c>
      <c r="B6" s="1201" t="s">
        <v>521</v>
      </c>
      <c r="C6" s="1201" t="s">
        <v>4596</v>
      </c>
      <c r="D6" s="1202" t="s">
        <v>3595</v>
      </c>
      <c r="E6" s="1207">
        <v>-1592.24</v>
      </c>
      <c r="F6" s="649">
        <v>0</v>
      </c>
      <c r="G6" s="611">
        <v>-1592.24</v>
      </c>
      <c r="H6" s="1201"/>
      <c r="I6" s="1953"/>
      <c r="J6" s="1920"/>
      <c r="K6" s="1957"/>
      <c r="L6" s="226"/>
    </row>
    <row r="7" spans="1:12" ht="15">
      <c r="A7" s="1903">
        <v>44701</v>
      </c>
      <c r="B7" s="1903" t="s">
        <v>4142</v>
      </c>
      <c r="C7" s="1903" t="s">
        <v>4596</v>
      </c>
      <c r="D7" s="1909" t="s">
        <v>2121</v>
      </c>
      <c r="E7" s="2081">
        <v>1400.33</v>
      </c>
      <c r="F7" s="2117">
        <v>0</v>
      </c>
      <c r="G7" s="611">
        <f>1400.33-1133.48</f>
        <v>266.84999999999991</v>
      </c>
      <c r="H7" s="1201">
        <v>44701</v>
      </c>
      <c r="I7" s="611">
        <v>266.85000000000002</v>
      </c>
      <c r="J7" s="906">
        <v>44880</v>
      </c>
      <c r="K7" s="910" t="s">
        <v>3506</v>
      </c>
      <c r="L7" s="226" t="s">
        <v>3508</v>
      </c>
    </row>
    <row r="8" spans="1:12" ht="15">
      <c r="A8" s="1905"/>
      <c r="B8" s="1905"/>
      <c r="C8" s="1905"/>
      <c r="D8" s="1911"/>
      <c r="E8" s="2082"/>
      <c r="F8" s="2118"/>
      <c r="G8" s="611">
        <v>1133.48</v>
      </c>
      <c r="H8" s="1201">
        <v>44701</v>
      </c>
      <c r="I8" s="1921">
        <v>0</v>
      </c>
      <c r="J8" s="1918">
        <v>44775</v>
      </c>
      <c r="K8" s="2121" t="s">
        <v>2640</v>
      </c>
      <c r="L8" s="226"/>
    </row>
    <row r="9" spans="1:12" ht="15">
      <c r="A9" s="1201">
        <v>44714</v>
      </c>
      <c r="B9" s="1201" t="s">
        <v>4142</v>
      </c>
      <c r="C9" s="1201" t="s">
        <v>4596</v>
      </c>
      <c r="D9" s="1202" t="s">
        <v>2219</v>
      </c>
      <c r="E9" s="1207">
        <v>-998.48</v>
      </c>
      <c r="F9" s="722">
        <v>0</v>
      </c>
      <c r="G9" s="611">
        <v>-998.48</v>
      </c>
      <c r="H9" s="708"/>
      <c r="I9" s="2037"/>
      <c r="J9" s="1919"/>
      <c r="K9" s="2122"/>
      <c r="L9" s="226"/>
    </row>
    <row r="10" spans="1:12" ht="15">
      <c r="A10" s="1201">
        <v>44714</v>
      </c>
      <c r="B10" s="1201" t="s">
        <v>4142</v>
      </c>
      <c r="C10" s="1201" t="s">
        <v>4596</v>
      </c>
      <c r="D10" s="1202" t="s">
        <v>2220</v>
      </c>
      <c r="E10" s="1207">
        <v>-135</v>
      </c>
      <c r="F10" s="722">
        <v>0</v>
      </c>
      <c r="G10" s="611">
        <v>-135</v>
      </c>
      <c r="H10" s="708"/>
      <c r="I10" s="1922"/>
      <c r="J10" s="1920"/>
      <c r="K10" s="2123"/>
      <c r="L10" s="226"/>
    </row>
    <row r="11" spans="1:12" ht="15">
      <c r="A11" s="1201">
        <v>44985</v>
      </c>
      <c r="B11" s="1201" t="s">
        <v>2518</v>
      </c>
      <c r="C11" s="1201" t="s">
        <v>4603</v>
      </c>
      <c r="D11" s="1202" t="s">
        <v>4349</v>
      </c>
      <c r="E11" s="1207">
        <v>-60.82</v>
      </c>
      <c r="F11" s="649">
        <v>0</v>
      </c>
      <c r="G11" s="611">
        <v>-60.82</v>
      </c>
      <c r="H11" s="1201">
        <v>44986</v>
      </c>
      <c r="I11" s="611">
        <v>-60.82</v>
      </c>
      <c r="J11" s="1198">
        <v>44986</v>
      </c>
      <c r="K11" s="1203" t="s">
        <v>4389</v>
      </c>
      <c r="L11" s="226" t="s">
        <v>4350</v>
      </c>
    </row>
    <row r="12" spans="1:12" ht="15">
      <c r="A12" s="623"/>
      <c r="B12" s="623"/>
      <c r="C12" s="623"/>
      <c r="D12" s="624"/>
      <c r="E12" s="699"/>
      <c r="F12" s="644"/>
      <c r="G12" s="605"/>
      <c r="H12" s="623"/>
      <c r="I12" s="639"/>
      <c r="J12" s="641"/>
      <c r="K12" s="217"/>
      <c r="L12" s="226"/>
    </row>
    <row r="13" spans="1:12" ht="15">
      <c r="A13" s="623"/>
      <c r="B13" s="623"/>
      <c r="C13" s="623"/>
      <c r="D13" s="624"/>
      <c r="E13" s="699"/>
      <c r="F13" s="644"/>
      <c r="G13" s="605"/>
      <c r="H13" s="623"/>
      <c r="I13" s="639"/>
      <c r="J13" s="641"/>
      <c r="K13" s="217"/>
      <c r="L13" s="226"/>
    </row>
    <row r="14" spans="1:12" ht="15">
      <c r="A14" s="623"/>
      <c r="B14" s="623"/>
      <c r="C14" s="623"/>
      <c r="D14" s="624"/>
      <c r="E14" s="699"/>
      <c r="F14" s="644"/>
      <c r="G14" s="605"/>
      <c r="H14" s="623"/>
      <c r="I14" s="639"/>
      <c r="J14" s="641"/>
      <c r="K14" s="217"/>
      <c r="L14" s="226"/>
    </row>
    <row r="15" spans="1:12" ht="15">
      <c r="A15" s="623"/>
      <c r="B15" s="623"/>
      <c r="C15" s="623"/>
      <c r="D15" s="624"/>
      <c r="E15" s="699"/>
      <c r="F15" s="644"/>
      <c r="G15" s="605"/>
      <c r="H15" s="623"/>
      <c r="I15" s="639"/>
      <c r="J15" s="641"/>
      <c r="K15" s="217"/>
      <c r="L15" s="226"/>
    </row>
    <row r="16" spans="1:12" ht="15">
      <c r="A16" s="623"/>
      <c r="B16" s="623"/>
      <c r="C16" s="623"/>
      <c r="D16" s="624"/>
      <c r="E16" s="699"/>
      <c r="F16" s="644"/>
      <c r="G16" s="605"/>
      <c r="H16" s="623"/>
      <c r="I16" s="639"/>
      <c r="J16" s="641"/>
      <c r="K16" s="217"/>
      <c r="L16" s="226"/>
    </row>
    <row r="17" spans="1:12" ht="15">
      <c r="A17" s="621"/>
      <c r="B17" s="1125"/>
      <c r="C17" s="1125"/>
      <c r="D17" s="684"/>
      <c r="E17" s="684"/>
      <c r="F17" s="1144" t="s">
        <v>545</v>
      </c>
      <c r="G17" s="651">
        <f>SUM(G2:G16)-SUM(I2:I16)</f>
        <v>0</v>
      </c>
      <c r="H17" s="634"/>
      <c r="I17" s="639"/>
      <c r="J17" s="641"/>
      <c r="K17" s="88"/>
      <c r="L17" s="226"/>
    </row>
    <row r="18" spans="1:12">
      <c r="A18" s="102"/>
      <c r="B18" s="168"/>
      <c r="C18" s="168"/>
      <c r="D18" s="102"/>
      <c r="E18" s="168"/>
      <c r="F18" s="168"/>
      <c r="G18" s="190"/>
      <c r="H18" s="168"/>
      <c r="I18" s="102"/>
      <c r="J18" s="136"/>
      <c r="K18" s="102"/>
      <c r="L18" s="102"/>
    </row>
  </sheetData>
  <mergeCells count="18">
    <mergeCell ref="K4:K6"/>
    <mergeCell ref="J4:J6"/>
    <mergeCell ref="I4:I6"/>
    <mergeCell ref="I8:I10"/>
    <mergeCell ref="K8:K10"/>
    <mergeCell ref="J8:J10"/>
    <mergeCell ref="E7:E8"/>
    <mergeCell ref="F7:F8"/>
    <mergeCell ref="F2:F4"/>
    <mergeCell ref="E2:E4"/>
    <mergeCell ref="D2:D4"/>
    <mergeCell ref="A2:A4"/>
    <mergeCell ref="D7:D8"/>
    <mergeCell ref="A7:A8"/>
    <mergeCell ref="C2:C4"/>
    <mergeCell ref="B2:B4"/>
    <mergeCell ref="B7:B8"/>
    <mergeCell ref="C7:C8"/>
  </mergeCells>
  <phoneticPr fontId="15" type="noConversion"/>
  <hyperlinks>
    <hyperlink ref="F17" location="汇总!A1" display="剩余欠款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L45"/>
  <sheetViews>
    <sheetView workbookViewId="0">
      <pane ySplit="1" topLeftCell="A11" activePane="bottomLeft" state="frozen"/>
      <selection activeCell="C33" sqref="C33"/>
      <selection pane="bottomLeft" activeCell="F45" sqref="F45"/>
    </sheetView>
  </sheetViews>
  <sheetFormatPr defaultRowHeight="14.25"/>
  <cols>
    <col min="1" max="1" width="12" bestFit="1" customWidth="1"/>
    <col min="2" max="2" width="13.5" bestFit="1" customWidth="1"/>
    <col min="3" max="3" width="25.5" bestFit="1" customWidth="1"/>
    <col min="4" max="4" width="13.875" bestFit="1" customWidth="1"/>
    <col min="5" max="5" width="11.5" bestFit="1" customWidth="1"/>
    <col min="6" max="6" width="11.125" customWidth="1"/>
    <col min="7" max="7" width="17.375" bestFit="1" customWidth="1"/>
    <col min="8" max="8" width="16.75" bestFit="1" customWidth="1"/>
    <col min="9" max="9" width="14" bestFit="1" customWidth="1"/>
    <col min="10" max="10" width="16.125" bestFit="1" customWidth="1"/>
    <col min="11" max="11" width="11.375" bestFit="1" customWidth="1"/>
    <col min="12" max="12" width="48.25" style="310" bestFit="1" customWidth="1"/>
    <col min="13" max="13" width="13.875" bestFit="1" customWidth="1"/>
  </cols>
  <sheetData>
    <row r="1" spans="1:12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7" t="s">
        <v>2721</v>
      </c>
      <c r="H1" s="256" t="s">
        <v>4099</v>
      </c>
      <c r="I1" s="265" t="s">
        <v>3043</v>
      </c>
      <c r="J1" s="257" t="s">
        <v>4100</v>
      </c>
      <c r="K1" s="257" t="s">
        <v>541</v>
      </c>
      <c r="L1" s="256" t="s">
        <v>542</v>
      </c>
    </row>
    <row r="2" spans="1:12" ht="15">
      <c r="A2" s="1903">
        <v>44615</v>
      </c>
      <c r="B2" s="1918" t="s">
        <v>4142</v>
      </c>
      <c r="C2" s="1918" t="s">
        <v>4399</v>
      </c>
      <c r="D2" s="1909" t="s">
        <v>781</v>
      </c>
      <c r="E2" s="2081">
        <v>24174.15</v>
      </c>
      <c r="F2" s="2074">
        <v>5076.57</v>
      </c>
      <c r="G2" s="611">
        <v>9750.24</v>
      </c>
      <c r="H2" s="1021">
        <v>44615</v>
      </c>
      <c r="I2" s="611">
        <v>9750.24</v>
      </c>
      <c r="J2" s="847">
        <v>44855</v>
      </c>
      <c r="K2" s="846" t="s">
        <v>3330</v>
      </c>
      <c r="L2" s="1051"/>
    </row>
    <row r="3" spans="1:12" ht="15">
      <c r="A3" s="1904"/>
      <c r="B3" s="1919"/>
      <c r="C3" s="1919"/>
      <c r="D3" s="1910"/>
      <c r="E3" s="2120"/>
      <c r="F3" s="2116"/>
      <c r="G3" s="611">
        <v>9750.24</v>
      </c>
      <c r="H3" s="1021">
        <v>44615</v>
      </c>
      <c r="I3" s="611">
        <v>9750.24</v>
      </c>
      <c r="J3" s="931">
        <v>44894</v>
      </c>
      <c r="K3" s="925" t="s">
        <v>1506</v>
      </c>
      <c r="L3" s="1051"/>
    </row>
    <row r="4" spans="1:12" ht="15">
      <c r="A4" s="1904"/>
      <c r="B4" s="1919"/>
      <c r="C4" s="1919"/>
      <c r="D4" s="1910"/>
      <c r="E4" s="2120"/>
      <c r="F4" s="2116"/>
      <c r="G4" s="611">
        <v>-9750.24</v>
      </c>
      <c r="H4" s="1021">
        <v>44615</v>
      </c>
      <c r="I4" s="611">
        <v>-9750.24</v>
      </c>
      <c r="J4" s="931">
        <v>44896</v>
      </c>
      <c r="K4" s="925" t="s">
        <v>3638</v>
      </c>
      <c r="L4" s="1051"/>
    </row>
    <row r="5" spans="1:12" ht="15">
      <c r="A5" s="1905"/>
      <c r="B5" s="1920"/>
      <c r="C5" s="1920"/>
      <c r="D5" s="1911"/>
      <c r="E5" s="2082"/>
      <c r="F5" s="2075"/>
      <c r="G5" s="611">
        <f>29250.72-9750.24</f>
        <v>19500.480000000003</v>
      </c>
      <c r="H5" s="1021">
        <v>44615</v>
      </c>
      <c r="I5" s="611">
        <v>19500.480000000003</v>
      </c>
      <c r="J5" s="847">
        <v>44929</v>
      </c>
      <c r="K5" s="1018" t="s">
        <v>3872</v>
      </c>
      <c r="L5" s="382" t="s">
        <v>3876</v>
      </c>
    </row>
    <row r="6" spans="1:12" ht="15">
      <c r="A6" s="1903">
        <v>44733</v>
      </c>
      <c r="B6" s="1918" t="s">
        <v>4116</v>
      </c>
      <c r="C6" s="1918" t="s">
        <v>4399</v>
      </c>
      <c r="D6" s="1909" t="s">
        <v>2318</v>
      </c>
      <c r="E6" s="2081">
        <v>1575.17</v>
      </c>
      <c r="F6" s="2114">
        <v>330.79</v>
      </c>
      <c r="G6" s="611">
        <v>1905.96</v>
      </c>
      <c r="H6" s="1021">
        <v>44733</v>
      </c>
      <c r="I6" s="611">
        <v>1905.96</v>
      </c>
      <c r="J6" s="931">
        <v>44894</v>
      </c>
      <c r="K6" s="937" t="s">
        <v>1506</v>
      </c>
      <c r="L6" s="1051"/>
    </row>
    <row r="7" spans="1:12" ht="15">
      <c r="A7" s="1904"/>
      <c r="B7" s="1919"/>
      <c r="C7" s="1919"/>
      <c r="D7" s="1910"/>
      <c r="E7" s="2120"/>
      <c r="F7" s="2126"/>
      <c r="G7" s="611">
        <v>-1905.96</v>
      </c>
      <c r="H7" s="1021">
        <v>44733</v>
      </c>
      <c r="I7" s="611">
        <v>-1905.96</v>
      </c>
      <c r="J7" s="931">
        <v>44896</v>
      </c>
      <c r="K7" s="937" t="s">
        <v>3638</v>
      </c>
      <c r="L7" s="1051"/>
    </row>
    <row r="8" spans="1:12" ht="15">
      <c r="A8" s="1905"/>
      <c r="B8" s="1920"/>
      <c r="C8" s="1920"/>
      <c r="D8" s="1911"/>
      <c r="E8" s="2082"/>
      <c r="F8" s="2115"/>
      <c r="G8" s="611">
        <v>1905.96</v>
      </c>
      <c r="H8" s="1021">
        <v>44733</v>
      </c>
      <c r="I8" s="1923">
        <v>12775.7</v>
      </c>
      <c r="J8" s="1903">
        <v>44929</v>
      </c>
      <c r="K8" s="2121" t="s">
        <v>3872</v>
      </c>
      <c r="L8" s="2051" t="s">
        <v>3876</v>
      </c>
    </row>
    <row r="9" spans="1:12" ht="15">
      <c r="A9" s="1021">
        <v>44764.000497685185</v>
      </c>
      <c r="B9" s="1124" t="s">
        <v>4116</v>
      </c>
      <c r="C9" s="1124" t="s">
        <v>4399</v>
      </c>
      <c r="D9" s="1022" t="s">
        <v>2473</v>
      </c>
      <c r="E9" s="1025">
        <v>7781.62</v>
      </c>
      <c r="F9" s="714">
        <v>0</v>
      </c>
      <c r="G9" s="611">
        <v>7781.62</v>
      </c>
      <c r="H9" s="1021">
        <v>44764</v>
      </c>
      <c r="I9" s="1961"/>
      <c r="J9" s="1904"/>
      <c r="K9" s="2122"/>
      <c r="L9" s="2124"/>
    </row>
    <row r="10" spans="1:12" ht="15">
      <c r="A10" s="1021">
        <v>44782.000497685185</v>
      </c>
      <c r="B10" s="1124" t="s">
        <v>4116</v>
      </c>
      <c r="C10" s="1124" t="s">
        <v>4399</v>
      </c>
      <c r="D10" s="1022" t="s">
        <v>2665</v>
      </c>
      <c r="E10" s="1025">
        <v>1202.6099999999999</v>
      </c>
      <c r="F10" s="714">
        <v>252.55</v>
      </c>
      <c r="G10" s="611">
        <v>1455.16</v>
      </c>
      <c r="H10" s="1021">
        <v>44782.000497685185</v>
      </c>
      <c r="I10" s="1961"/>
      <c r="J10" s="1904"/>
      <c r="K10" s="2122"/>
      <c r="L10" s="2124"/>
    </row>
    <row r="11" spans="1:12" ht="15">
      <c r="A11" s="1021">
        <v>44798</v>
      </c>
      <c r="B11" s="1124" t="s">
        <v>4116</v>
      </c>
      <c r="C11" s="1124" t="s">
        <v>4399</v>
      </c>
      <c r="D11" s="1022" t="s">
        <v>2840</v>
      </c>
      <c r="E11" s="1025">
        <v>1349.55</v>
      </c>
      <c r="F11" s="714">
        <v>283.41000000000003</v>
      </c>
      <c r="G11" s="611">
        <v>1632.96</v>
      </c>
      <c r="H11" s="1021">
        <v>44798</v>
      </c>
      <c r="I11" s="1924"/>
      <c r="J11" s="1905"/>
      <c r="K11" s="2123"/>
      <c r="L11" s="2125"/>
    </row>
    <row r="12" spans="1:12" ht="15">
      <c r="A12" s="981">
        <v>44806</v>
      </c>
      <c r="B12" s="1124" t="s">
        <v>4116</v>
      </c>
      <c r="C12" s="1124" t="s">
        <v>4399</v>
      </c>
      <c r="D12" s="982" t="s">
        <v>2900</v>
      </c>
      <c r="E12" s="986">
        <v>0.01</v>
      </c>
      <c r="F12" s="714">
        <v>0</v>
      </c>
      <c r="G12" s="611">
        <v>0.01</v>
      </c>
      <c r="H12" s="981">
        <v>44806</v>
      </c>
      <c r="I12" s="611">
        <v>0.01</v>
      </c>
      <c r="J12" s="981">
        <v>44902</v>
      </c>
      <c r="K12" s="983" t="s">
        <v>3672</v>
      </c>
      <c r="L12" s="382" t="s">
        <v>2897</v>
      </c>
    </row>
    <row r="13" spans="1:12" ht="15">
      <c r="A13" s="623">
        <v>44896</v>
      </c>
      <c r="B13" s="623" t="s">
        <v>521</v>
      </c>
      <c r="C13" s="623" t="s">
        <v>4399</v>
      </c>
      <c r="D13" s="624" t="s">
        <v>3598</v>
      </c>
      <c r="E13" s="699">
        <v>300.75</v>
      </c>
      <c r="F13" s="710">
        <v>0</v>
      </c>
      <c r="G13" s="605">
        <v>300.75</v>
      </c>
      <c r="H13" s="623">
        <v>44896</v>
      </c>
      <c r="I13" s="611"/>
      <c r="J13" s="847"/>
      <c r="K13" s="217"/>
      <c r="L13" s="309" t="s">
        <v>3600</v>
      </c>
    </row>
    <row r="14" spans="1:12" ht="15">
      <c r="A14" s="623">
        <v>44896</v>
      </c>
      <c r="B14" s="623" t="s">
        <v>521</v>
      </c>
      <c r="C14" s="623" t="s">
        <v>4399</v>
      </c>
      <c r="D14" s="624" t="s">
        <v>3597</v>
      </c>
      <c r="E14" s="699">
        <v>86.52</v>
      </c>
      <c r="F14" s="710">
        <v>0</v>
      </c>
      <c r="G14" s="605">
        <v>86.52</v>
      </c>
      <c r="H14" s="623">
        <v>44896</v>
      </c>
      <c r="I14" s="611"/>
      <c r="J14" s="847"/>
      <c r="K14" s="217"/>
      <c r="L14" s="309" t="s">
        <v>3599</v>
      </c>
    </row>
    <row r="15" spans="1:12" ht="15">
      <c r="A15" s="1021">
        <v>44918</v>
      </c>
      <c r="B15" s="1124" t="s">
        <v>521</v>
      </c>
      <c r="C15" s="1124" t="s">
        <v>4399</v>
      </c>
      <c r="D15" s="1022" t="s">
        <v>3747</v>
      </c>
      <c r="E15" s="1025">
        <v>-139.47999999999999</v>
      </c>
      <c r="F15" s="714">
        <v>0</v>
      </c>
      <c r="G15" s="611">
        <v>-139.47999999999999</v>
      </c>
      <c r="H15" s="1021"/>
      <c r="I15" s="1923">
        <f>SUM(G15:G36)</f>
        <v>-23100.969999999998</v>
      </c>
      <c r="J15" s="1903">
        <v>44929</v>
      </c>
      <c r="K15" s="2121" t="s">
        <v>3872</v>
      </c>
      <c r="L15" s="2051" t="s">
        <v>3877</v>
      </c>
    </row>
    <row r="16" spans="1:12" ht="15">
      <c r="A16" s="1021">
        <v>44918</v>
      </c>
      <c r="B16" s="1124" t="s">
        <v>521</v>
      </c>
      <c r="C16" s="1124" t="s">
        <v>4399</v>
      </c>
      <c r="D16" s="1022" t="s">
        <v>3748</v>
      </c>
      <c r="E16" s="1025">
        <v>-257.99</v>
      </c>
      <c r="F16" s="714">
        <v>0</v>
      </c>
      <c r="G16" s="611">
        <v>-257.99</v>
      </c>
      <c r="H16" s="1021"/>
      <c r="I16" s="1961"/>
      <c r="J16" s="1904"/>
      <c r="K16" s="2122"/>
      <c r="L16" s="2124"/>
    </row>
    <row r="17" spans="1:12" ht="15">
      <c r="A17" s="1021">
        <v>44918</v>
      </c>
      <c r="B17" s="1124" t="s">
        <v>521</v>
      </c>
      <c r="C17" s="1124" t="s">
        <v>4399</v>
      </c>
      <c r="D17" s="1022" t="s">
        <v>3749</v>
      </c>
      <c r="E17" s="1025">
        <v>-305.55</v>
      </c>
      <c r="F17" s="714">
        <v>0</v>
      </c>
      <c r="G17" s="611">
        <v>-305.55</v>
      </c>
      <c r="H17" s="1021"/>
      <c r="I17" s="1961"/>
      <c r="J17" s="1904"/>
      <c r="K17" s="2122"/>
      <c r="L17" s="2124"/>
    </row>
    <row r="18" spans="1:12" ht="15">
      <c r="A18" s="1021">
        <v>44918</v>
      </c>
      <c r="B18" s="1124" t="s">
        <v>521</v>
      </c>
      <c r="C18" s="1124" t="s">
        <v>4399</v>
      </c>
      <c r="D18" s="1022" t="s">
        <v>3750</v>
      </c>
      <c r="E18" s="1025">
        <v>-326.94</v>
      </c>
      <c r="F18" s="714">
        <v>0</v>
      </c>
      <c r="G18" s="611">
        <v>-326.94</v>
      </c>
      <c r="H18" s="1021"/>
      <c r="I18" s="1961"/>
      <c r="J18" s="1904"/>
      <c r="K18" s="2122"/>
      <c r="L18" s="2124"/>
    </row>
    <row r="19" spans="1:12" ht="15">
      <c r="A19" s="1021">
        <v>44918</v>
      </c>
      <c r="B19" s="1124" t="s">
        <v>521</v>
      </c>
      <c r="C19" s="1124" t="s">
        <v>4399</v>
      </c>
      <c r="D19" s="1022" t="s">
        <v>3751</v>
      </c>
      <c r="E19" s="1025">
        <v>-165.27</v>
      </c>
      <c r="F19" s="714">
        <v>0</v>
      </c>
      <c r="G19" s="611">
        <v>-165.27</v>
      </c>
      <c r="H19" s="1021"/>
      <c r="I19" s="1961"/>
      <c r="J19" s="1904"/>
      <c r="K19" s="2122"/>
      <c r="L19" s="2124"/>
    </row>
    <row r="20" spans="1:12" ht="15">
      <c r="A20" s="1021">
        <v>44918</v>
      </c>
      <c r="B20" s="1124" t="s">
        <v>521</v>
      </c>
      <c r="C20" s="1124" t="s">
        <v>4399</v>
      </c>
      <c r="D20" s="1022" t="s">
        <v>3752</v>
      </c>
      <c r="E20" s="1025">
        <v>-769.65</v>
      </c>
      <c r="F20" s="714">
        <v>0</v>
      </c>
      <c r="G20" s="611">
        <v>-769.65</v>
      </c>
      <c r="H20" s="1021"/>
      <c r="I20" s="1961"/>
      <c r="J20" s="1904"/>
      <c r="K20" s="2122"/>
      <c r="L20" s="2124"/>
    </row>
    <row r="21" spans="1:12" ht="15">
      <c r="A21" s="1021">
        <v>44918</v>
      </c>
      <c r="B21" s="1124" t="s">
        <v>521</v>
      </c>
      <c r="C21" s="1124" t="s">
        <v>4399</v>
      </c>
      <c r="D21" s="1022" t="s">
        <v>3753</v>
      </c>
      <c r="E21" s="1025">
        <v>-496.65</v>
      </c>
      <c r="F21" s="714">
        <v>0</v>
      </c>
      <c r="G21" s="611">
        <v>-496.65</v>
      </c>
      <c r="H21" s="1021"/>
      <c r="I21" s="1961"/>
      <c r="J21" s="1904"/>
      <c r="K21" s="2122"/>
      <c r="L21" s="2124"/>
    </row>
    <row r="22" spans="1:12" ht="15">
      <c r="A22" s="1021">
        <v>44918</v>
      </c>
      <c r="B22" s="1124" t="s">
        <v>521</v>
      </c>
      <c r="C22" s="1124" t="s">
        <v>4399</v>
      </c>
      <c r="D22" s="1022" t="s">
        <v>3754</v>
      </c>
      <c r="E22" s="1025">
        <v>-528.5</v>
      </c>
      <c r="F22" s="714">
        <v>0</v>
      </c>
      <c r="G22" s="611">
        <v>-528.5</v>
      </c>
      <c r="H22" s="1021"/>
      <c r="I22" s="1961"/>
      <c r="J22" s="1904"/>
      <c r="K22" s="2122"/>
      <c r="L22" s="2124"/>
    </row>
    <row r="23" spans="1:12" ht="15">
      <c r="A23" s="1021">
        <v>44918</v>
      </c>
      <c r="B23" s="1124" t="s">
        <v>521</v>
      </c>
      <c r="C23" s="1124" t="s">
        <v>4399</v>
      </c>
      <c r="D23" s="1022" t="s">
        <v>3755</v>
      </c>
      <c r="E23" s="1025">
        <v>-573.48</v>
      </c>
      <c r="F23" s="714">
        <v>0</v>
      </c>
      <c r="G23" s="611">
        <v>-573.48</v>
      </c>
      <c r="H23" s="1021"/>
      <c r="I23" s="1961"/>
      <c r="J23" s="1904"/>
      <c r="K23" s="2122"/>
      <c r="L23" s="2124"/>
    </row>
    <row r="24" spans="1:12" ht="15">
      <c r="A24" s="1021">
        <v>44918</v>
      </c>
      <c r="B24" s="1124" t="s">
        <v>521</v>
      </c>
      <c r="C24" s="1124" t="s">
        <v>4399</v>
      </c>
      <c r="D24" s="1022" t="s">
        <v>3756</v>
      </c>
      <c r="E24" s="1025">
        <v>-2543</v>
      </c>
      <c r="F24" s="714">
        <v>0</v>
      </c>
      <c r="G24" s="611">
        <v>-2543</v>
      </c>
      <c r="H24" s="1021"/>
      <c r="I24" s="1961"/>
      <c r="J24" s="1904"/>
      <c r="K24" s="2122"/>
      <c r="L24" s="2124"/>
    </row>
    <row r="25" spans="1:12" ht="15">
      <c r="A25" s="1021">
        <v>44918</v>
      </c>
      <c r="B25" s="1124" t="s">
        <v>521</v>
      </c>
      <c r="C25" s="1124" t="s">
        <v>4399</v>
      </c>
      <c r="D25" s="1022" t="s">
        <v>3757</v>
      </c>
      <c r="E25" s="1025">
        <v>-1652.07</v>
      </c>
      <c r="F25" s="714">
        <v>0</v>
      </c>
      <c r="G25" s="611">
        <v>-1652.07</v>
      </c>
      <c r="H25" s="1021"/>
      <c r="I25" s="1961"/>
      <c r="J25" s="1904"/>
      <c r="K25" s="2122"/>
      <c r="L25" s="2124"/>
    </row>
    <row r="26" spans="1:12" ht="15">
      <c r="A26" s="1021">
        <v>44918</v>
      </c>
      <c r="B26" s="1124" t="s">
        <v>521</v>
      </c>
      <c r="C26" s="1124" t="s">
        <v>4399</v>
      </c>
      <c r="D26" s="1022" t="s">
        <v>3758</v>
      </c>
      <c r="E26" s="1025">
        <v>-673.82</v>
      </c>
      <c r="F26" s="714">
        <v>0</v>
      </c>
      <c r="G26" s="611">
        <v>-673.82</v>
      </c>
      <c r="H26" s="1021"/>
      <c r="I26" s="1961"/>
      <c r="J26" s="1904"/>
      <c r="K26" s="2122"/>
      <c r="L26" s="2124"/>
    </row>
    <row r="27" spans="1:12" ht="15">
      <c r="A27" s="1021">
        <v>44918</v>
      </c>
      <c r="B27" s="1124" t="s">
        <v>521</v>
      </c>
      <c r="C27" s="1124" t="s">
        <v>4399</v>
      </c>
      <c r="D27" s="1022" t="s">
        <v>3759</v>
      </c>
      <c r="E27" s="1025">
        <v>-137.76</v>
      </c>
      <c r="F27" s="714">
        <v>0</v>
      </c>
      <c r="G27" s="611">
        <v>-137.76</v>
      </c>
      <c r="H27" s="1021"/>
      <c r="I27" s="1961"/>
      <c r="J27" s="1904"/>
      <c r="K27" s="2122"/>
      <c r="L27" s="2124"/>
    </row>
    <row r="28" spans="1:12" ht="15">
      <c r="A28" s="1021">
        <v>44918</v>
      </c>
      <c r="B28" s="1124" t="s">
        <v>521</v>
      </c>
      <c r="C28" s="1124" t="s">
        <v>4399</v>
      </c>
      <c r="D28" s="1022" t="s">
        <v>3760</v>
      </c>
      <c r="E28" s="1025">
        <v>-1419.43</v>
      </c>
      <c r="F28" s="714">
        <v>0</v>
      </c>
      <c r="G28" s="611">
        <v>-1419.43</v>
      </c>
      <c r="H28" s="1021"/>
      <c r="I28" s="1961"/>
      <c r="J28" s="1904"/>
      <c r="K28" s="2122"/>
      <c r="L28" s="2124"/>
    </row>
    <row r="29" spans="1:12" ht="15">
      <c r="A29" s="1021">
        <v>44918</v>
      </c>
      <c r="B29" s="1124" t="s">
        <v>521</v>
      </c>
      <c r="C29" s="1124" t="s">
        <v>4399</v>
      </c>
      <c r="D29" s="1022" t="s">
        <v>3761</v>
      </c>
      <c r="E29" s="1025">
        <v>-79.38</v>
      </c>
      <c r="F29" s="714">
        <v>0</v>
      </c>
      <c r="G29" s="611">
        <v>-79.38</v>
      </c>
      <c r="H29" s="1021"/>
      <c r="I29" s="1961"/>
      <c r="J29" s="1904"/>
      <c r="K29" s="2122"/>
      <c r="L29" s="2124"/>
    </row>
    <row r="30" spans="1:12" ht="15">
      <c r="A30" s="1021">
        <v>44918</v>
      </c>
      <c r="B30" s="1124" t="s">
        <v>521</v>
      </c>
      <c r="C30" s="1124" t="s">
        <v>4399</v>
      </c>
      <c r="D30" s="1022" t="s">
        <v>3762</v>
      </c>
      <c r="E30" s="1025">
        <v>-824.84</v>
      </c>
      <c r="F30" s="714">
        <v>-173.22</v>
      </c>
      <c r="G30" s="611">
        <v>-998.06</v>
      </c>
      <c r="H30" s="1021"/>
      <c r="I30" s="1961"/>
      <c r="J30" s="1904"/>
      <c r="K30" s="2122"/>
      <c r="L30" s="2124"/>
    </row>
    <row r="31" spans="1:12" ht="15">
      <c r="A31" s="1021">
        <v>44918</v>
      </c>
      <c r="B31" s="1124" t="s">
        <v>521</v>
      </c>
      <c r="C31" s="1124" t="s">
        <v>4399</v>
      </c>
      <c r="D31" s="1022" t="s">
        <v>3763</v>
      </c>
      <c r="E31" s="1025">
        <v>-1659.96</v>
      </c>
      <c r="F31" s="714">
        <v>-348.59</v>
      </c>
      <c r="G31" s="611">
        <v>-2008.55</v>
      </c>
      <c r="H31" s="1021"/>
      <c r="I31" s="1961"/>
      <c r="J31" s="1904"/>
      <c r="K31" s="2122"/>
      <c r="L31" s="2124"/>
    </row>
    <row r="32" spans="1:12" ht="15">
      <c r="A32" s="1021">
        <v>44918</v>
      </c>
      <c r="B32" s="1124" t="s">
        <v>521</v>
      </c>
      <c r="C32" s="1124" t="s">
        <v>4399</v>
      </c>
      <c r="D32" s="1022" t="s">
        <v>3764</v>
      </c>
      <c r="E32" s="1025">
        <v>-939.19</v>
      </c>
      <c r="F32" s="714">
        <v>-197.23</v>
      </c>
      <c r="G32" s="611">
        <v>-1136.42</v>
      </c>
      <c r="H32" s="1021"/>
      <c r="I32" s="1961"/>
      <c r="J32" s="1904"/>
      <c r="K32" s="2122"/>
      <c r="L32" s="2124"/>
    </row>
    <row r="33" spans="1:12" ht="15">
      <c r="A33" s="1021">
        <v>44918</v>
      </c>
      <c r="B33" s="1124" t="s">
        <v>521</v>
      </c>
      <c r="C33" s="1124" t="s">
        <v>4399</v>
      </c>
      <c r="D33" s="1022" t="s">
        <v>3765</v>
      </c>
      <c r="E33" s="1025">
        <v>-1281.75</v>
      </c>
      <c r="F33" s="714">
        <v>-269.17</v>
      </c>
      <c r="G33" s="611">
        <v>-1550.92</v>
      </c>
      <c r="H33" s="1021"/>
      <c r="I33" s="1961"/>
      <c r="J33" s="1904"/>
      <c r="K33" s="2122"/>
      <c r="L33" s="2124"/>
    </row>
    <row r="34" spans="1:12" ht="15">
      <c r="A34" s="1021">
        <v>44918</v>
      </c>
      <c r="B34" s="1124" t="s">
        <v>521</v>
      </c>
      <c r="C34" s="1124" t="s">
        <v>4399</v>
      </c>
      <c r="D34" s="1022" t="s">
        <v>3766</v>
      </c>
      <c r="E34" s="1025">
        <v>-2412.7800000000002</v>
      </c>
      <c r="F34" s="714">
        <v>-506.68</v>
      </c>
      <c r="G34" s="611">
        <v>-2919.46</v>
      </c>
      <c r="H34" s="1021"/>
      <c r="I34" s="1961"/>
      <c r="J34" s="1904"/>
      <c r="K34" s="2122"/>
      <c r="L34" s="2124"/>
    </row>
    <row r="35" spans="1:12" ht="15">
      <c r="A35" s="1021">
        <v>44918</v>
      </c>
      <c r="B35" s="1124" t="s">
        <v>521</v>
      </c>
      <c r="C35" s="1124" t="s">
        <v>4399</v>
      </c>
      <c r="D35" s="1022" t="s">
        <v>3767</v>
      </c>
      <c r="E35" s="1025">
        <v>-2180.02</v>
      </c>
      <c r="F35" s="714">
        <v>-457.8</v>
      </c>
      <c r="G35" s="611">
        <v>-2637.82</v>
      </c>
      <c r="H35" s="1021"/>
      <c r="I35" s="1961"/>
      <c r="J35" s="1904"/>
      <c r="K35" s="2122"/>
      <c r="L35" s="2124"/>
    </row>
    <row r="36" spans="1:12" ht="15">
      <c r="A36" s="1021">
        <v>44918</v>
      </c>
      <c r="B36" s="1124" t="s">
        <v>521</v>
      </c>
      <c r="C36" s="1124" t="s">
        <v>4399</v>
      </c>
      <c r="D36" s="1022" t="s">
        <v>3768</v>
      </c>
      <c r="E36" s="1025">
        <v>-1471.71</v>
      </c>
      <c r="F36" s="714">
        <v>-309.06</v>
      </c>
      <c r="G36" s="611">
        <v>-1780.77</v>
      </c>
      <c r="H36" s="1021"/>
      <c r="I36" s="1924"/>
      <c r="J36" s="1905"/>
      <c r="K36" s="2123"/>
      <c r="L36" s="2125"/>
    </row>
    <row r="37" spans="1:12" ht="15">
      <c r="A37" s="623">
        <v>44963.000497685185</v>
      </c>
      <c r="B37" s="623" t="s">
        <v>2518</v>
      </c>
      <c r="C37" s="623" t="s">
        <v>4399</v>
      </c>
      <c r="D37" s="624" t="s">
        <v>4076</v>
      </c>
      <c r="E37" s="699">
        <v>-31.5</v>
      </c>
      <c r="F37" s="710">
        <v>0</v>
      </c>
      <c r="G37" s="605">
        <v>-31.5</v>
      </c>
      <c r="H37" s="623"/>
      <c r="I37" s="611"/>
      <c r="J37" s="847"/>
      <c r="K37" s="217"/>
      <c r="L37" s="1051"/>
    </row>
    <row r="38" spans="1:12" ht="15">
      <c r="A38" s="623">
        <v>44963.000497685185</v>
      </c>
      <c r="B38" s="623" t="s">
        <v>2518</v>
      </c>
      <c r="C38" s="623" t="s">
        <v>4399</v>
      </c>
      <c r="D38" s="624" t="s">
        <v>4077</v>
      </c>
      <c r="E38" s="699">
        <v>-553.55999999999995</v>
      </c>
      <c r="F38" s="710">
        <v>0</v>
      </c>
      <c r="G38" s="605">
        <v>-553.55999999999995</v>
      </c>
      <c r="H38" s="623"/>
      <c r="I38" s="611"/>
      <c r="J38" s="847"/>
      <c r="K38" s="217"/>
      <c r="L38" s="1051"/>
    </row>
    <row r="39" spans="1:12" ht="15">
      <c r="A39" s="623">
        <v>44963.000497685185</v>
      </c>
      <c r="B39" s="623" t="s">
        <v>2518</v>
      </c>
      <c r="C39" s="623" t="s">
        <v>4399</v>
      </c>
      <c r="D39" s="624" t="s">
        <v>4078</v>
      </c>
      <c r="E39" s="699">
        <v>-222.53</v>
      </c>
      <c r="F39" s="710">
        <v>-46.73</v>
      </c>
      <c r="G39" s="605">
        <v>-269.25</v>
      </c>
      <c r="H39" s="623"/>
      <c r="I39" s="611"/>
      <c r="J39" s="847"/>
      <c r="K39" s="217"/>
      <c r="L39" s="1051"/>
    </row>
    <row r="40" spans="1:12" ht="15">
      <c r="A40" s="623"/>
      <c r="B40" s="623"/>
      <c r="C40" s="623"/>
      <c r="D40" s="624"/>
      <c r="E40" s="699"/>
      <c r="F40" s="710"/>
      <c r="G40" s="605"/>
      <c r="H40" s="623"/>
      <c r="I40" s="611"/>
      <c r="J40" s="1549"/>
      <c r="K40" s="217"/>
      <c r="L40" s="1051"/>
    </row>
    <row r="41" spans="1:12" ht="15">
      <c r="A41" s="623"/>
      <c r="B41" s="623"/>
      <c r="C41" s="623"/>
      <c r="D41" s="624"/>
      <c r="E41" s="699"/>
      <c r="F41" s="710"/>
      <c r="G41" s="605"/>
      <c r="H41" s="623"/>
      <c r="I41" s="611"/>
      <c r="J41" s="1549"/>
      <c r="K41" s="217"/>
      <c r="L41" s="1051"/>
    </row>
    <row r="42" spans="1:12" ht="15">
      <c r="A42" s="623"/>
      <c r="B42" s="623"/>
      <c r="C42" s="623"/>
      <c r="D42" s="624"/>
      <c r="E42" s="699"/>
      <c r="F42" s="710"/>
      <c r="G42" s="605"/>
      <c r="H42" s="623"/>
      <c r="I42" s="611"/>
      <c r="J42" s="1549"/>
      <c r="K42" s="217"/>
      <c r="L42" s="1051"/>
    </row>
    <row r="43" spans="1:12" ht="15">
      <c r="A43" s="623"/>
      <c r="B43" s="623"/>
      <c r="C43" s="623"/>
      <c r="D43" s="624"/>
      <c r="E43" s="699"/>
      <c r="F43" s="710"/>
      <c r="G43" s="605"/>
      <c r="H43" s="623"/>
      <c r="I43" s="611"/>
      <c r="J43" s="1549"/>
      <c r="K43" s="217"/>
      <c r="L43" s="1051"/>
    </row>
    <row r="44" spans="1:12" ht="15">
      <c r="A44" s="623"/>
      <c r="B44" s="623"/>
      <c r="C44" s="623"/>
      <c r="D44" s="624"/>
      <c r="E44" s="699"/>
      <c r="F44" s="710"/>
      <c r="G44" s="605"/>
      <c r="H44" s="623"/>
      <c r="I44" s="611"/>
      <c r="J44" s="847"/>
      <c r="K44" s="217"/>
      <c r="L44" s="1051"/>
    </row>
    <row r="45" spans="1:12" ht="15">
      <c r="A45" s="621"/>
      <c r="B45" s="1125"/>
      <c r="C45" s="1125"/>
      <c r="D45" s="619"/>
      <c r="E45" s="619"/>
      <c r="F45" s="1144" t="s">
        <v>545</v>
      </c>
      <c r="G45" s="651">
        <f>SUM(G2:G44)-SUM(I2:I44)</f>
        <v>-467.04000000001179</v>
      </c>
      <c r="H45" s="620"/>
      <c r="I45" s="611"/>
      <c r="J45" s="847"/>
      <c r="K45" s="226"/>
      <c r="L45" s="1051"/>
    </row>
  </sheetData>
  <mergeCells count="20">
    <mergeCell ref="F2:F5"/>
    <mergeCell ref="E2:E5"/>
    <mergeCell ref="D2:D5"/>
    <mergeCell ref="A2:A5"/>
    <mergeCell ref="F6:F8"/>
    <mergeCell ref="E6:E8"/>
    <mergeCell ref="D6:D8"/>
    <mergeCell ref="A6:A8"/>
    <mergeCell ref="C6:C8"/>
    <mergeCell ref="B6:B8"/>
    <mergeCell ref="C2:C5"/>
    <mergeCell ref="B2:B5"/>
    <mergeCell ref="L8:L11"/>
    <mergeCell ref="L15:L36"/>
    <mergeCell ref="I8:I11"/>
    <mergeCell ref="I15:I36"/>
    <mergeCell ref="K8:K11"/>
    <mergeCell ref="J8:J11"/>
    <mergeCell ref="K15:K36"/>
    <mergeCell ref="J15:J36"/>
  </mergeCells>
  <phoneticPr fontId="15" type="noConversion"/>
  <hyperlinks>
    <hyperlink ref="F45" location="汇总!A1" display="剩余欠款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105"/>
  <sheetViews>
    <sheetView tabSelected="1" zoomScale="90" zoomScaleNormal="90" workbookViewId="0">
      <pane ySplit="1" topLeftCell="A2" activePane="bottomLeft" state="frozen"/>
      <selection pane="bottomLeft"/>
    </sheetView>
  </sheetViews>
  <sheetFormatPr defaultRowHeight="14.25"/>
  <cols>
    <col min="1" max="1" width="11.5" style="96" customWidth="1"/>
    <col min="2" max="2" width="13.875" style="96" bestFit="1" customWidth="1"/>
    <col min="3" max="3" width="56.5" style="388" customWidth="1"/>
    <col min="4" max="4" width="13.875" style="494" bestFit="1" customWidth="1"/>
    <col min="5" max="6" width="17.5" style="418" bestFit="1" customWidth="1"/>
    <col min="7" max="7" width="15" style="580" customWidth="1"/>
    <col min="8" max="8" width="15" style="96" bestFit="1" customWidth="1"/>
    <col min="9" max="9" width="7.5" style="141" customWidth="1"/>
    <col min="10" max="11" width="18.625" style="995" customWidth="1"/>
    <col min="12" max="14" width="13.625" style="995" customWidth="1"/>
    <col min="15" max="15" width="13.625" style="1105" customWidth="1"/>
    <col min="16" max="16" width="11.625" style="1105" bestFit="1" customWidth="1"/>
    <col min="17" max="18" width="13.875" style="1105" bestFit="1" customWidth="1"/>
    <col min="19" max="16384" width="9" style="141"/>
  </cols>
  <sheetData>
    <row r="1" spans="1:18" ht="20.25" customHeight="1">
      <c r="A1" s="142" t="s">
        <v>4094</v>
      </c>
      <c r="B1" s="142" t="s">
        <v>4250</v>
      </c>
      <c r="C1" s="142" t="s">
        <v>515</v>
      </c>
      <c r="D1" s="142" t="s">
        <v>516</v>
      </c>
      <c r="E1" s="409" t="s">
        <v>5517</v>
      </c>
      <c r="F1" s="409" t="s">
        <v>3403</v>
      </c>
      <c r="G1" s="409" t="s">
        <v>6024</v>
      </c>
      <c r="H1" s="142" t="s">
        <v>4014</v>
      </c>
      <c r="O1" s="995"/>
      <c r="P1" s="995"/>
      <c r="Q1" s="995"/>
      <c r="R1" s="995"/>
    </row>
    <row r="2" spans="1:18" ht="18" customHeight="1">
      <c r="A2" s="1886" t="s">
        <v>517</v>
      </c>
      <c r="B2" s="1716" t="s">
        <v>4272</v>
      </c>
      <c r="C2" s="208" t="s">
        <v>1914</v>
      </c>
      <c r="D2" s="392" t="s">
        <v>518</v>
      </c>
      <c r="E2" s="417">
        <f>'SUPER PROXI S.L'!G17</f>
        <v>1124.9699999999993</v>
      </c>
      <c r="F2" s="417"/>
      <c r="G2" s="476"/>
      <c r="H2" s="452"/>
      <c r="I2" s="1105"/>
      <c r="J2" s="1106"/>
      <c r="K2" s="1106"/>
    </row>
    <row r="3" spans="1:18" ht="18" customHeight="1">
      <c r="A3" s="1887"/>
      <c r="B3" s="1716" t="s">
        <v>4251</v>
      </c>
      <c r="C3" s="208" t="s">
        <v>1822</v>
      </c>
      <c r="D3" s="392" t="s">
        <v>3871</v>
      </c>
      <c r="E3" s="417">
        <f>'SO WANG ELECTRONICA S.L'!G34</f>
        <v>11419.819999999992</v>
      </c>
      <c r="F3" s="408"/>
      <c r="G3" s="476"/>
      <c r="H3" s="452"/>
      <c r="I3" s="1105"/>
      <c r="J3" s="1106"/>
      <c r="K3" s="1106"/>
    </row>
    <row r="4" spans="1:18" ht="18" customHeight="1">
      <c r="A4" s="1887"/>
      <c r="B4" s="1716" t="s">
        <v>4252</v>
      </c>
      <c r="C4" s="208" t="s">
        <v>1823</v>
      </c>
      <c r="D4" s="392" t="s">
        <v>519</v>
      </c>
      <c r="E4" s="417">
        <f>'CASH HOGAR CANARIAS S.L'!G58</f>
        <v>-148.0000000000291</v>
      </c>
      <c r="F4" s="417"/>
      <c r="G4" s="476"/>
      <c r="H4" s="452"/>
      <c r="I4" s="1105"/>
      <c r="J4" s="1106"/>
      <c r="K4" s="1106"/>
    </row>
    <row r="5" spans="1:18" ht="18" customHeight="1">
      <c r="A5" s="1887"/>
      <c r="B5" s="1716" t="s">
        <v>4273</v>
      </c>
      <c r="C5" s="208" t="s">
        <v>3424</v>
      </c>
      <c r="D5" s="392" t="s">
        <v>518</v>
      </c>
      <c r="E5" s="417">
        <f>'JR IMPORT CANARIAS 2022 S.L'!G26</f>
        <v>0</v>
      </c>
      <c r="F5" s="408"/>
      <c r="G5" s="476"/>
      <c r="H5" s="452"/>
      <c r="I5" s="1105"/>
      <c r="J5" s="1106"/>
      <c r="K5" s="1106"/>
    </row>
    <row r="6" spans="1:18" ht="18" customHeight="1">
      <c r="A6" s="1888"/>
      <c r="B6" s="1716" t="s">
        <v>4760</v>
      </c>
      <c r="C6" s="208" t="s">
        <v>4762</v>
      </c>
      <c r="D6" s="392" t="s">
        <v>518</v>
      </c>
      <c r="E6" s="417">
        <f>'RALFY IMPOEX S.L'!G15</f>
        <v>6167.18</v>
      </c>
      <c r="F6" s="408"/>
      <c r="G6" s="476"/>
      <c r="H6" s="452"/>
      <c r="I6" s="1105"/>
      <c r="J6" s="1106"/>
      <c r="K6" s="1106"/>
    </row>
    <row r="7" spans="1:18" ht="18" customHeight="1">
      <c r="A7" s="1886" t="s">
        <v>2457</v>
      </c>
      <c r="B7" s="1716" t="s">
        <v>4274</v>
      </c>
      <c r="C7" s="208" t="s">
        <v>2458</v>
      </c>
      <c r="D7" s="392" t="s">
        <v>3423</v>
      </c>
      <c r="E7" s="417">
        <f>'EURO COMPLEMENTOS ASIA S.L'!G25</f>
        <v>50.149999999997817</v>
      </c>
      <c r="F7" s="417"/>
      <c r="G7" s="476"/>
      <c r="H7" s="452"/>
      <c r="I7" s="1105"/>
      <c r="J7" s="1106"/>
      <c r="K7" s="1106"/>
    </row>
    <row r="8" spans="1:18" ht="18" customHeight="1">
      <c r="A8" s="1887"/>
      <c r="B8" s="1716" t="s">
        <v>4275</v>
      </c>
      <c r="C8" s="208" t="s">
        <v>4391</v>
      </c>
      <c r="D8" s="392" t="s">
        <v>2611</v>
      </c>
      <c r="E8" s="417">
        <f>'NEW BEST S.L'!G15</f>
        <v>0</v>
      </c>
      <c r="F8" s="417"/>
      <c r="G8" s="476"/>
      <c r="H8" s="452"/>
      <c r="I8" s="1105"/>
      <c r="J8" s="1106"/>
      <c r="K8" s="1106"/>
    </row>
    <row r="9" spans="1:18" ht="18" customHeight="1">
      <c r="A9" s="1888"/>
      <c r="B9" s="1716" t="s">
        <v>6122</v>
      </c>
      <c r="C9" s="208" t="s">
        <v>6124</v>
      </c>
      <c r="D9" s="392" t="s">
        <v>5012</v>
      </c>
      <c r="E9" s="417">
        <f>'BALEARIC MAX IMPORTACION S.L'!G15</f>
        <v>2302.08</v>
      </c>
      <c r="F9" s="408"/>
      <c r="G9" s="476"/>
      <c r="H9" s="452"/>
      <c r="I9" s="1105"/>
      <c r="J9" s="1106"/>
      <c r="K9" s="1106"/>
    </row>
    <row r="10" spans="1:18" ht="18" customHeight="1">
      <c r="A10" s="1880" t="s">
        <v>520</v>
      </c>
      <c r="B10" s="1728" t="s">
        <v>4276</v>
      </c>
      <c r="C10" s="212" t="s">
        <v>4392</v>
      </c>
      <c r="D10" s="393" t="s">
        <v>3852</v>
      </c>
      <c r="E10" s="560">
        <f>'NEW IMPORT HOUSE S.L'!G46</f>
        <v>4079.8199999999961</v>
      </c>
      <c r="F10" s="560"/>
      <c r="G10" s="560"/>
      <c r="H10" s="561"/>
      <c r="I10" s="1105"/>
      <c r="J10" s="1106"/>
      <c r="K10" s="1106"/>
    </row>
    <row r="11" spans="1:18" ht="18" customHeight="1">
      <c r="A11" s="1881"/>
      <c r="B11" s="1728" t="s">
        <v>4277</v>
      </c>
      <c r="C11" s="212" t="s">
        <v>1813</v>
      </c>
      <c r="D11" s="393" t="s">
        <v>3852</v>
      </c>
      <c r="E11" s="560">
        <f>'NIPPON GLOBAL S.L'!G10</f>
        <v>0</v>
      </c>
      <c r="F11" s="560"/>
      <c r="G11" s="560"/>
      <c r="H11" s="561"/>
      <c r="I11" s="1105"/>
      <c r="J11" s="1106"/>
      <c r="K11" s="1106"/>
    </row>
    <row r="12" spans="1:18" ht="18" customHeight="1">
      <c r="A12" s="1881"/>
      <c r="B12" s="1728" t="s">
        <v>4278</v>
      </c>
      <c r="C12" s="212" t="s">
        <v>6023</v>
      </c>
      <c r="D12" s="393" t="s">
        <v>3852</v>
      </c>
      <c r="E12" s="560">
        <f>'GRAN FAMILIA 2016 S.L'!G79</f>
        <v>10112.250000000015</v>
      </c>
      <c r="F12" s="560"/>
      <c r="G12" s="560"/>
      <c r="H12" s="561"/>
      <c r="I12" s="1105"/>
      <c r="J12" s="1106"/>
      <c r="K12" s="1106"/>
    </row>
    <row r="13" spans="1:18" ht="18" customHeight="1">
      <c r="A13" s="1881"/>
      <c r="B13" s="1728" t="s">
        <v>4279</v>
      </c>
      <c r="C13" s="212" t="s">
        <v>1814</v>
      </c>
      <c r="D13" s="393" t="s">
        <v>3852</v>
      </c>
      <c r="E13" s="560">
        <f>'NEW SKYWAY S.L'!G11</f>
        <v>0</v>
      </c>
      <c r="F13" s="560"/>
      <c r="G13" s="560"/>
      <c r="H13" s="561"/>
      <c r="I13" s="1105"/>
      <c r="J13" s="1106"/>
      <c r="K13" s="1106"/>
    </row>
    <row r="14" spans="1:18" ht="18" customHeight="1">
      <c r="A14" s="1881"/>
      <c r="B14" s="1728" t="s">
        <v>4280</v>
      </c>
      <c r="C14" s="212" t="s">
        <v>4394</v>
      </c>
      <c r="D14" s="393" t="s">
        <v>2644</v>
      </c>
      <c r="E14" s="560">
        <f>'WE PHONE 2016 S.L'!G393</f>
        <v>33708.550000000047</v>
      </c>
      <c r="F14" s="560"/>
      <c r="G14" s="560"/>
      <c r="H14" s="561"/>
      <c r="I14" s="1105"/>
      <c r="J14" s="1106"/>
      <c r="K14" s="1106"/>
    </row>
    <row r="15" spans="1:18" ht="18" customHeight="1">
      <c r="A15" s="1881"/>
      <c r="B15" s="1728" t="s">
        <v>4253</v>
      </c>
      <c r="C15" s="212" t="s">
        <v>4593</v>
      </c>
      <c r="D15" s="393" t="s">
        <v>2644</v>
      </c>
      <c r="E15" s="560">
        <f>'ARBOL DE GINKGO S.L'!G72</f>
        <v>3696.0500000000029</v>
      </c>
      <c r="F15" s="560"/>
      <c r="G15" s="560"/>
      <c r="H15" s="561"/>
      <c r="I15" s="1105"/>
      <c r="J15" s="1106"/>
      <c r="K15" s="1106"/>
    </row>
    <row r="16" spans="1:18" ht="18" customHeight="1">
      <c r="A16" s="1881"/>
      <c r="B16" s="1728" t="s">
        <v>4254</v>
      </c>
      <c r="C16" s="212" t="s">
        <v>2200</v>
      </c>
      <c r="D16" s="393" t="s">
        <v>2644</v>
      </c>
      <c r="E16" s="560">
        <f>'IBERMAYORISTA 2020 S.L'!G69</f>
        <v>1888.5199999999932</v>
      </c>
      <c r="F16" s="560"/>
      <c r="G16" s="560"/>
      <c r="H16" s="561"/>
      <c r="I16" s="1105"/>
      <c r="J16" s="1106"/>
      <c r="K16" s="1106"/>
    </row>
    <row r="17" spans="1:11" ht="18" customHeight="1">
      <c r="A17" s="1881"/>
      <c r="B17" s="1728" t="s">
        <v>4255</v>
      </c>
      <c r="C17" s="212" t="s">
        <v>2199</v>
      </c>
      <c r="D17" s="393" t="s">
        <v>2644</v>
      </c>
      <c r="E17" s="560">
        <f>'ESON IMPORT EXPORT S.L'!G63</f>
        <v>3243.6500000000051</v>
      </c>
      <c r="F17" s="560"/>
      <c r="G17" s="560"/>
      <c r="H17" s="561"/>
      <c r="I17" s="1105"/>
      <c r="J17" s="1106"/>
      <c r="K17" s="1106"/>
    </row>
    <row r="18" spans="1:11" ht="18" customHeight="1">
      <c r="A18" s="1881"/>
      <c r="B18" s="1728" t="s">
        <v>4281</v>
      </c>
      <c r="C18" s="212" t="s">
        <v>4396</v>
      </c>
      <c r="D18" s="393" t="s">
        <v>3057</v>
      </c>
      <c r="E18" s="560">
        <f>'FENGHUO COMERCIO S.L'!G24</f>
        <v>0</v>
      </c>
      <c r="F18" s="410"/>
      <c r="G18" s="560"/>
      <c r="H18" s="561"/>
      <c r="I18" s="1105"/>
      <c r="J18" s="1106"/>
      <c r="K18" s="1106"/>
    </row>
    <row r="19" spans="1:11" ht="18" customHeight="1">
      <c r="A19" s="1881"/>
      <c r="B19" s="1728" t="s">
        <v>4282</v>
      </c>
      <c r="C19" s="212" t="s">
        <v>2519</v>
      </c>
      <c r="D19" s="393" t="s">
        <v>2644</v>
      </c>
      <c r="E19" s="560">
        <f>SHIXIN!G22</f>
        <v>-230.40000000000009</v>
      </c>
      <c r="F19" s="560"/>
      <c r="G19" s="560"/>
      <c r="H19" s="561"/>
      <c r="I19" s="1105"/>
      <c r="J19" s="1106"/>
      <c r="K19" s="1106"/>
    </row>
    <row r="20" spans="1:11" ht="18" customHeight="1">
      <c r="A20" s="1881"/>
      <c r="B20" s="1728" t="s">
        <v>4256</v>
      </c>
      <c r="C20" s="212" t="s">
        <v>3677</v>
      </c>
      <c r="D20" s="393" t="s">
        <v>2644</v>
      </c>
      <c r="E20" s="560">
        <f>'MARKETING PRIORITY YAN S.L'!G48</f>
        <v>10550.559999999998</v>
      </c>
      <c r="F20" s="560"/>
      <c r="G20" s="560"/>
      <c r="H20" s="561"/>
      <c r="I20" s="1105"/>
      <c r="J20" s="1106"/>
      <c r="K20" s="1106"/>
    </row>
    <row r="21" spans="1:11" ht="18" customHeight="1">
      <c r="A21" s="1882"/>
      <c r="B21" s="1728" t="s">
        <v>4527</v>
      </c>
      <c r="C21" s="212" t="s">
        <v>4529</v>
      </c>
      <c r="D21" s="393" t="s">
        <v>4528</v>
      </c>
      <c r="E21" s="560">
        <f>'BEST LICENCIAS S.L'!G15</f>
        <v>10.580000000000013</v>
      </c>
      <c r="F21" s="410"/>
      <c r="G21" s="560"/>
      <c r="H21" s="561"/>
      <c r="I21" s="1105"/>
      <c r="J21" s="1106"/>
      <c r="K21" s="1106"/>
    </row>
    <row r="22" spans="1:11" ht="18" customHeight="1">
      <c r="A22" s="1889" t="s">
        <v>1912</v>
      </c>
      <c r="B22" s="1638" t="s">
        <v>4283</v>
      </c>
      <c r="C22" s="213" t="s">
        <v>4665</v>
      </c>
      <c r="D22" s="394" t="s">
        <v>2518</v>
      </c>
      <c r="E22" s="562">
        <f>'J&amp;C 超能'!G105</f>
        <v>0</v>
      </c>
      <c r="F22" s="411">
        <v>41.97</v>
      </c>
      <c r="G22" s="562"/>
      <c r="H22" s="563"/>
      <c r="I22" s="1105"/>
      <c r="J22" s="1106"/>
      <c r="K22" s="1106"/>
    </row>
    <row r="23" spans="1:11" ht="18" customHeight="1">
      <c r="A23" s="1890"/>
      <c r="B23" s="1638" t="s">
        <v>4284</v>
      </c>
      <c r="C23" s="213" t="s">
        <v>4398</v>
      </c>
      <c r="D23" s="394" t="s">
        <v>2518</v>
      </c>
      <c r="E23" s="562">
        <f>'SANSHENG TECNOLOGIA S.L'!G120</f>
        <v>8178.2799999999988</v>
      </c>
      <c r="F23" s="411"/>
      <c r="G23" s="562"/>
      <c r="H23" s="563"/>
      <c r="I23" s="1105"/>
      <c r="J23" s="1106"/>
      <c r="K23" s="1106"/>
    </row>
    <row r="24" spans="1:11" ht="18" customHeight="1">
      <c r="A24" s="1890"/>
      <c r="B24" s="1638" t="s">
        <v>4285</v>
      </c>
      <c r="C24" s="213" t="s">
        <v>5567</v>
      </c>
      <c r="D24" s="394" t="s">
        <v>2518</v>
      </c>
      <c r="E24" s="562">
        <f>'IMPORTACION ORIENTAL 东宝贸易'!G17</f>
        <v>0</v>
      </c>
      <c r="F24" s="411"/>
      <c r="G24" s="562"/>
      <c r="H24" s="563"/>
      <c r="I24" s="1105"/>
      <c r="J24" s="1106"/>
      <c r="K24" s="1106"/>
    </row>
    <row r="25" spans="1:11" ht="18" customHeight="1">
      <c r="A25" s="1890"/>
      <c r="B25" s="1638" t="s">
        <v>4286</v>
      </c>
      <c r="C25" s="213" t="s">
        <v>5568</v>
      </c>
      <c r="D25" s="394" t="s">
        <v>2518</v>
      </c>
      <c r="E25" s="562">
        <f>'AUTOWEY168 S.L'!G45</f>
        <v>-467.04000000001179</v>
      </c>
      <c r="F25" s="411"/>
      <c r="G25" s="562"/>
      <c r="H25" s="563"/>
      <c r="I25" s="1105"/>
      <c r="J25" s="1106"/>
      <c r="K25" s="1106"/>
    </row>
    <row r="26" spans="1:11" ht="18" customHeight="1">
      <c r="A26" s="1890"/>
      <c r="B26" s="1638" t="s">
        <v>4287</v>
      </c>
      <c r="C26" s="213" t="s">
        <v>4400</v>
      </c>
      <c r="D26" s="394" t="s">
        <v>2518</v>
      </c>
      <c r="E26" s="562">
        <f>'CHANGDA 2018 S.L'!G27</f>
        <v>603.84000000000378</v>
      </c>
      <c r="F26" s="411"/>
      <c r="G26" s="562"/>
      <c r="H26" s="563"/>
      <c r="I26" s="1105"/>
      <c r="J26" s="1106"/>
      <c r="K26" s="1106"/>
    </row>
    <row r="27" spans="1:11" ht="18" customHeight="1">
      <c r="A27" s="1890"/>
      <c r="B27" s="1638" t="s">
        <v>4288</v>
      </c>
      <c r="C27" s="213" t="s">
        <v>5569</v>
      </c>
      <c r="D27" s="394" t="s">
        <v>2518</v>
      </c>
      <c r="E27" s="562">
        <f>'WANGDA 2018 S.L'!G16</f>
        <v>0</v>
      </c>
      <c r="F27" s="411"/>
      <c r="G27" s="562"/>
      <c r="H27" s="563"/>
      <c r="I27" s="1105"/>
      <c r="J27" s="1106"/>
      <c r="K27" s="1106"/>
    </row>
    <row r="28" spans="1:11" ht="18" customHeight="1">
      <c r="A28" s="1890"/>
      <c r="B28" s="1638" t="s">
        <v>4289</v>
      </c>
      <c r="C28" s="213" t="s">
        <v>5570</v>
      </c>
      <c r="D28" s="394" t="s">
        <v>2518</v>
      </c>
      <c r="E28" s="562">
        <f>'TECCOVA 67-A S.L'!G52</f>
        <v>7937.3500000000131</v>
      </c>
      <c r="F28" s="411"/>
      <c r="G28" s="562"/>
      <c r="H28" s="563"/>
      <c r="I28" s="1105"/>
      <c r="J28" s="1106"/>
      <c r="K28" s="1106"/>
    </row>
    <row r="29" spans="1:11" ht="18" customHeight="1">
      <c r="A29" s="1890"/>
      <c r="B29" s="1638" t="s">
        <v>4257</v>
      </c>
      <c r="C29" s="213" t="s">
        <v>5571</v>
      </c>
      <c r="D29" s="394" t="s">
        <v>2518</v>
      </c>
      <c r="E29" s="562">
        <f>'NUEVA &amp; EUROPA 2015 S.L'!G24</f>
        <v>425.06000000000313</v>
      </c>
      <c r="F29" s="411"/>
      <c r="G29" s="562"/>
      <c r="H29" s="563"/>
      <c r="I29" s="1105"/>
      <c r="J29" s="1106"/>
      <c r="K29" s="1106"/>
    </row>
    <row r="30" spans="1:11" ht="18" customHeight="1">
      <c r="A30" s="1890"/>
      <c r="B30" s="1638" t="s">
        <v>4290</v>
      </c>
      <c r="C30" s="213" t="s">
        <v>5572</v>
      </c>
      <c r="D30" s="394" t="s">
        <v>2518</v>
      </c>
      <c r="E30" s="562">
        <f>'EVE MON CROIS S.L.'!G16</f>
        <v>0</v>
      </c>
      <c r="F30" s="411"/>
      <c r="G30" s="562"/>
      <c r="H30" s="563"/>
      <c r="I30" s="1105"/>
      <c r="J30" s="1106"/>
      <c r="K30" s="1106"/>
    </row>
    <row r="31" spans="1:11" ht="18" customHeight="1">
      <c r="A31" s="1890"/>
      <c r="B31" s="1196" t="s">
        <v>4291</v>
      </c>
      <c r="C31" s="213" t="s">
        <v>2276</v>
      </c>
      <c r="D31" s="394" t="s">
        <v>5523</v>
      </c>
      <c r="E31" s="411">
        <f>'XIAODIE YE'!G82</f>
        <v>6097.1699999999837</v>
      </c>
      <c r="F31" s="411"/>
      <c r="G31" s="562"/>
      <c r="H31" s="453"/>
      <c r="I31" s="1105"/>
      <c r="J31" s="1106"/>
      <c r="K31" s="1106"/>
    </row>
    <row r="32" spans="1:11" ht="18" customHeight="1">
      <c r="A32" s="1890"/>
      <c r="B32" s="1638" t="s">
        <v>4292</v>
      </c>
      <c r="C32" s="213" t="s">
        <v>3515</v>
      </c>
      <c r="D32" s="394" t="s">
        <v>2518</v>
      </c>
      <c r="E32" s="562">
        <f>'CHOLLOS EL BARATO S.L'!G23</f>
        <v>8560.8599999999933</v>
      </c>
      <c r="F32" s="411"/>
      <c r="G32" s="562"/>
      <c r="H32" s="453"/>
      <c r="I32" s="1105"/>
      <c r="J32" s="1106"/>
      <c r="K32" s="1106"/>
    </row>
    <row r="33" spans="1:11" ht="18" customHeight="1">
      <c r="A33" s="1891"/>
      <c r="B33" s="1638" t="s">
        <v>4769</v>
      </c>
      <c r="C33" s="213" t="s">
        <v>5524</v>
      </c>
      <c r="D33" s="394" t="s">
        <v>2518</v>
      </c>
      <c r="E33" s="562">
        <f>KASANA!G24</f>
        <v>6793.0499999999956</v>
      </c>
      <c r="F33" s="411"/>
      <c r="G33" s="562"/>
      <c r="H33" s="453"/>
      <c r="I33" s="1105"/>
      <c r="J33" s="1106"/>
      <c r="K33" s="1106"/>
    </row>
    <row r="34" spans="1:11" ht="18" customHeight="1">
      <c r="A34" s="1889" t="s">
        <v>526</v>
      </c>
      <c r="B34" s="1638" t="s">
        <v>4293</v>
      </c>
      <c r="C34" s="213" t="s">
        <v>4403</v>
      </c>
      <c r="D34" s="394" t="s">
        <v>5522</v>
      </c>
      <c r="E34" s="562">
        <f>'XHC BRICO 2019 S.L'!G90</f>
        <v>10306.729999999989</v>
      </c>
      <c r="F34" s="562"/>
      <c r="G34" s="562">
        <v>4775.88</v>
      </c>
      <c r="H34" s="563">
        <v>45269</v>
      </c>
      <c r="I34" s="1105"/>
      <c r="J34" s="1106"/>
      <c r="K34" s="1106"/>
    </row>
    <row r="35" spans="1:11" ht="18" customHeight="1">
      <c r="A35" s="1890"/>
      <c r="B35" s="1638" t="s">
        <v>4294</v>
      </c>
      <c r="C35" s="213" t="s">
        <v>4098</v>
      </c>
      <c r="D35" s="394" t="s">
        <v>5522</v>
      </c>
      <c r="E35" s="562">
        <f>'HIPER MARKET IMPORT, S.L'!G14</f>
        <v>0</v>
      </c>
      <c r="F35" s="562"/>
      <c r="G35" s="562"/>
      <c r="H35" s="563"/>
      <c r="I35" s="1105"/>
      <c r="J35" s="1106"/>
      <c r="K35" s="1106"/>
    </row>
    <row r="36" spans="1:11" ht="18" customHeight="1">
      <c r="A36" s="1890"/>
      <c r="B36" s="1638" t="s">
        <v>5879</v>
      </c>
      <c r="C36" s="213" t="s">
        <v>6438</v>
      </c>
      <c r="D36" s="394" t="s">
        <v>5522</v>
      </c>
      <c r="E36" s="562">
        <f>'ALMACEN LAKESIDE HUI 陈氏'!G15</f>
        <v>14724.810000000001</v>
      </c>
      <c r="F36" s="562"/>
      <c r="G36" s="562"/>
      <c r="H36" s="563"/>
      <c r="I36" s="1105"/>
      <c r="J36" s="1106"/>
      <c r="K36" s="1106"/>
    </row>
    <row r="37" spans="1:11" ht="18" customHeight="1">
      <c r="A37" s="1889" t="s">
        <v>528</v>
      </c>
      <c r="B37" s="1638" t="s">
        <v>4295</v>
      </c>
      <c r="C37" s="213" t="s">
        <v>4856</v>
      </c>
      <c r="D37" s="394" t="s">
        <v>5522</v>
      </c>
      <c r="E37" s="562">
        <f>'CASA DEL SURESTE S.L'!G145</f>
        <v>9879.9899999999907</v>
      </c>
      <c r="F37" s="562"/>
      <c r="G37" s="562"/>
      <c r="H37" s="563"/>
      <c r="I37" s="1105"/>
      <c r="J37" s="1106"/>
      <c r="K37" s="1106"/>
    </row>
    <row r="38" spans="1:11" ht="18" customHeight="1">
      <c r="A38" s="1890"/>
      <c r="B38" s="1638" t="s">
        <v>4296</v>
      </c>
      <c r="C38" s="213" t="s">
        <v>4405</v>
      </c>
      <c r="D38" s="394" t="s">
        <v>5522</v>
      </c>
      <c r="E38" s="562">
        <f>'HUANG JIA 88 S.L.U'!G35</f>
        <v>2060.4000000000015</v>
      </c>
      <c r="F38" s="562"/>
      <c r="G38" s="562"/>
      <c r="H38" s="563"/>
      <c r="I38" s="1105"/>
      <c r="J38" s="1106"/>
      <c r="K38" s="1106"/>
    </row>
    <row r="39" spans="1:11" ht="18" customHeight="1">
      <c r="A39" s="1890"/>
      <c r="B39" s="1638" t="s">
        <v>4297</v>
      </c>
      <c r="C39" s="213" t="s">
        <v>2888</v>
      </c>
      <c r="D39" s="394" t="s">
        <v>5522</v>
      </c>
      <c r="E39" s="562">
        <f>'XINHONG 2019 S.L'!G14</f>
        <v>0</v>
      </c>
      <c r="F39" s="562"/>
      <c r="G39" s="562"/>
      <c r="H39" s="563"/>
      <c r="I39" s="1105"/>
      <c r="J39" s="1106"/>
      <c r="K39" s="1106"/>
    </row>
    <row r="40" spans="1:11" ht="18" customHeight="1">
      <c r="A40" s="1890"/>
      <c r="B40" s="1638" t="s">
        <v>4298</v>
      </c>
      <c r="C40" s="213" t="s">
        <v>3279</v>
      </c>
      <c r="D40" s="394" t="s">
        <v>5522</v>
      </c>
      <c r="E40" s="1729">
        <f>'CASH KOLOSS S.L'!G18</f>
        <v>4529.9499999999989</v>
      </c>
      <c r="F40" s="1729"/>
      <c r="G40" s="562"/>
      <c r="H40" s="563"/>
      <c r="I40" s="1105"/>
      <c r="J40" s="1106"/>
      <c r="K40" s="1106"/>
    </row>
    <row r="41" spans="1:11" ht="18" customHeight="1">
      <c r="A41" s="1890"/>
      <c r="B41" s="1638" t="s">
        <v>4299</v>
      </c>
      <c r="C41" s="213" t="s">
        <v>4976</v>
      </c>
      <c r="D41" s="394" t="s">
        <v>5522</v>
      </c>
      <c r="E41" s="1729">
        <f>'XIAOJUN WANG'!G15</f>
        <v>0</v>
      </c>
      <c r="F41" s="1729"/>
      <c r="G41" s="562"/>
      <c r="H41" s="563"/>
      <c r="I41" s="1105"/>
      <c r="J41" s="1106"/>
      <c r="K41" s="1106"/>
    </row>
    <row r="42" spans="1:11" ht="18" customHeight="1">
      <c r="A42" s="1891"/>
      <c r="B42" s="1638" t="s">
        <v>4300</v>
      </c>
      <c r="C42" s="213" t="s">
        <v>3425</v>
      </c>
      <c r="D42" s="394" t="s">
        <v>5522</v>
      </c>
      <c r="E42" s="1729">
        <f>'NUSINTE,SOCIEDAD LIMITADA'!G15</f>
        <v>0</v>
      </c>
      <c r="F42" s="1729"/>
      <c r="G42" s="562"/>
      <c r="H42" s="563"/>
      <c r="I42" s="1105"/>
      <c r="J42" s="1106"/>
      <c r="K42" s="1106"/>
    </row>
    <row r="43" spans="1:11" ht="18" customHeight="1">
      <c r="A43" s="1897" t="s">
        <v>1913</v>
      </c>
      <c r="B43" s="1244" t="s">
        <v>4301</v>
      </c>
      <c r="C43" s="214" t="s">
        <v>4616</v>
      </c>
      <c r="D43" s="395" t="s">
        <v>2518</v>
      </c>
      <c r="E43" s="413">
        <f>'AVIVO DREAMSKY S.L'!G34</f>
        <v>1195.1199999999953</v>
      </c>
      <c r="F43" s="414"/>
      <c r="G43" s="572"/>
      <c r="H43" s="454"/>
      <c r="I43" s="1105"/>
      <c r="J43" s="1106"/>
      <c r="K43" s="1106"/>
    </row>
    <row r="44" spans="1:11" ht="18" customHeight="1">
      <c r="A44" s="1898"/>
      <c r="B44" s="1244" t="s">
        <v>4302</v>
      </c>
      <c r="C44" s="214" t="s">
        <v>4666</v>
      </c>
      <c r="D44" s="395" t="s">
        <v>2518</v>
      </c>
      <c r="E44" s="413">
        <f>'ANISOAR CLOUDS S.L'!G78</f>
        <v>7128.4899999999907</v>
      </c>
      <c r="F44" s="414">
        <v>31.39</v>
      </c>
      <c r="G44" s="572"/>
      <c r="H44" s="454"/>
      <c r="I44" s="1105"/>
      <c r="J44" s="1106"/>
      <c r="K44" s="1106"/>
    </row>
    <row r="45" spans="1:11" ht="18" customHeight="1">
      <c r="A45" s="1898"/>
      <c r="B45" s="1244" t="s">
        <v>4258</v>
      </c>
      <c r="C45" s="214" t="s">
        <v>4017</v>
      </c>
      <c r="D45" s="395" t="s">
        <v>2518</v>
      </c>
      <c r="E45" s="413">
        <f>'FANGZHENG S.L'!G179</f>
        <v>29951.480000000098</v>
      </c>
      <c r="F45" s="414"/>
      <c r="G45" s="572"/>
      <c r="H45" s="454"/>
      <c r="I45" s="1105"/>
      <c r="J45" s="1106"/>
      <c r="K45" s="1106"/>
    </row>
    <row r="46" spans="1:11" ht="18" customHeight="1">
      <c r="A46" s="1898"/>
      <c r="B46" s="1244" t="s">
        <v>4303</v>
      </c>
      <c r="C46" s="214" t="s">
        <v>4408</v>
      </c>
      <c r="D46" s="395" t="s">
        <v>2518</v>
      </c>
      <c r="E46" s="413">
        <f>'AMERICA YUAN S.L.U'!G124</f>
        <v>8540.0599999999831</v>
      </c>
      <c r="F46" s="414"/>
      <c r="G46" s="572"/>
      <c r="H46" s="454"/>
      <c r="I46" s="1105"/>
      <c r="J46" s="1106"/>
      <c r="K46" s="1106"/>
    </row>
    <row r="47" spans="1:11" ht="18" customHeight="1">
      <c r="A47" s="1898"/>
      <c r="B47" s="1244" t="s">
        <v>4259</v>
      </c>
      <c r="C47" s="214" t="s">
        <v>4096</v>
      </c>
      <c r="D47" s="395" t="s">
        <v>2518</v>
      </c>
      <c r="E47" s="413">
        <f>'MEC NET ELECTRONICS S.L'!G41</f>
        <v>10671.57</v>
      </c>
      <c r="F47" s="414"/>
      <c r="G47" s="572"/>
      <c r="H47" s="454"/>
      <c r="I47" s="1105"/>
      <c r="J47" s="1106"/>
      <c r="K47" s="1106"/>
    </row>
    <row r="48" spans="1:11" ht="18" customHeight="1">
      <c r="A48" s="1898"/>
      <c r="B48" s="1244" t="s">
        <v>4304</v>
      </c>
      <c r="C48" s="214" t="s">
        <v>4597</v>
      </c>
      <c r="D48" s="395" t="s">
        <v>2518</v>
      </c>
      <c r="E48" s="413">
        <f>'HAO HAO 2015 '!G14</f>
        <v>0</v>
      </c>
      <c r="F48" s="413"/>
      <c r="G48" s="572"/>
      <c r="H48" s="454"/>
      <c r="I48" s="1105"/>
      <c r="J48" s="1106"/>
      <c r="K48" s="1106"/>
    </row>
    <row r="49" spans="1:20" ht="18" customHeight="1">
      <c r="A49" s="1898"/>
      <c r="B49" s="1244" t="s">
        <v>4305</v>
      </c>
      <c r="C49" s="214" t="s">
        <v>2645</v>
      </c>
      <c r="D49" s="395" t="s">
        <v>2518</v>
      </c>
      <c r="E49" s="572">
        <f>'ZHONGZHONG2022 S.L'!G52</f>
        <v>9252.9300000000076</v>
      </c>
      <c r="F49" s="572"/>
      <c r="G49" s="572"/>
      <c r="H49" s="454"/>
      <c r="I49" s="1105"/>
      <c r="J49" s="1106"/>
      <c r="K49" s="1106"/>
    </row>
    <row r="50" spans="1:20" ht="18" customHeight="1">
      <c r="A50" s="1898"/>
      <c r="B50" s="1244" t="s">
        <v>4306</v>
      </c>
      <c r="C50" s="214" t="s">
        <v>1815</v>
      </c>
      <c r="D50" s="395" t="s">
        <v>2518</v>
      </c>
      <c r="E50" s="572">
        <f>'SHENGBAO S.L.U'!G33</f>
        <v>0</v>
      </c>
      <c r="F50" s="412"/>
      <c r="G50" s="572"/>
      <c r="H50" s="455"/>
      <c r="I50" s="1105"/>
      <c r="J50" s="1106"/>
      <c r="K50" s="1106"/>
    </row>
    <row r="51" spans="1:20" ht="18" customHeight="1">
      <c r="A51" s="1898"/>
      <c r="B51" s="1244" t="s">
        <v>4307</v>
      </c>
      <c r="C51" s="214" t="s">
        <v>4599</v>
      </c>
      <c r="D51" s="395" t="s">
        <v>2518</v>
      </c>
      <c r="E51" s="572">
        <f>'XINGFEI IMPORT S.L.U'!G13</f>
        <v>0</v>
      </c>
      <c r="F51" s="412"/>
      <c r="G51" s="572"/>
      <c r="H51" s="455"/>
      <c r="I51" s="1105"/>
      <c r="J51" s="1106"/>
      <c r="K51" s="1106"/>
    </row>
    <row r="52" spans="1:20" ht="18" customHeight="1">
      <c r="A52" s="1898"/>
      <c r="B52" s="1244" t="s">
        <v>4308</v>
      </c>
      <c r="C52" s="214" t="s">
        <v>2156</v>
      </c>
      <c r="D52" s="395" t="s">
        <v>2518</v>
      </c>
      <c r="E52" s="572">
        <f>'ASJEYU S.L.'!G51</f>
        <v>5000.4199999999983</v>
      </c>
      <c r="F52" s="412"/>
      <c r="G52" s="572"/>
      <c r="H52" s="455"/>
      <c r="I52" s="1105"/>
      <c r="J52" s="1106"/>
      <c r="K52" s="1106"/>
    </row>
    <row r="53" spans="1:20" ht="18" customHeight="1">
      <c r="A53" s="1898"/>
      <c r="B53" s="1244" t="s">
        <v>4309</v>
      </c>
      <c r="C53" s="214" t="s">
        <v>2982</v>
      </c>
      <c r="D53" s="395" t="s">
        <v>2518</v>
      </c>
      <c r="E53" s="572">
        <f>'DOKI 168 S.L'!G68</f>
        <v>26647.390000000043</v>
      </c>
      <c r="F53" s="412"/>
      <c r="G53" s="572"/>
      <c r="H53" s="455"/>
      <c r="I53" s="1105"/>
      <c r="J53" s="1106"/>
      <c r="K53" s="1106"/>
    </row>
    <row r="54" spans="1:20" ht="18" customHeight="1">
      <c r="A54" s="1899"/>
      <c r="B54" s="1244" t="s">
        <v>4310</v>
      </c>
      <c r="C54" s="875" t="s">
        <v>3333</v>
      </c>
      <c r="D54" s="395" t="s">
        <v>2518</v>
      </c>
      <c r="E54" s="572">
        <f>'HISPANO TECNO GLOBAL S.L'!G87</f>
        <v>-11285.249999999993</v>
      </c>
      <c r="F54" s="412"/>
      <c r="G54" s="572"/>
      <c r="H54" s="455"/>
      <c r="I54" s="1105"/>
      <c r="J54" s="1106"/>
      <c r="K54" s="1106"/>
    </row>
    <row r="55" spans="1:20" ht="18" customHeight="1">
      <c r="A55" s="1897" t="s">
        <v>2889</v>
      </c>
      <c r="B55" s="1244" t="s">
        <v>4311</v>
      </c>
      <c r="C55" s="214" t="s">
        <v>2890</v>
      </c>
      <c r="D55" s="395" t="s">
        <v>2518</v>
      </c>
      <c r="E55" s="572">
        <f>'BAO LI DE S.L '!G18</f>
        <v>0</v>
      </c>
      <c r="F55" s="412"/>
      <c r="G55" s="572"/>
      <c r="H55" s="455"/>
      <c r="I55" s="1105"/>
      <c r="J55" s="1106"/>
      <c r="K55" s="1106"/>
    </row>
    <row r="56" spans="1:20" ht="18" customHeight="1">
      <c r="A56" s="1898"/>
      <c r="B56" s="1244" t="s">
        <v>4312</v>
      </c>
      <c r="C56" s="214" t="s">
        <v>4409</v>
      </c>
      <c r="D56" s="395" t="s">
        <v>2518</v>
      </c>
      <c r="E56" s="572">
        <f>'ALMA SIMON S.L'!G64</f>
        <v>3084.7999999999956</v>
      </c>
      <c r="F56" s="412"/>
      <c r="G56" s="572"/>
      <c r="H56" s="455"/>
      <c r="I56" s="1105"/>
      <c r="J56" s="1106"/>
      <c r="K56" s="1106"/>
      <c r="P56" s="995"/>
      <c r="S56" s="1105"/>
      <c r="T56" s="1105"/>
    </row>
    <row r="57" spans="1:20" ht="18" customHeight="1">
      <c r="A57" s="1899"/>
      <c r="B57" s="1244" t="s">
        <v>4313</v>
      </c>
      <c r="C57" s="214" t="s">
        <v>3040</v>
      </c>
      <c r="D57" s="395" t="s">
        <v>2518</v>
      </c>
      <c r="E57" s="572">
        <f>'PHONEFANS S.L'!G64</f>
        <v>1566.190000000006</v>
      </c>
      <c r="F57" s="412"/>
      <c r="G57" s="572"/>
      <c r="H57" s="455"/>
      <c r="I57" s="1105"/>
      <c r="J57" s="1106"/>
      <c r="K57" s="1106"/>
      <c r="P57" s="995"/>
      <c r="S57" s="1105"/>
      <c r="T57" s="1105"/>
    </row>
    <row r="58" spans="1:20" ht="18" customHeight="1">
      <c r="A58" s="1245" t="s">
        <v>4480</v>
      </c>
      <c r="B58" s="1244" t="s">
        <v>4479</v>
      </c>
      <c r="C58" s="214" t="s">
        <v>4481</v>
      </c>
      <c r="D58" s="395" t="s">
        <v>2518</v>
      </c>
      <c r="E58" s="572">
        <f>'10 TELECOM 3.0 S.L.U'!G16</f>
        <v>400</v>
      </c>
      <c r="F58" s="412"/>
      <c r="G58" s="572"/>
      <c r="H58" s="455"/>
      <c r="I58" s="1105"/>
      <c r="J58" s="1106"/>
      <c r="K58" s="1106"/>
    </row>
    <row r="59" spans="1:20" ht="18" customHeight="1">
      <c r="A59" s="1883" t="s">
        <v>523</v>
      </c>
      <c r="B59" s="1730" t="s">
        <v>4314</v>
      </c>
      <c r="C59" s="218" t="s">
        <v>5566</v>
      </c>
      <c r="D59" s="396" t="s">
        <v>2644</v>
      </c>
      <c r="E59" s="575">
        <f>'ROSA ROJO 2014 S.L'!G16</f>
        <v>0</v>
      </c>
      <c r="F59" s="575"/>
      <c r="G59" s="575"/>
      <c r="H59" s="456"/>
      <c r="I59" s="1105"/>
      <c r="J59" s="1106"/>
      <c r="K59" s="1106"/>
    </row>
    <row r="60" spans="1:20" ht="18" customHeight="1">
      <c r="A60" s="1884"/>
      <c r="B60" s="1730" t="s">
        <v>4315</v>
      </c>
      <c r="C60" s="218" t="s">
        <v>4598</v>
      </c>
      <c r="D60" s="396" t="s">
        <v>2644</v>
      </c>
      <c r="E60" s="575">
        <f>'LINDU TECNOLOGY SL'!G16</f>
        <v>0</v>
      </c>
      <c r="F60" s="575"/>
      <c r="G60" s="575"/>
      <c r="H60" s="456"/>
      <c r="I60" s="1105"/>
      <c r="K60" s="1106"/>
      <c r="P60" s="995"/>
      <c r="S60" s="1105"/>
      <c r="T60" s="1105"/>
    </row>
    <row r="61" spans="1:20" ht="18" customHeight="1">
      <c r="A61" s="1884"/>
      <c r="B61" s="1730" t="s">
        <v>4316</v>
      </c>
      <c r="C61" s="218" t="s">
        <v>5677</v>
      </c>
      <c r="D61" s="396" t="s">
        <v>2644</v>
      </c>
      <c r="E61" s="575">
        <f>'COMERCIO IDEAL 2015 SL'!G229</f>
        <v>66340.089999999967</v>
      </c>
      <c r="F61" s="575"/>
      <c r="G61" s="575">
        <v>15236.69</v>
      </c>
      <c r="H61" s="457">
        <v>45247</v>
      </c>
      <c r="I61" s="1105"/>
      <c r="J61" s="1106"/>
      <c r="K61" s="1106"/>
      <c r="P61" s="995"/>
      <c r="S61" s="1105"/>
      <c r="T61" s="1105"/>
    </row>
    <row r="62" spans="1:20" ht="18" customHeight="1">
      <c r="A62" s="1884"/>
      <c r="B62" s="1730" t="s">
        <v>4317</v>
      </c>
      <c r="C62" s="218" t="s">
        <v>5296</v>
      </c>
      <c r="D62" s="396" t="s">
        <v>2611</v>
      </c>
      <c r="E62" s="575">
        <f>'sevilla步步高 stock in sapin'!G272</f>
        <v>66281.300000000017</v>
      </c>
      <c r="F62" s="575"/>
      <c r="G62" s="575">
        <f>J68</f>
        <v>24926.02</v>
      </c>
      <c r="H62" s="457"/>
      <c r="I62" s="1105"/>
      <c r="J62" s="1892" t="s">
        <v>6297</v>
      </c>
      <c r="K62" s="1893"/>
      <c r="P62" s="995"/>
      <c r="S62" s="1105"/>
      <c r="T62" s="1105"/>
    </row>
    <row r="63" spans="1:20" ht="18" customHeight="1">
      <c r="A63" s="1884"/>
      <c r="B63" s="1730" t="s">
        <v>4260</v>
      </c>
      <c r="C63" s="218" t="s">
        <v>5472</v>
      </c>
      <c r="D63" s="396" t="s">
        <v>5473</v>
      </c>
      <c r="E63" s="575">
        <f>'XINHE EUROPE'!G43</f>
        <v>612.19000000000233</v>
      </c>
      <c r="F63" s="415"/>
      <c r="G63" s="575"/>
      <c r="H63" s="456"/>
      <c r="I63" s="1105"/>
      <c r="J63" s="1758" t="s">
        <v>6295</v>
      </c>
      <c r="K63" s="1758" t="s">
        <v>6296</v>
      </c>
      <c r="P63" s="995"/>
      <c r="S63" s="1105"/>
      <c r="T63" s="1105"/>
    </row>
    <row r="64" spans="1:20" ht="18" customHeight="1">
      <c r="A64" s="1884"/>
      <c r="B64" s="1730" t="s">
        <v>4261</v>
      </c>
      <c r="C64" s="218" t="s">
        <v>4018</v>
      </c>
      <c r="D64" s="396" t="s">
        <v>2644</v>
      </c>
      <c r="E64" s="575">
        <f>'TENG FEI 腾飞贸易'!G13</f>
        <v>0</v>
      </c>
      <c r="F64" s="415"/>
      <c r="G64" s="575"/>
      <c r="H64" s="456"/>
      <c r="I64" s="1105"/>
      <c r="J64" s="1182">
        <v>7000</v>
      </c>
      <c r="K64" s="1183">
        <v>45251</v>
      </c>
      <c r="P64" s="995"/>
      <c r="S64" s="1105"/>
      <c r="T64" s="1105"/>
    </row>
    <row r="65" spans="1:20" ht="18" customHeight="1">
      <c r="A65" s="1884"/>
      <c r="B65" s="1730" t="s">
        <v>4318</v>
      </c>
      <c r="C65" s="218" t="s">
        <v>4411</v>
      </c>
      <c r="D65" s="396" t="s">
        <v>2644</v>
      </c>
      <c r="E65" s="575">
        <f>'UNIBLE FAMILIA S.L'!G50</f>
        <v>1170.1499999999978</v>
      </c>
      <c r="F65" s="575"/>
      <c r="G65" s="575"/>
      <c r="H65" s="456"/>
      <c r="I65" s="1105"/>
      <c r="J65" s="1182">
        <v>7000</v>
      </c>
      <c r="K65" s="1183">
        <v>45257</v>
      </c>
      <c r="P65" s="995"/>
      <c r="S65" s="1105"/>
      <c r="T65" s="1105"/>
    </row>
    <row r="66" spans="1:20" ht="18" customHeight="1">
      <c r="A66" s="1884"/>
      <c r="B66" s="1730" t="s">
        <v>4319</v>
      </c>
      <c r="C66" s="218" t="s">
        <v>2016</v>
      </c>
      <c r="D66" s="396" t="s">
        <v>2644</v>
      </c>
      <c r="E66" s="575">
        <f>'MANAELECTRONICO S.L'!G57</f>
        <v>956.32999999999447</v>
      </c>
      <c r="F66" s="575"/>
      <c r="G66" s="575"/>
      <c r="H66" s="456"/>
      <c r="I66" s="1105"/>
      <c r="J66" s="1182">
        <v>6685.14</v>
      </c>
      <c r="K66" s="1183">
        <v>45260</v>
      </c>
      <c r="P66" s="995"/>
      <c r="S66" s="1105"/>
      <c r="T66" s="1105"/>
    </row>
    <row r="67" spans="1:20" ht="18" customHeight="1">
      <c r="A67" s="1885"/>
      <c r="B67" s="1730" t="s">
        <v>5467</v>
      </c>
      <c r="C67" s="218" t="s">
        <v>5471</v>
      </c>
      <c r="D67" s="396" t="s">
        <v>5470</v>
      </c>
      <c r="E67" s="575">
        <f>'CASH ANTORCHA S.L.U'!G26</f>
        <v>2009.4700000000003</v>
      </c>
      <c r="F67" s="575"/>
      <c r="G67" s="575"/>
      <c r="H67" s="456"/>
      <c r="I67" s="1105"/>
      <c r="J67" s="1182">
        <v>4240.88</v>
      </c>
      <c r="K67" s="1183">
        <v>45266</v>
      </c>
    </row>
    <row r="68" spans="1:20" ht="18" customHeight="1">
      <c r="A68" s="1883" t="s">
        <v>524</v>
      </c>
      <c r="B68" s="1730" t="s">
        <v>4320</v>
      </c>
      <c r="C68" s="218" t="s">
        <v>4412</v>
      </c>
      <c r="D68" s="396" t="s">
        <v>2644</v>
      </c>
      <c r="E68" s="575">
        <f>malaga联通!G173</f>
        <v>1229.9799999999668</v>
      </c>
      <c r="F68" s="575"/>
      <c r="G68" s="575"/>
      <c r="H68" s="456"/>
      <c r="I68" s="1105"/>
      <c r="J68" s="1759">
        <f>SUM(J64:J67)</f>
        <v>24926.02</v>
      </c>
      <c r="K68" s="1760"/>
      <c r="P68" s="995"/>
      <c r="S68" s="1105"/>
      <c r="T68" s="1105"/>
    </row>
    <row r="69" spans="1:20" ht="18" customHeight="1">
      <c r="A69" s="1884"/>
      <c r="B69" s="1730" t="s">
        <v>4262</v>
      </c>
      <c r="C69" s="218" t="s">
        <v>3732</v>
      </c>
      <c r="D69" s="396" t="s">
        <v>2644</v>
      </c>
      <c r="E69" s="575">
        <f>'EH HOME ANDALUCIA'!G22</f>
        <v>0</v>
      </c>
      <c r="F69" s="575"/>
      <c r="G69" s="575"/>
      <c r="H69" s="457"/>
      <c r="I69" s="1105"/>
      <c r="K69" s="1106"/>
      <c r="P69" s="995"/>
      <c r="S69" s="1105"/>
      <c r="T69" s="1105"/>
    </row>
    <row r="70" spans="1:20" ht="18" customHeight="1">
      <c r="A70" s="1884"/>
      <c r="B70" s="1730" t="s">
        <v>4321</v>
      </c>
      <c r="C70" s="218" t="s">
        <v>5975</v>
      </c>
      <c r="D70" s="396" t="s">
        <v>2644</v>
      </c>
      <c r="E70" s="575">
        <f>'HONG DA CHINA S.L'!G64</f>
        <v>3887.160000000018</v>
      </c>
      <c r="F70" s="575"/>
      <c r="G70" s="575"/>
      <c r="H70" s="457"/>
      <c r="I70" s="1105"/>
      <c r="K70" s="1106"/>
      <c r="P70" s="995"/>
      <c r="S70" s="1105"/>
      <c r="T70" s="1105"/>
    </row>
    <row r="71" spans="1:20" ht="18" customHeight="1">
      <c r="A71" s="1884"/>
      <c r="B71" s="1730" t="s">
        <v>4322</v>
      </c>
      <c r="C71" s="218" t="s">
        <v>4413</v>
      </c>
      <c r="D71" s="396" t="s">
        <v>2644</v>
      </c>
      <c r="E71" s="575">
        <f>'DOS HERMANAS STYLE SOL S.L'!G60</f>
        <v>2643.2999999999811</v>
      </c>
      <c r="F71" s="575"/>
      <c r="G71" s="575"/>
      <c r="H71" s="457"/>
      <c r="I71" s="1105"/>
      <c r="K71" s="1106"/>
      <c r="P71" s="995"/>
      <c r="S71" s="1105"/>
      <c r="T71" s="1105"/>
    </row>
    <row r="72" spans="1:20" ht="18" customHeight="1">
      <c r="A72" s="1884"/>
      <c r="B72" s="1730" t="s">
        <v>4323</v>
      </c>
      <c r="C72" s="218" t="s">
        <v>2348</v>
      </c>
      <c r="D72" s="396" t="s">
        <v>2644</v>
      </c>
      <c r="E72" s="575">
        <f>'SU NING IMPORT Y EXPORT S.L'!G14</f>
        <v>0</v>
      </c>
      <c r="F72" s="575"/>
      <c r="G72" s="575"/>
      <c r="H72" s="457"/>
      <c r="I72" s="1105"/>
      <c r="K72" s="1106"/>
      <c r="P72" s="995"/>
      <c r="S72" s="1105"/>
      <c r="T72" s="1105"/>
    </row>
    <row r="73" spans="1:20" ht="18" customHeight="1">
      <c r="A73" s="1885"/>
      <c r="B73" s="1730" t="s">
        <v>5139</v>
      </c>
      <c r="C73" s="218" t="s">
        <v>5140</v>
      </c>
      <c r="D73" s="396" t="s">
        <v>2644</v>
      </c>
      <c r="E73" s="575">
        <f>'MADE IN CHINA 2022 S.L 米克'!G34</f>
        <v>5787.3099999999977</v>
      </c>
      <c r="F73" s="575"/>
      <c r="G73" s="575"/>
      <c r="H73" s="457"/>
      <c r="I73" s="1105"/>
      <c r="K73" s="1106"/>
      <c r="P73" s="995"/>
      <c r="S73" s="1105"/>
      <c r="T73" s="1105"/>
    </row>
    <row r="74" spans="1:20" ht="18" customHeight="1">
      <c r="A74" s="1883" t="s">
        <v>533</v>
      </c>
      <c r="B74" s="1730" t="s">
        <v>4263</v>
      </c>
      <c r="C74" s="218" t="s">
        <v>4095</v>
      </c>
      <c r="D74" s="396" t="s">
        <v>2644</v>
      </c>
      <c r="E74" s="575">
        <f>'REY MARKET 2021 SL'!G48</f>
        <v>0</v>
      </c>
      <c r="F74" s="575"/>
      <c r="G74" s="575"/>
      <c r="H74" s="457"/>
      <c r="I74" s="1105"/>
      <c r="K74" s="1106"/>
      <c r="P74" s="995"/>
      <c r="S74" s="1105"/>
      <c r="T74" s="1105"/>
    </row>
    <row r="75" spans="1:20" ht="18" customHeight="1">
      <c r="A75" s="1884"/>
      <c r="B75" s="1730" t="s">
        <v>4324</v>
      </c>
      <c r="C75" s="218" t="s">
        <v>4414</v>
      </c>
      <c r="D75" s="396" t="s">
        <v>2644</v>
      </c>
      <c r="E75" s="575">
        <f>'QIAN FENG 2011 S.L'!G68</f>
        <v>3363.0099999999875</v>
      </c>
      <c r="F75" s="575"/>
      <c r="G75" s="575"/>
      <c r="H75" s="457"/>
      <c r="I75" s="1105"/>
      <c r="K75" s="1106"/>
      <c r="P75" s="995"/>
      <c r="S75" s="1105"/>
      <c r="T75" s="1105"/>
    </row>
    <row r="76" spans="1:20" ht="18" customHeight="1">
      <c r="A76" s="1885"/>
      <c r="B76" s="1730" t="s">
        <v>4691</v>
      </c>
      <c r="C76" s="218" t="s">
        <v>4693</v>
      </c>
      <c r="D76" s="396" t="s">
        <v>2644</v>
      </c>
      <c r="E76" s="575">
        <f>长城!G15</f>
        <v>3819.83</v>
      </c>
      <c r="F76" s="575"/>
      <c r="G76" s="575"/>
      <c r="H76" s="457"/>
      <c r="I76" s="1105"/>
      <c r="K76" s="1106"/>
      <c r="P76" s="995"/>
      <c r="S76" s="1105"/>
      <c r="T76" s="1105"/>
    </row>
    <row r="77" spans="1:20" ht="18" customHeight="1">
      <c r="A77" s="574" t="s">
        <v>529</v>
      </c>
      <c r="B77" s="1730" t="s">
        <v>4325</v>
      </c>
      <c r="C77" s="218" t="s">
        <v>4417</v>
      </c>
      <c r="D77" s="396" t="s">
        <v>2644</v>
      </c>
      <c r="E77" s="575">
        <f>'YIMING WANG'!G59</f>
        <v>2412.3999999999978</v>
      </c>
      <c r="F77" s="575"/>
      <c r="G77" s="575"/>
      <c r="H77" s="456"/>
      <c r="I77" s="1105"/>
      <c r="K77" s="1106"/>
    </row>
    <row r="78" spans="1:20" ht="18" customHeight="1">
      <c r="A78" s="574" t="s">
        <v>531</v>
      </c>
      <c r="B78" s="1730" t="s">
        <v>4326</v>
      </c>
      <c r="C78" s="218" t="s">
        <v>1816</v>
      </c>
      <c r="D78" s="396" t="s">
        <v>2644</v>
      </c>
      <c r="E78" s="575">
        <f>'陈光福 SHU LING YANG'!G44</f>
        <v>0</v>
      </c>
      <c r="F78" s="575"/>
      <c r="G78" s="575"/>
      <c r="H78" s="456"/>
      <c r="I78" s="1105"/>
      <c r="K78" s="1106"/>
      <c r="P78" s="995"/>
      <c r="S78" s="1105"/>
      <c r="T78" s="1105"/>
    </row>
    <row r="79" spans="1:20" ht="18" customHeight="1">
      <c r="A79" s="1900" t="s">
        <v>525</v>
      </c>
      <c r="B79" s="1716" t="s">
        <v>4264</v>
      </c>
      <c r="C79" s="208" t="s">
        <v>5525</v>
      </c>
      <c r="D79" s="392" t="s">
        <v>5679</v>
      </c>
      <c r="E79" s="417">
        <f>齐力!G120</f>
        <v>5206.5100000000093</v>
      </c>
      <c r="F79" s="417"/>
      <c r="G79" s="417"/>
      <c r="H79" s="459"/>
      <c r="I79" s="1105"/>
      <c r="K79" s="1106"/>
      <c r="P79" s="995"/>
      <c r="S79" s="1105"/>
      <c r="T79" s="1105"/>
    </row>
    <row r="80" spans="1:20" ht="18" customHeight="1">
      <c r="A80" s="1901"/>
      <c r="B80" s="1716" t="s">
        <v>4265</v>
      </c>
      <c r="C80" s="208" t="s">
        <v>4020</v>
      </c>
      <c r="D80" s="392" t="s">
        <v>5679</v>
      </c>
      <c r="E80" s="417">
        <f>'ORIENTAL QIU S.L'!G93</f>
        <v>10712.950000000004</v>
      </c>
      <c r="F80" s="417"/>
      <c r="G80" s="417"/>
      <c r="H80" s="459"/>
      <c r="I80" s="1105"/>
      <c r="K80" s="1106"/>
      <c r="P80" s="995"/>
      <c r="S80" s="1105"/>
      <c r="T80" s="1105"/>
    </row>
    <row r="81" spans="1:20" ht="18" customHeight="1">
      <c r="A81" s="1901"/>
      <c r="B81" s="1716" t="s">
        <v>4266</v>
      </c>
      <c r="C81" s="208" t="s">
        <v>5527</v>
      </c>
      <c r="D81" s="392" t="s">
        <v>2518</v>
      </c>
      <c r="E81" s="417">
        <f>'IUNTECH GALICIA S.L'!G254</f>
        <v>39859.17</v>
      </c>
      <c r="F81" s="408"/>
      <c r="G81" s="419"/>
      <c r="H81" s="459"/>
      <c r="I81" s="1105"/>
      <c r="J81" s="1106"/>
      <c r="K81" s="1106"/>
      <c r="P81" s="995"/>
      <c r="S81" s="1105"/>
      <c r="T81" s="1105"/>
    </row>
    <row r="82" spans="1:20" ht="18" customHeight="1">
      <c r="A82" s="1901"/>
      <c r="B82" s="1716" t="s">
        <v>4267</v>
      </c>
      <c r="C82" s="208" t="s">
        <v>5526</v>
      </c>
      <c r="D82" s="392" t="s">
        <v>5679</v>
      </c>
      <c r="E82" s="417">
        <f>'COMERCIO GRAM TIERRA'!G28</f>
        <v>419.69999999999709</v>
      </c>
      <c r="F82" s="417"/>
      <c r="G82" s="419"/>
      <c r="H82" s="459"/>
      <c r="I82" s="1105"/>
      <c r="K82" s="1106"/>
      <c r="P82" s="995"/>
      <c r="S82" s="1105"/>
      <c r="T82" s="1105"/>
    </row>
    <row r="83" spans="1:20" ht="18" customHeight="1">
      <c r="A83" s="1901"/>
      <c r="B83" s="1716" t="s">
        <v>4327</v>
      </c>
      <c r="C83" s="208" t="s">
        <v>2891</v>
      </c>
      <c r="D83" s="392" t="s">
        <v>2518</v>
      </c>
      <c r="E83" s="417">
        <f>'MIDBOX MARKET S.L'!G154</f>
        <v>0</v>
      </c>
      <c r="F83" s="408"/>
      <c r="G83" s="419"/>
      <c r="H83" s="458"/>
      <c r="I83" s="1105"/>
      <c r="K83" s="1106"/>
      <c r="P83" s="995"/>
      <c r="S83" s="1105"/>
      <c r="T83" s="1105"/>
    </row>
    <row r="84" spans="1:20" ht="18" customHeight="1">
      <c r="A84" s="1902"/>
      <c r="B84" s="1716" t="s">
        <v>4328</v>
      </c>
      <c r="C84" s="208" t="s">
        <v>3733</v>
      </c>
      <c r="D84" s="392" t="s">
        <v>2518</v>
      </c>
      <c r="E84" s="417">
        <f>'YCADRI 2010 S.L.U'!G42</f>
        <v>1283.3199999999997</v>
      </c>
      <c r="F84" s="408"/>
      <c r="G84" s="419"/>
      <c r="H84" s="458"/>
      <c r="I84" s="1105"/>
      <c r="K84" s="1106"/>
      <c r="P84" s="995"/>
      <c r="S84" s="1105"/>
      <c r="T84" s="1105"/>
    </row>
    <row r="85" spans="1:20" ht="18" customHeight="1">
      <c r="A85" s="881" t="s">
        <v>2456</v>
      </c>
      <c r="B85" s="1716" t="s">
        <v>4329</v>
      </c>
      <c r="C85" s="208" t="s">
        <v>4416</v>
      </c>
      <c r="D85" s="392" t="s">
        <v>1765</v>
      </c>
      <c r="E85" s="417">
        <f>'XIN OU IMPORT S.L '!G81</f>
        <v>18659.700000000041</v>
      </c>
      <c r="F85" s="408"/>
      <c r="G85" s="417"/>
      <c r="H85" s="458"/>
      <c r="I85" s="1105"/>
      <c r="K85" s="1106"/>
      <c r="P85" s="995"/>
      <c r="S85" s="1105"/>
      <c r="T85" s="1105"/>
    </row>
    <row r="86" spans="1:20" ht="18" customHeight="1">
      <c r="A86" s="881" t="s">
        <v>527</v>
      </c>
      <c r="B86" s="1195" t="s">
        <v>4330</v>
      </c>
      <c r="C86" s="208" t="s">
        <v>4594</v>
      </c>
      <c r="D86" s="392" t="s">
        <v>5522</v>
      </c>
      <c r="E86" s="408">
        <f>'GANGS1999 S.L'!G12</f>
        <v>0</v>
      </c>
      <c r="F86" s="408"/>
      <c r="G86" s="417"/>
      <c r="H86" s="459"/>
      <c r="I86" s="1105"/>
      <c r="K86" s="1106"/>
      <c r="P86" s="995"/>
      <c r="S86" s="1105"/>
      <c r="T86" s="1105"/>
    </row>
    <row r="87" spans="1:20" ht="18" customHeight="1">
      <c r="A87" s="881" t="s">
        <v>532</v>
      </c>
      <c r="B87" s="1195" t="s">
        <v>4331</v>
      </c>
      <c r="C87" s="208" t="s">
        <v>5474</v>
      </c>
      <c r="D87" s="392" t="s">
        <v>5522</v>
      </c>
      <c r="E87" s="408">
        <f>'YONHOO ASTUR C.B'!G56</f>
        <v>505.79000000001543</v>
      </c>
      <c r="F87" s="408"/>
      <c r="G87" s="417"/>
      <c r="H87" s="459"/>
      <c r="I87" s="1105"/>
      <c r="K87" s="1106"/>
      <c r="P87" s="995"/>
      <c r="S87" s="1105"/>
      <c r="T87" s="1105"/>
    </row>
    <row r="88" spans="1:20" ht="18" customHeight="1">
      <c r="A88" s="881" t="s">
        <v>530</v>
      </c>
      <c r="B88" s="1716" t="s">
        <v>4268</v>
      </c>
      <c r="C88" s="208" t="s">
        <v>4021</v>
      </c>
      <c r="D88" s="392" t="s">
        <v>2644</v>
      </c>
      <c r="E88" s="417">
        <f>'bilbao新世纪XIN SHI JI'!G188</f>
        <v>44118.120000000024</v>
      </c>
      <c r="F88" s="417"/>
      <c r="G88" s="417"/>
      <c r="H88" s="458"/>
      <c r="I88" s="1105"/>
      <c r="K88" s="1106"/>
      <c r="P88" s="995"/>
      <c r="S88" s="1105"/>
      <c r="T88" s="1105"/>
    </row>
    <row r="89" spans="1:20" ht="18" customHeight="1">
      <c r="A89" s="1894" t="s">
        <v>6511</v>
      </c>
      <c r="B89" s="1836" t="s">
        <v>6504</v>
      </c>
      <c r="C89" s="208" t="s">
        <v>6505</v>
      </c>
      <c r="D89" s="392" t="s">
        <v>6510</v>
      </c>
      <c r="E89" s="417">
        <f>'HODA SINGLE PERSON PC'!G15</f>
        <v>5239.66</v>
      </c>
      <c r="F89" s="417"/>
      <c r="G89" s="417"/>
      <c r="H89" s="458"/>
      <c r="I89" s="1105"/>
      <c r="K89" s="1106"/>
      <c r="P89" s="995"/>
      <c r="S89" s="1105"/>
      <c r="T89" s="1105"/>
    </row>
    <row r="90" spans="1:20" ht="18" customHeight="1">
      <c r="A90" s="1901"/>
      <c r="B90" s="1836" t="s">
        <v>6506</v>
      </c>
      <c r="C90" s="208" t="s">
        <v>6507</v>
      </c>
      <c r="D90" s="392" t="s">
        <v>6510</v>
      </c>
      <c r="E90" s="417">
        <f>'XU WAN LI HAIYANG'!G15</f>
        <v>4579.3</v>
      </c>
      <c r="F90" s="417"/>
      <c r="G90" s="417"/>
      <c r="H90" s="458"/>
      <c r="I90" s="1105"/>
      <c r="K90" s="1106"/>
      <c r="P90" s="995"/>
      <c r="S90" s="1105"/>
      <c r="T90" s="1105"/>
    </row>
    <row r="91" spans="1:20" ht="18" customHeight="1">
      <c r="A91" s="1902"/>
      <c r="B91" s="1836" t="s">
        <v>6508</v>
      </c>
      <c r="C91" s="208" t="s">
        <v>6509</v>
      </c>
      <c r="D91" s="392" t="s">
        <v>6510</v>
      </c>
      <c r="E91" s="417">
        <f>'WANG DEFENG'!G15</f>
        <v>5239.66</v>
      </c>
      <c r="F91" s="417"/>
      <c r="G91" s="417"/>
      <c r="H91" s="458"/>
      <c r="I91" s="1105"/>
      <c r="K91" s="1106"/>
      <c r="P91" s="995"/>
      <c r="S91" s="1105"/>
      <c r="T91" s="1105"/>
    </row>
    <row r="92" spans="1:20" ht="18" customHeight="1">
      <c r="A92" s="142"/>
      <c r="B92" s="142"/>
      <c r="C92" s="390" t="s">
        <v>2351</v>
      </c>
      <c r="D92" s="391"/>
      <c r="E92" s="416">
        <f>SUBTOTAL(9,E2:E91)</f>
        <v>556095.83000000031</v>
      </c>
      <c r="F92" s="416">
        <f t="shared" ref="F92" si="0">SUBTOTAL(9,F2:F91)</f>
        <v>73.36</v>
      </c>
      <c r="G92" s="416">
        <f>SUBTOTAL(9,G2:G91)</f>
        <v>44938.59</v>
      </c>
      <c r="H92" s="460"/>
      <c r="I92" s="1105"/>
      <c r="K92" s="1106"/>
      <c r="P92" s="995"/>
      <c r="S92" s="1105"/>
      <c r="T92" s="1105"/>
    </row>
    <row r="93" spans="1:20" ht="18" customHeight="1">
      <c r="A93" s="1894" t="s">
        <v>534</v>
      </c>
      <c r="B93" s="1716" t="s">
        <v>4269</v>
      </c>
      <c r="C93" s="208" t="s">
        <v>4947</v>
      </c>
      <c r="D93" s="392" t="s">
        <v>4948</v>
      </c>
      <c r="E93" s="417">
        <f>'FOLIA ERUDITA UNIPESSOAL LDA'!G243</f>
        <v>27292.620000000024</v>
      </c>
      <c r="F93" s="417"/>
      <c r="G93" s="417"/>
      <c r="H93" s="459"/>
      <c r="I93" s="1105"/>
      <c r="J93" s="1106"/>
      <c r="K93" s="1106"/>
      <c r="P93" s="995"/>
      <c r="S93" s="1105"/>
      <c r="T93" s="1105"/>
    </row>
    <row r="94" spans="1:20" ht="18" customHeight="1">
      <c r="A94" s="1895"/>
      <c r="B94" s="1716" t="s">
        <v>4332</v>
      </c>
      <c r="C94" s="208" t="s">
        <v>4600</v>
      </c>
      <c r="D94" s="392" t="s">
        <v>522</v>
      </c>
      <c r="E94" s="417">
        <f>lisboa天和sky!G37</f>
        <v>2773.26</v>
      </c>
      <c r="F94" s="417"/>
      <c r="G94" s="417"/>
      <c r="H94" s="459"/>
      <c r="I94" s="1105"/>
      <c r="J94" s="1106"/>
      <c r="K94" s="1106"/>
      <c r="P94" s="995"/>
      <c r="S94" s="1105"/>
      <c r="T94" s="1105"/>
    </row>
    <row r="95" spans="1:20" ht="18" customHeight="1">
      <c r="A95" s="1895"/>
      <c r="B95" s="1716" t="s">
        <v>4333</v>
      </c>
      <c r="C95" s="208" t="s">
        <v>3734</v>
      </c>
      <c r="D95" s="392" t="s">
        <v>4121</v>
      </c>
      <c r="E95" s="417">
        <f>'PEDIDOCOMUM （天和新）张弛'!G50</f>
        <v>1170.2600000000166</v>
      </c>
      <c r="F95" s="417"/>
      <c r="G95" s="417"/>
      <c r="H95" s="459"/>
      <c r="I95" s="1105"/>
      <c r="J95" s="1106"/>
      <c r="K95" s="1106"/>
    </row>
    <row r="96" spans="1:20" ht="18" customHeight="1">
      <c r="A96" s="1895"/>
      <c r="B96" s="1716" t="s">
        <v>4334</v>
      </c>
      <c r="C96" s="208" t="s">
        <v>4601</v>
      </c>
      <c r="D96" s="392" t="s">
        <v>4121</v>
      </c>
      <c r="E96" s="417">
        <f>'小北京 DISTINTESTREIA LDA'!G99</f>
        <v>0</v>
      </c>
      <c r="F96" s="417"/>
      <c r="G96" s="417"/>
      <c r="H96" s="459"/>
      <c r="I96" s="1105"/>
      <c r="J96" s="1106"/>
      <c r="K96" s="1106"/>
    </row>
    <row r="97" spans="1:18" ht="18" customHeight="1">
      <c r="A97" s="1895"/>
      <c r="B97" s="1716" t="s">
        <v>4270</v>
      </c>
      <c r="C97" s="208" t="s">
        <v>3735</v>
      </c>
      <c r="D97" s="392" t="s">
        <v>522</v>
      </c>
      <c r="E97" s="417">
        <f>'ORIGINAL&amp;EFEMERO LDA（葡萄牙）'!G49</f>
        <v>0</v>
      </c>
      <c r="F97" s="417"/>
      <c r="G97" s="417"/>
      <c r="H97" s="459"/>
      <c r="I97" s="1105"/>
      <c r="J97" s="1106"/>
      <c r="K97" s="1106"/>
    </row>
    <row r="98" spans="1:18" ht="18" customHeight="1">
      <c r="A98" s="1895"/>
      <c r="B98" s="1716" t="s">
        <v>4271</v>
      </c>
      <c r="C98" s="208" t="s">
        <v>4120</v>
      </c>
      <c r="D98" s="392" t="s">
        <v>4121</v>
      </c>
      <c r="E98" s="417">
        <f>'DEEP SMILE UNIPESSOAL LDA'!G30</f>
        <v>0</v>
      </c>
      <c r="F98" s="417"/>
      <c r="G98" s="417"/>
      <c r="H98" s="461"/>
      <c r="I98" s="1105"/>
      <c r="J98" s="1106"/>
      <c r="K98" s="1106"/>
    </row>
    <row r="99" spans="1:18" ht="18" customHeight="1">
      <c r="A99" s="1896"/>
      <c r="B99" s="1716" t="s">
        <v>4335</v>
      </c>
      <c r="C99" s="208" t="s">
        <v>3042</v>
      </c>
      <c r="D99" s="392" t="s">
        <v>4121</v>
      </c>
      <c r="E99" s="417">
        <f>'NUVEM FELIZ IMPORTACAO '!G14</f>
        <v>0</v>
      </c>
      <c r="F99" s="417"/>
      <c r="G99" s="417"/>
      <c r="H99" s="461"/>
      <c r="I99" s="1105"/>
      <c r="J99" s="1106"/>
      <c r="K99" s="1106"/>
    </row>
    <row r="100" spans="1:18" ht="18" customHeight="1">
      <c r="A100" s="573"/>
      <c r="B100" s="573"/>
      <c r="C100" s="390" t="s">
        <v>2351</v>
      </c>
      <c r="D100" s="391"/>
      <c r="E100" s="416">
        <f>SUBTOTAL(9,E93:E99)</f>
        <v>31236.140000000043</v>
      </c>
      <c r="F100" s="416">
        <f t="shared" ref="F100:G100" si="1">SUBTOTAL(9,F93:F99)</f>
        <v>0</v>
      </c>
      <c r="G100" s="416">
        <f t="shared" si="1"/>
        <v>0</v>
      </c>
      <c r="H100" s="142"/>
      <c r="I100" s="1105"/>
      <c r="J100" s="1106"/>
      <c r="K100" s="1106"/>
    </row>
    <row r="101" spans="1:18" ht="18" customHeight="1">
      <c r="A101" s="389"/>
      <c r="B101" s="389"/>
      <c r="C101" s="390" t="s">
        <v>535</v>
      </c>
      <c r="D101" s="390"/>
      <c r="E101" s="416">
        <f>E92+E100</f>
        <v>587331.97000000032</v>
      </c>
      <c r="F101" s="416">
        <f>F92+F100</f>
        <v>73.36</v>
      </c>
      <c r="G101" s="416">
        <f>G92+G100</f>
        <v>44938.59</v>
      </c>
      <c r="H101" s="142"/>
      <c r="I101" s="1105"/>
      <c r="J101" s="1106"/>
    </row>
    <row r="102" spans="1:18">
      <c r="B102" s="269"/>
      <c r="E102" s="580"/>
      <c r="F102" s="580"/>
      <c r="I102" s="1105"/>
      <c r="J102" s="1106"/>
    </row>
    <row r="103" spans="1:18">
      <c r="I103" s="1105"/>
      <c r="J103" s="1106"/>
    </row>
    <row r="104" spans="1:18" ht="20.25" customHeight="1">
      <c r="I104" s="1105"/>
      <c r="O104" s="995"/>
      <c r="P104" s="995"/>
      <c r="Q104" s="995"/>
      <c r="R104" s="995"/>
    </row>
    <row r="105" spans="1:18">
      <c r="I105" s="1105"/>
    </row>
  </sheetData>
  <mergeCells count="15">
    <mergeCell ref="J62:K62"/>
    <mergeCell ref="A93:A99"/>
    <mergeCell ref="A55:A57"/>
    <mergeCell ref="A43:A54"/>
    <mergeCell ref="A37:A42"/>
    <mergeCell ref="A79:A84"/>
    <mergeCell ref="A59:A67"/>
    <mergeCell ref="A89:A91"/>
    <mergeCell ref="A10:A21"/>
    <mergeCell ref="A74:A76"/>
    <mergeCell ref="A2:A6"/>
    <mergeCell ref="A22:A33"/>
    <mergeCell ref="A68:A73"/>
    <mergeCell ref="A7:A9"/>
    <mergeCell ref="A34:A36"/>
  </mergeCells>
  <phoneticPr fontId="15" type="noConversion"/>
  <conditionalFormatting sqref="B1:B1048576">
    <cfRule type="duplicateValues" dxfId="1" priority="2"/>
  </conditionalFormatting>
  <hyperlinks>
    <hyperlink ref="C50" location="'SHENGBAO S.L.U'!A1" display="SHENGBAO S.L.U 盛宝百货"/>
    <hyperlink ref="C45" location="'FANGZHENG S.L'!A1" display="FANGZHENG S.L方正电子"/>
    <hyperlink ref="C80" location="'ORIENTAL QIU S.L'!A1" display="ORIENTAL QIU S.L东方贸易"/>
    <hyperlink ref="C79" location="齐力!A1" display="UNIFORZ TRADE 齐力"/>
    <hyperlink ref="C3" location="'SO WANG ELECTRONICA S.L'!A1" display="SO WANG ELECTRONICO"/>
    <hyperlink ref="C86" location="'GANGS1999 S.L'!A1" display="GANGS1999 S.L裘氏集团"/>
    <hyperlink ref="C10" location="'NEW IMPORT HOUSE S.L'!A1" display="NEW IMPORT HOUSE SL 豪迈"/>
    <hyperlink ref="C12" location="'GRAN FAMILIA 2016 S.L'!A1" display="GRAN FAMILIA 2016 S.L 永顺"/>
    <hyperlink ref="C13" location="'NEW SKYWAY S.L'!A1" display="NEW SKYWAY S.L"/>
    <hyperlink ref="C14" location="'WE PHONE 2016 S.L'!A1" display="WE PHONE 2016 S.L威锋电子"/>
    <hyperlink ref="C22" location="'J&amp;C 超能'!A1" display="J&amp;C  超能"/>
    <hyperlink ref="C23" location="'SANSHENG TECNOLOGIA S.L'!A1" display="SANSHENG TECNOLOGIA 三盛电子"/>
    <hyperlink ref="C43" location="'AVIVO DREAMSKY S.L'!A1" display="AVIVO DREAMSKY S.L 中国龙门市"/>
    <hyperlink ref="C44" location="'ANISOAR CLOUDS S.L'!A1" display="ANISOAR CLOUDS S.L 中国龙·仓库"/>
    <hyperlink ref="C46" location="'AMERICA YUAN S.L.U'!A1" display="AMERICA YUAN上海人"/>
    <hyperlink ref="C47" location="'MEC NET ELECTRONICS S.L'!A1" display="mec net electronics s"/>
    <hyperlink ref="C88" location="'bilbao新世纪XIN SHI JI'!A1" display="XIN SHI JI 新世纪"/>
    <hyperlink ref="C78" location="'陈光福 SHU LING YANG'!A1" display="SHU LING YANG 欧之星"/>
    <hyperlink ref="C59" location="'ROSA ROJO 2014 S.L'!A1" display="ROSA ROJO 2014 S.L"/>
    <hyperlink ref="C60" location="'LINDU TECNOLOGY SL'!A1" display="LINDU TECNOLOGY SL零度"/>
    <hyperlink ref="C61" location="'COMERCIO IDEAL 2015 SL'!A1" display="COMERCIO IDEAL 2015 SL兄弟贸易"/>
    <hyperlink ref="C62" location="'sevilla步步高 stock in sapin'!A1" display="stock in sapin步步高"/>
    <hyperlink ref="C63" location="'XINHE EUROPE'!A1" display="XINHE EUROPE"/>
    <hyperlink ref="C68" location="malaga联通!A1" display="THE TELEPHONE WORLD 联通"/>
    <hyperlink ref="C69" location="'EH HOME ANDALUCIA'!A1" display="EH HOME ANDALUCIA W&amp;Y S.L"/>
    <hyperlink ref="C37" location="'CASA DEL SURESTE S.L'!A1" display="CASA DEL SURESTE S.L 万泰"/>
    <hyperlink ref="C77" location="'YIMING WANG'!A1" display="YIMING WANG "/>
    <hyperlink ref="C81" location="'IUNTECH GALICIA S.L'!A1" display="IUNTECH GALICIA S.L"/>
    <hyperlink ref="C87" location="'YONHOO ASTUR C.B'!A1" display="YONHOO ASTUR C.B（JUAN)"/>
    <hyperlink ref="C4" location="'CASH HOGAR CANARIAS S.L'!A1" display="CASH HOGAR CANARIAS SL "/>
    <hyperlink ref="C74" location="'REY MARKET 2021 SL'!A1" display="REY MARKET 2021 SL"/>
    <hyperlink ref="C15" location="'ARBOL DE GINKGO S.L'!A1" display="ARBOL DE GINKGO S.L 威力百货"/>
    <hyperlink ref="C34" location="'XHC BRICO 2019 S.L'!A1" display="XHC BRICO 2019 S.L "/>
    <hyperlink ref="C55" location="'BAO LI DE S.L '!A1" display="BAO LI DE S.L "/>
    <hyperlink ref="C93" location="'FOLIA ERUDITA UNIPESSOAL LDA'!A1" display="FOLIA ERUDITA UNIPESSOAL LDA"/>
    <hyperlink ref="C94" location="lisboa天和sky!A1" display="SKYHE 2013 UNIPESSOAL LDA天和"/>
    <hyperlink ref="C95" location="'PEDIDOCOMUM （天和新）张弛'!A1" display="PEDIDOCOMUM UNIPESSOAL LDA"/>
    <hyperlink ref="C96" location="'小北京 DISTINTESTREIA LDA'!A1" display="DISTINTESTREIA LDA小北京"/>
    <hyperlink ref="C97" location="'ORIGINAL&amp;EFEMERO LDA（葡萄牙）'!A1" display="ORIGINAL&amp;EFEMERO LDA"/>
    <hyperlink ref="C98" location="'DEEP SMILE UNIPESSOAL LDA'!A1" display="DEEP SMILE UNIPESSOAL LDA"/>
    <hyperlink ref="C24" location="'IMPORTACION ORIENTAL 东宝贸易'!A1" display="IMPORTACION ORIENTAL EN VALENCIA S.L东贸百货"/>
    <hyperlink ref="C16" location="'IBERMAYORISTA 2020 S.L'!A1" display="IBERMAYORISTA 2020 S.L "/>
    <hyperlink ref="C70" location="'HONG DA CHINA S.L'!A1" display="HONG DA CHINA S.L"/>
    <hyperlink ref="C25" location="'AUTOWEY168 S.L'!A1" display="AUTOWEY168 S.L一米百货"/>
    <hyperlink ref="C64" location="'TENG FEI 腾飞贸易'!A1" display="TENG FEI DECORACIÓN MULTIPRECIOS XIONG XING .S.L腾飞贸易"/>
    <hyperlink ref="C17" location="'ESON IMPORT EXPORT S.L'!A1" display="ESON IMPORT EXPORT S.L "/>
    <hyperlink ref="C27" location="'WANGDA 2018 S.L'!A1" display="WANGDA 2018 S.L 旺达百货"/>
    <hyperlink ref="C48" location="'HAO HAO 2015 '!A1" display="HAOHAO 2015"/>
    <hyperlink ref="C65" location="'UNIBLE FAMILIA S.L'!A1" display="UNIBLE FAMILIA S.L"/>
    <hyperlink ref="C85" location="'XIN OU IMPORT S.L '!A1" display="XIN OU IMPORT S.L "/>
    <hyperlink ref="C51" location="'XINGFEI IMPORT S.L.U'!A1" display="XINGFEI IMPORT S.L.U"/>
    <hyperlink ref="C2" location="'SUPER PROXI S.L'!A1" display="SUPER PROXI S.L"/>
    <hyperlink ref="C28" location="'TECCOVA 67-A S.L'!A1" display="TECCOVA 67-A,S.L 巴基斯坦人"/>
    <hyperlink ref="C29" location="'NUEVA &amp; EUROPA 2015 S.L'!A1" display="NUEVA &amp; EUROPA 2015 S.L"/>
    <hyperlink ref="C52" location="'ASJEYU S.L.'!A1" display="ASJEYU S.L. 安信科技"/>
    <hyperlink ref="C18" location="'FENGHUO COMERCIO S.L'!A1" display="FENGHUO COMERCIO S.L"/>
    <hyperlink ref="C71" location="'DOS HERMANAS STYLE SOL S.L'!A1" display="DOS HERMANAS STYLE SOL S.L"/>
    <hyperlink ref="C66" location="'MANAELECTRONICO S.L'!A1" display="MANAELECTRONICO S.L"/>
    <hyperlink ref="C75" location="'QIAN FENG 2011 S.L'!A1" display="QIAN FENG 2011 S.L"/>
    <hyperlink ref="C30" location="'EVE MON CROIS S.L.'!A1" display="EVE MON CROIS S.L.欧玛特"/>
    <hyperlink ref="C35" location="'HIPER MARKET IMPORT, S.L'!A1" display="HIPER MARKET IMPORT, S.L"/>
    <hyperlink ref="C31" location="'XIAODIE YE'!A1" display="XIAODIE YE"/>
    <hyperlink ref="C72" location="'SU NING IMPORT Y EXPORT S.L'!A1" display="SU NING IMPORT Y EXPORT S.L"/>
    <hyperlink ref="C19" location="SHIXIN!A1" display="SHIXIN TECHNOLOGY S.L.U"/>
    <hyperlink ref="C7" location="'EURO COMPLEMENTOS ASIA S.L'!A1" display="EURO COMPLEMENTOS ASIA S.L"/>
    <hyperlink ref="C49" location="'ZHONGZHONG2022 S.L'!A1" display="ZHONGZHONG2022 S.L"/>
    <hyperlink ref="C83" location="'MIDBOX MARKET S.L'!A1" display="MIDBOX MARKET S.L"/>
    <hyperlink ref="C53" location="'DOKI 168 S.L'!A1" display="DOKI 168 S.L"/>
    <hyperlink ref="C38" location="'HUANG JIA 88 S.L.U'!A1" display="HUANG JIA 88 S.L.U"/>
    <hyperlink ref="C39" location="'XINHONG 2019 S.L'!A1" display="XINHONG 2019 S.L 东方红贸易"/>
    <hyperlink ref="C5" location="'JR IMPORT CANARIAS 2022 S.L'!A1" display="JR IMPORT CANARIAS 2022 S.L"/>
    <hyperlink ref="C57" location="'PHONEFANS S.L'!A1" display="PHONEFANS S.L"/>
    <hyperlink ref="C99" location="'NUVEM FELIZ IMPORTACAO '!A1" display="NUVEM FELIZ IMPORTACAO UNIPESSOAL,LDA"/>
    <hyperlink ref="C32" location="'CHOLLOS EL BARATO S.L'!A1" display="CHOLLOS EL BARATO S.L"/>
    <hyperlink ref="C40" location="'CASH KOLOSS S.L'!A1" display="CASH KOLOSS S.L"/>
    <hyperlink ref="C54" location="'HISPANO TECNO GLOBAL S.L'!A1" display="HISPANO TECNO GLOBAL S.L"/>
    <hyperlink ref="C42" location="'NUSINTE,SOCIEDAD LIMITADA'!A1" display="NUSINTE,SOCIEDAD LIMITADA"/>
    <hyperlink ref="C20" location="'MARKETING PRIORITY YAN S.L'!A1" display="MARKETING PRIORITY YAN S.L 宏达"/>
    <hyperlink ref="C84" location="'YCADRI 2010 S.L.U'!A1" display="YCADRI 2010 S.L.U"/>
    <hyperlink ref="C41" location="'XIAOJUN WANG'!A1" display="XIAOJUN WANG"/>
    <hyperlink ref="C8" location="'NEW BEST S.L'!A1" display="NEW BEST S.L 新东方"/>
    <hyperlink ref="C56" location="'ALMA SIMON S.L'!A1" display="ALMA SIMON S.L伟业"/>
    <hyperlink ref="C58" location="'10 TELECOM 3.0 S.L.U'!A1" display="10 TELECOM 3.0 S.L.U"/>
    <hyperlink ref="C21" location="'BEST LICENCIAS S.L'!A1" display="BEST LICENCIAS S.L"/>
    <hyperlink ref="C82" location="'COMERCIO GRAM TIERRA'!A1" display="COMERCIO GRAN TIERRA"/>
    <hyperlink ref="C76" location="长城!A1" display="ALIMENTACION GRAN MURALLA S.L 长城"/>
    <hyperlink ref="C6" location="'RALFY IMPOEX S.L'!A1" display="RALFY IMPOEX S.L"/>
    <hyperlink ref="C33" location="KASANA!A1" display="KASANA SYSTEM SUNSHINE S.L"/>
    <hyperlink ref="C73" location="'MADE IN CHINA 2022 S.L 米克'!A1" display="MADE IN CHINA 2022 S.L 米克"/>
    <hyperlink ref="C67" location="'CASH ANTORCHA S.L.U'!A1" display="CASH ANTORCHA S.L.U"/>
    <hyperlink ref="C26" location="'CHANGDA 2018 S.L'!A1" display="CHANGDA 2018 S.L大世界百货"/>
    <hyperlink ref="C36" location="'ALMACEN LAKESIDE HUI 陈氏'!A1" display="ALMACEN LAKESIDE HUI 陈氏"/>
    <hyperlink ref="C9" location="'BALEARIC MAX IMPORTACION S.L'!A1" display="BALEARIC MAX IMPORTACION S.L"/>
    <hyperlink ref="C89" location="'HODA SINGLE PERSON PC'!A1" display="HODA SINGLE PERSON PC"/>
    <hyperlink ref="C90" location="'XU WAN LI HAIYANG'!A1" display="XU WAN LI HAIYANG"/>
    <hyperlink ref="C91" location="'WANG DEFENG'!A1" display="WANG DEFENG"/>
  </hyperlink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N27"/>
  <sheetViews>
    <sheetView zoomScaleNormal="100" workbookViewId="0">
      <pane ySplit="1" topLeftCell="A2" activePane="bottomLeft" state="frozen"/>
      <selection activeCell="C33" sqref="C33"/>
      <selection pane="bottomLeft" activeCell="F27" sqref="F27"/>
    </sheetView>
  </sheetViews>
  <sheetFormatPr defaultRowHeight="14.25"/>
  <cols>
    <col min="1" max="1" width="12" bestFit="1" customWidth="1"/>
    <col min="2" max="2" width="13.5" bestFit="1" customWidth="1"/>
    <col min="3" max="3" width="29.875" bestFit="1" customWidth="1"/>
    <col min="4" max="4" width="15" bestFit="1" customWidth="1"/>
    <col min="5" max="6" width="11.5" customWidth="1"/>
    <col min="7" max="7" width="11.5" bestFit="1" customWidth="1"/>
    <col min="8" max="8" width="16.75" bestFit="1" customWidth="1"/>
    <col min="9" max="9" width="14.125" bestFit="1" customWidth="1"/>
    <col min="10" max="10" width="12" bestFit="1" customWidth="1"/>
    <col min="11" max="11" width="22.75" bestFit="1" customWidth="1"/>
    <col min="12" max="12" width="56" bestFit="1" customWidth="1"/>
    <col min="13" max="13" width="13.875" bestFit="1" customWidth="1"/>
  </cols>
  <sheetData>
    <row r="1" spans="1:14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7" t="s">
        <v>2721</v>
      </c>
      <c r="H1" s="256" t="s">
        <v>4099</v>
      </c>
      <c r="I1" s="265" t="s">
        <v>3043</v>
      </c>
      <c r="J1" s="257" t="s">
        <v>4100</v>
      </c>
      <c r="K1" s="257" t="s">
        <v>541</v>
      </c>
      <c r="L1" s="256" t="s">
        <v>542</v>
      </c>
    </row>
    <row r="2" spans="1:14" ht="15">
      <c r="A2" s="1456">
        <v>44613</v>
      </c>
      <c r="B2" s="1456" t="s">
        <v>4142</v>
      </c>
      <c r="C2" s="1456" t="s">
        <v>4400</v>
      </c>
      <c r="D2" s="1461" t="s">
        <v>782</v>
      </c>
      <c r="E2" s="1467">
        <v>2991.25</v>
      </c>
      <c r="F2" s="722">
        <v>0</v>
      </c>
      <c r="G2" s="611">
        <v>2991.25</v>
      </c>
      <c r="H2" s="1456">
        <v>44643</v>
      </c>
      <c r="I2" s="660">
        <v>2991.25</v>
      </c>
      <c r="J2" s="1456">
        <v>44732</v>
      </c>
      <c r="K2" s="1457" t="s">
        <v>2320</v>
      </c>
      <c r="L2" s="113"/>
    </row>
    <row r="3" spans="1:14" ht="15">
      <c r="A3" s="1903">
        <v>44732</v>
      </c>
      <c r="B3" s="1903" t="s">
        <v>4116</v>
      </c>
      <c r="C3" s="1903" t="s">
        <v>4400</v>
      </c>
      <c r="D3" s="1909" t="s">
        <v>2319</v>
      </c>
      <c r="E3" s="2081">
        <v>2679.89</v>
      </c>
      <c r="F3" s="2117">
        <v>0</v>
      </c>
      <c r="G3" s="611">
        <v>2000</v>
      </c>
      <c r="H3" s="1456">
        <v>44762</v>
      </c>
      <c r="I3" s="660">
        <v>2000</v>
      </c>
      <c r="J3" s="1456">
        <v>44859</v>
      </c>
      <c r="K3" s="1457" t="s">
        <v>1752</v>
      </c>
      <c r="L3" s="166"/>
      <c r="M3" s="190"/>
      <c r="N3" s="190"/>
    </row>
    <row r="4" spans="1:14" ht="28.5">
      <c r="A4" s="1904"/>
      <c r="B4" s="1904"/>
      <c r="C4" s="1904"/>
      <c r="D4" s="1910"/>
      <c r="E4" s="2120"/>
      <c r="F4" s="2119"/>
      <c r="G4" s="611">
        <f>2679.89-2000-598.89</f>
        <v>80.999999999999886</v>
      </c>
      <c r="H4" s="1456">
        <v>44762</v>
      </c>
      <c r="I4" s="660">
        <v>80.999999999999886</v>
      </c>
      <c r="J4" s="1456">
        <v>45086</v>
      </c>
      <c r="K4" s="1450" t="s">
        <v>5352</v>
      </c>
      <c r="L4" s="113"/>
      <c r="M4" s="190"/>
      <c r="N4" s="190"/>
    </row>
    <row r="5" spans="1:14" ht="15">
      <c r="A5" s="1905"/>
      <c r="B5" s="1905"/>
      <c r="C5" s="1905"/>
      <c r="D5" s="1911"/>
      <c r="E5" s="2082"/>
      <c r="F5" s="2118"/>
      <c r="G5" s="611">
        <v>598.89</v>
      </c>
      <c r="H5" s="1456">
        <v>44762</v>
      </c>
      <c r="I5" s="1933">
        <v>0</v>
      </c>
      <c r="J5" s="1903">
        <v>44957</v>
      </c>
      <c r="K5" s="2133" t="s">
        <v>4016</v>
      </c>
      <c r="L5" s="113"/>
      <c r="M5" s="190"/>
      <c r="N5" s="190"/>
    </row>
    <row r="6" spans="1:14" ht="15">
      <c r="A6" s="1456">
        <v>44783.000497685185</v>
      </c>
      <c r="B6" s="1456" t="s">
        <v>4116</v>
      </c>
      <c r="C6" s="1456" t="s">
        <v>4400</v>
      </c>
      <c r="D6" s="1461" t="s">
        <v>2666</v>
      </c>
      <c r="E6" s="1467">
        <v>-29.63</v>
      </c>
      <c r="F6" s="722">
        <v>0</v>
      </c>
      <c r="G6" s="611">
        <v>-29.63</v>
      </c>
      <c r="H6" s="1456" t="s">
        <v>1529</v>
      </c>
      <c r="I6" s="2134"/>
      <c r="J6" s="1904"/>
      <c r="K6" s="2128"/>
      <c r="L6" s="166"/>
      <c r="M6" s="190"/>
      <c r="N6" s="190"/>
    </row>
    <row r="7" spans="1:14" ht="15">
      <c r="A7" s="1456">
        <v>44783.000497685185</v>
      </c>
      <c r="B7" s="1456" t="s">
        <v>4116</v>
      </c>
      <c r="C7" s="1456" t="s">
        <v>4400</v>
      </c>
      <c r="D7" s="1461" t="s">
        <v>2667</v>
      </c>
      <c r="E7" s="1467">
        <v>-19.16</v>
      </c>
      <c r="F7" s="722">
        <v>0</v>
      </c>
      <c r="G7" s="611">
        <v>-19.16</v>
      </c>
      <c r="H7" s="1456" t="s">
        <v>1529</v>
      </c>
      <c r="I7" s="2134"/>
      <c r="J7" s="1904"/>
      <c r="K7" s="2128"/>
      <c r="L7" s="166"/>
      <c r="M7" s="190"/>
      <c r="N7" s="190"/>
    </row>
    <row r="8" spans="1:14" ht="15">
      <c r="A8" s="1456">
        <v>44865</v>
      </c>
      <c r="B8" s="1456" t="s">
        <v>521</v>
      </c>
      <c r="C8" s="1456" t="s">
        <v>4400</v>
      </c>
      <c r="D8" s="1461" t="s">
        <v>3341</v>
      </c>
      <c r="E8" s="1467">
        <v>-4.2</v>
      </c>
      <c r="F8" s="722">
        <v>0</v>
      </c>
      <c r="G8" s="611">
        <v>-4.2</v>
      </c>
      <c r="H8" s="1456"/>
      <c r="I8" s="2134"/>
      <c r="J8" s="1904"/>
      <c r="K8" s="2128"/>
      <c r="L8" s="166"/>
      <c r="M8" s="190"/>
      <c r="N8" s="190"/>
    </row>
    <row r="9" spans="1:14" ht="15">
      <c r="A9" s="1456">
        <v>44865</v>
      </c>
      <c r="B9" s="1456" t="s">
        <v>521</v>
      </c>
      <c r="C9" s="1456" t="s">
        <v>4400</v>
      </c>
      <c r="D9" s="1461" t="s">
        <v>3342</v>
      </c>
      <c r="E9" s="1467">
        <v>-50</v>
      </c>
      <c r="F9" s="722">
        <v>0</v>
      </c>
      <c r="G9" s="611">
        <v>-50</v>
      </c>
      <c r="H9" s="1456">
        <v>44895</v>
      </c>
      <c r="I9" s="2134"/>
      <c r="J9" s="1904"/>
      <c r="K9" s="2128"/>
      <c r="L9" s="166" t="s">
        <v>3343</v>
      </c>
      <c r="M9" s="190"/>
      <c r="N9" s="190"/>
    </row>
    <row r="10" spans="1:14" ht="15">
      <c r="A10" s="1456">
        <v>44875</v>
      </c>
      <c r="B10" s="1456" t="s">
        <v>521</v>
      </c>
      <c r="C10" s="1456" t="s">
        <v>4400</v>
      </c>
      <c r="D10" s="1461" t="s">
        <v>3436</v>
      </c>
      <c r="E10" s="1467">
        <v>-495.9</v>
      </c>
      <c r="F10" s="722">
        <v>0</v>
      </c>
      <c r="G10" s="611">
        <v>-495.9</v>
      </c>
      <c r="H10" s="1456"/>
      <c r="I10" s="1934"/>
      <c r="J10" s="1905"/>
      <c r="K10" s="2129"/>
      <c r="L10" s="166"/>
      <c r="M10" s="190"/>
      <c r="N10" s="190"/>
    </row>
    <row r="11" spans="1:14" ht="15">
      <c r="A11" s="1456">
        <v>44764.000497685185</v>
      </c>
      <c r="B11" s="1456" t="s">
        <v>4116</v>
      </c>
      <c r="C11" s="1456" t="s">
        <v>4400</v>
      </c>
      <c r="D11" s="1461" t="s">
        <v>2475</v>
      </c>
      <c r="E11" s="1467">
        <v>3360.64</v>
      </c>
      <c r="F11" s="722">
        <v>0</v>
      </c>
      <c r="G11" s="611">
        <v>3360.64</v>
      </c>
      <c r="H11" s="1456">
        <v>44794</v>
      </c>
      <c r="I11" s="660">
        <v>3360.64</v>
      </c>
      <c r="J11" s="1456">
        <v>44908</v>
      </c>
      <c r="K11" s="1463" t="s">
        <v>3720</v>
      </c>
      <c r="L11" s="113"/>
      <c r="M11" s="190"/>
      <c r="N11" s="190"/>
    </row>
    <row r="12" spans="1:14" ht="15">
      <c r="A12" s="1456">
        <v>44806</v>
      </c>
      <c r="B12" s="1456" t="s">
        <v>4116</v>
      </c>
      <c r="C12" s="1456" t="s">
        <v>4400</v>
      </c>
      <c r="D12" s="1461" t="s">
        <v>2901</v>
      </c>
      <c r="E12" s="1467">
        <v>0.01</v>
      </c>
      <c r="F12" s="722">
        <v>0</v>
      </c>
      <c r="G12" s="611">
        <v>0.01</v>
      </c>
      <c r="H12" s="1456">
        <v>44836</v>
      </c>
      <c r="I12" s="660">
        <v>0.01</v>
      </c>
      <c r="J12" s="1456">
        <v>44941</v>
      </c>
      <c r="K12" s="1463" t="s">
        <v>3925</v>
      </c>
      <c r="L12" s="166" t="s">
        <v>2897</v>
      </c>
      <c r="M12" s="190"/>
      <c r="N12" s="190"/>
    </row>
    <row r="13" spans="1:14" ht="15">
      <c r="A13" s="1456">
        <v>44764.000497685185</v>
      </c>
      <c r="B13" s="1456" t="s">
        <v>4116</v>
      </c>
      <c r="C13" s="1456" t="s">
        <v>4400</v>
      </c>
      <c r="D13" s="1461" t="s">
        <v>2474</v>
      </c>
      <c r="E13" s="1467">
        <v>635.12</v>
      </c>
      <c r="F13" s="722">
        <v>0</v>
      </c>
      <c r="G13" s="611">
        <v>635.12</v>
      </c>
      <c r="H13" s="1456">
        <v>44794</v>
      </c>
      <c r="I13" s="2130">
        <v>2434.2299999999996</v>
      </c>
      <c r="J13" s="1903">
        <v>45086</v>
      </c>
      <c r="K13" s="2127" t="s">
        <v>5351</v>
      </c>
      <c r="L13" s="113"/>
      <c r="M13" s="190"/>
      <c r="N13" s="190"/>
    </row>
    <row r="14" spans="1:14" ht="15">
      <c r="A14" s="1456">
        <v>44859</v>
      </c>
      <c r="B14" s="1456" t="s">
        <v>521</v>
      </c>
      <c r="C14" s="1456" t="s">
        <v>4400</v>
      </c>
      <c r="D14" s="1461" t="s">
        <v>3339</v>
      </c>
      <c r="E14" s="1467">
        <v>375</v>
      </c>
      <c r="F14" s="722">
        <v>0</v>
      </c>
      <c r="G14" s="611">
        <v>375</v>
      </c>
      <c r="H14" s="1456">
        <v>44889</v>
      </c>
      <c r="I14" s="2131"/>
      <c r="J14" s="1904"/>
      <c r="K14" s="2128"/>
      <c r="L14" s="219"/>
      <c r="M14" s="190"/>
      <c r="N14" s="190"/>
    </row>
    <row r="15" spans="1:14" ht="15">
      <c r="A15" s="1456">
        <v>44860</v>
      </c>
      <c r="B15" s="1456" t="s">
        <v>521</v>
      </c>
      <c r="C15" s="1456" t="s">
        <v>4400</v>
      </c>
      <c r="D15" s="1461" t="s">
        <v>3340</v>
      </c>
      <c r="E15" s="1467">
        <v>1740.6</v>
      </c>
      <c r="F15" s="722">
        <v>0</v>
      </c>
      <c r="G15" s="611">
        <v>1740.6</v>
      </c>
      <c r="H15" s="1456">
        <v>44890</v>
      </c>
      <c r="I15" s="2131"/>
      <c r="J15" s="1904"/>
      <c r="K15" s="2128"/>
      <c r="L15" s="219"/>
      <c r="M15" s="190"/>
      <c r="N15" s="190"/>
    </row>
    <row r="16" spans="1:14" ht="15">
      <c r="A16" s="1456">
        <v>44892</v>
      </c>
      <c r="B16" s="1456" t="s">
        <v>521</v>
      </c>
      <c r="C16" s="1456" t="s">
        <v>4400</v>
      </c>
      <c r="D16" s="1461" t="s">
        <v>3601</v>
      </c>
      <c r="E16" s="1467">
        <v>468.15</v>
      </c>
      <c r="F16" s="722">
        <v>0</v>
      </c>
      <c r="G16" s="611">
        <v>468.15</v>
      </c>
      <c r="H16" s="1456">
        <v>44922</v>
      </c>
      <c r="I16" s="2131"/>
      <c r="J16" s="1904"/>
      <c r="K16" s="2128"/>
      <c r="L16" s="219"/>
      <c r="M16" s="190"/>
      <c r="N16" s="190"/>
    </row>
    <row r="17" spans="1:14" ht="15">
      <c r="A17" s="1456">
        <v>44910</v>
      </c>
      <c r="B17" s="1456" t="s">
        <v>521</v>
      </c>
      <c r="C17" s="1456" t="s">
        <v>4400</v>
      </c>
      <c r="D17" s="1461" t="s">
        <v>3689</v>
      </c>
      <c r="E17" s="1467">
        <v>696.6</v>
      </c>
      <c r="F17" s="722">
        <v>0</v>
      </c>
      <c r="G17" s="611">
        <v>696.6</v>
      </c>
      <c r="H17" s="1456">
        <v>44940</v>
      </c>
      <c r="I17" s="2131"/>
      <c r="J17" s="1904"/>
      <c r="K17" s="2128"/>
      <c r="L17" s="219"/>
      <c r="M17" s="190"/>
      <c r="N17" s="190"/>
    </row>
    <row r="18" spans="1:14" ht="15">
      <c r="A18" s="1456">
        <v>44937</v>
      </c>
      <c r="B18" s="1456" t="s">
        <v>2518</v>
      </c>
      <c r="C18" s="1456" t="s">
        <v>4400</v>
      </c>
      <c r="D18" s="1461" t="s">
        <v>3884</v>
      </c>
      <c r="E18" s="1467">
        <v>337.5</v>
      </c>
      <c r="F18" s="722">
        <v>0</v>
      </c>
      <c r="G18" s="611">
        <v>337.5</v>
      </c>
      <c r="H18" s="1456">
        <v>44997</v>
      </c>
      <c r="I18" s="2131"/>
      <c r="J18" s="1904"/>
      <c r="K18" s="2128"/>
      <c r="L18" s="219"/>
      <c r="M18" s="190"/>
      <c r="N18" s="190"/>
    </row>
    <row r="19" spans="1:14" ht="15">
      <c r="A19" s="1456">
        <v>45030.000497685185</v>
      </c>
      <c r="B19" s="1456" t="s">
        <v>2518</v>
      </c>
      <c r="C19" s="1456" t="s">
        <v>4400</v>
      </c>
      <c r="D19" s="1461" t="s">
        <v>4710</v>
      </c>
      <c r="E19" s="1467">
        <v>-594.94000000000005</v>
      </c>
      <c r="F19" s="722">
        <v>0</v>
      </c>
      <c r="G19" s="611">
        <v>-594.94000000000005</v>
      </c>
      <c r="H19" s="1456"/>
      <c r="I19" s="2131"/>
      <c r="J19" s="1904"/>
      <c r="K19" s="2128"/>
      <c r="L19" s="219"/>
      <c r="M19" s="190"/>
      <c r="N19" s="190"/>
    </row>
    <row r="20" spans="1:14" ht="15">
      <c r="A20" s="1456">
        <v>45030.000497685185</v>
      </c>
      <c r="B20" s="1456" t="s">
        <v>2518</v>
      </c>
      <c r="C20" s="1456" t="s">
        <v>4400</v>
      </c>
      <c r="D20" s="1461" t="s">
        <v>4711</v>
      </c>
      <c r="E20" s="1467">
        <v>-1223.8</v>
      </c>
      <c r="F20" s="722">
        <v>0</v>
      </c>
      <c r="G20" s="611">
        <v>-1223.8</v>
      </c>
      <c r="H20" s="1456"/>
      <c r="I20" s="2132"/>
      <c r="J20" s="1905"/>
      <c r="K20" s="2129"/>
      <c r="L20" s="219"/>
      <c r="M20" s="190"/>
      <c r="N20" s="190"/>
    </row>
    <row r="21" spans="1:14" ht="15">
      <c r="A21" s="623">
        <v>45170</v>
      </c>
      <c r="B21" s="623" t="s">
        <v>2518</v>
      </c>
      <c r="C21" s="623" t="s">
        <v>4400</v>
      </c>
      <c r="D21" s="624" t="s">
        <v>5945</v>
      </c>
      <c r="E21" s="699">
        <v>603.84</v>
      </c>
      <c r="F21" s="700">
        <v>0</v>
      </c>
      <c r="G21" s="605">
        <v>603.84</v>
      </c>
      <c r="H21" s="623">
        <v>45230.000497685185</v>
      </c>
      <c r="I21" s="709"/>
      <c r="J21" s="623"/>
      <c r="K21" s="487"/>
      <c r="L21" s="219"/>
      <c r="M21" s="190"/>
      <c r="N21" s="190"/>
    </row>
    <row r="22" spans="1:14" ht="15">
      <c r="A22" s="623"/>
      <c r="B22" s="623"/>
      <c r="C22" s="623"/>
      <c r="D22" s="624"/>
      <c r="E22" s="699"/>
      <c r="F22" s="700"/>
      <c r="G22" s="605"/>
      <c r="H22" s="623"/>
      <c r="I22" s="709"/>
      <c r="J22" s="623"/>
      <c r="K22" s="487"/>
      <c r="L22" s="219"/>
      <c r="M22" s="190"/>
      <c r="N22" s="190"/>
    </row>
    <row r="23" spans="1:14" ht="15">
      <c r="A23" s="623"/>
      <c r="B23" s="623"/>
      <c r="C23" s="623"/>
      <c r="D23" s="624"/>
      <c r="E23" s="699"/>
      <c r="F23" s="700"/>
      <c r="G23" s="605"/>
      <c r="H23" s="623"/>
      <c r="I23" s="709"/>
      <c r="J23" s="623"/>
      <c r="K23" s="487"/>
      <c r="L23" s="219"/>
      <c r="M23" s="190"/>
      <c r="N23" s="190"/>
    </row>
    <row r="24" spans="1:14" ht="15">
      <c r="A24" s="623"/>
      <c r="B24" s="623"/>
      <c r="C24" s="623"/>
      <c r="D24" s="624"/>
      <c r="E24" s="699"/>
      <c r="F24" s="700"/>
      <c r="G24" s="605"/>
      <c r="H24" s="623"/>
      <c r="I24" s="709"/>
      <c r="J24" s="623"/>
      <c r="K24" s="487"/>
      <c r="L24" s="219"/>
      <c r="M24" s="190"/>
      <c r="N24" s="190"/>
    </row>
    <row r="25" spans="1:14" ht="15">
      <c r="A25" s="623"/>
      <c r="B25" s="623"/>
      <c r="C25" s="623"/>
      <c r="D25" s="624"/>
      <c r="E25" s="699"/>
      <c r="F25" s="700"/>
      <c r="G25" s="605"/>
      <c r="H25" s="623"/>
      <c r="I25" s="709"/>
      <c r="J25" s="623"/>
      <c r="K25" s="487"/>
      <c r="L25" s="219"/>
    </row>
    <row r="26" spans="1:14" ht="15">
      <c r="A26" s="623"/>
      <c r="B26" s="623"/>
      <c r="C26" s="623"/>
      <c r="D26" s="624"/>
      <c r="E26" s="699"/>
      <c r="F26" s="700"/>
      <c r="G26" s="605"/>
      <c r="H26" s="623"/>
      <c r="I26" s="709"/>
      <c r="J26" s="623"/>
      <c r="K26" s="487"/>
      <c r="L26" s="219"/>
    </row>
    <row r="27" spans="1:14" ht="15">
      <c r="A27" s="621"/>
      <c r="B27" s="1125"/>
      <c r="C27" s="1125"/>
      <c r="D27" s="619"/>
      <c r="E27" s="684"/>
      <c r="F27" s="1144" t="s">
        <v>545</v>
      </c>
      <c r="G27" s="657">
        <f>SUM(G2:G26)-SUM(I2:I26)</f>
        <v>603.84000000000378</v>
      </c>
      <c r="H27" s="620"/>
      <c r="I27" s="656"/>
      <c r="J27" s="620"/>
      <c r="K27" s="226"/>
      <c r="L27" s="113"/>
    </row>
  </sheetData>
  <mergeCells count="12">
    <mergeCell ref="K13:K20"/>
    <mergeCell ref="J13:J20"/>
    <mergeCell ref="I13:I20"/>
    <mergeCell ref="D3:D5"/>
    <mergeCell ref="A3:A5"/>
    <mergeCell ref="K5:K10"/>
    <mergeCell ref="J5:J10"/>
    <mergeCell ref="I5:I10"/>
    <mergeCell ref="F3:F5"/>
    <mergeCell ref="E3:E5"/>
    <mergeCell ref="C3:C5"/>
    <mergeCell ref="B3:B5"/>
  </mergeCells>
  <phoneticPr fontId="15" type="noConversion"/>
  <hyperlinks>
    <hyperlink ref="F27" location="汇总!A1" display="剩余欠款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L16"/>
  <sheetViews>
    <sheetView workbookViewId="0">
      <pane ySplit="1" topLeftCell="A2" activePane="bottomLeft" state="frozen"/>
      <selection activeCell="C33" sqref="C33"/>
      <selection pane="bottomLeft" activeCell="F16" sqref="F16"/>
    </sheetView>
  </sheetViews>
  <sheetFormatPr defaultRowHeight="14.25"/>
  <cols>
    <col min="1" max="1" width="11.375" bestFit="1" customWidth="1"/>
    <col min="2" max="3" width="11.375" customWidth="1"/>
    <col min="4" max="4" width="13" bestFit="1" customWidth="1"/>
    <col min="5" max="6" width="13" customWidth="1"/>
    <col min="7" max="7" width="11.375" bestFit="1" customWidth="1"/>
    <col min="8" max="8" width="16.625" bestFit="1" customWidth="1"/>
    <col min="9" max="9" width="14" bestFit="1" customWidth="1"/>
    <col min="10" max="11" width="11.375" bestFit="1" customWidth="1"/>
    <col min="12" max="12" width="6.5" bestFit="1" customWidth="1"/>
  </cols>
  <sheetData>
    <row r="1" spans="1:12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7" t="s">
        <v>2721</v>
      </c>
      <c r="H1" s="256" t="s">
        <v>4099</v>
      </c>
      <c r="I1" s="265" t="s">
        <v>3043</v>
      </c>
      <c r="J1" s="257" t="s">
        <v>4100</v>
      </c>
      <c r="K1" s="257" t="s">
        <v>541</v>
      </c>
      <c r="L1" s="256" t="s">
        <v>542</v>
      </c>
    </row>
    <row r="2" spans="1:12" ht="15">
      <c r="A2" s="641"/>
      <c r="B2" s="641"/>
      <c r="C2" s="641"/>
      <c r="D2" s="634"/>
      <c r="E2" s="634"/>
      <c r="F2" s="634"/>
      <c r="G2" s="634"/>
      <c r="H2" s="634"/>
      <c r="I2" s="634"/>
      <c r="J2" s="634"/>
      <c r="K2" s="226"/>
      <c r="L2" s="113"/>
    </row>
    <row r="3" spans="1:12" ht="15">
      <c r="A3" s="641"/>
      <c r="B3" s="641"/>
      <c r="C3" s="641"/>
      <c r="D3" s="634"/>
      <c r="E3" s="634"/>
      <c r="F3" s="634"/>
      <c r="G3" s="634"/>
      <c r="H3" s="634"/>
      <c r="I3" s="634"/>
      <c r="J3" s="634"/>
      <c r="K3" s="217"/>
      <c r="L3" s="113"/>
    </row>
    <row r="4" spans="1:12" ht="15">
      <c r="A4" s="641"/>
      <c r="B4" s="641"/>
      <c r="C4" s="641"/>
      <c r="D4" s="634"/>
      <c r="E4" s="634"/>
      <c r="F4" s="634"/>
      <c r="G4" s="634"/>
      <c r="H4" s="634"/>
      <c r="I4" s="634"/>
      <c r="J4" s="634"/>
      <c r="K4" s="217"/>
      <c r="L4" s="113"/>
    </row>
    <row r="5" spans="1:12" ht="15">
      <c r="A5" s="641"/>
      <c r="B5" s="641"/>
      <c r="C5" s="641"/>
      <c r="D5" s="634"/>
      <c r="E5" s="634"/>
      <c r="F5" s="634"/>
      <c r="G5" s="634"/>
      <c r="H5" s="634"/>
      <c r="I5" s="634"/>
      <c r="J5" s="634"/>
      <c r="K5" s="217"/>
      <c r="L5" s="113"/>
    </row>
    <row r="6" spans="1:12" ht="15">
      <c r="A6" s="641"/>
      <c r="B6" s="641"/>
      <c r="C6" s="641"/>
      <c r="D6" s="634"/>
      <c r="E6" s="634"/>
      <c r="F6" s="634"/>
      <c r="G6" s="634"/>
      <c r="H6" s="634"/>
      <c r="I6" s="634"/>
      <c r="J6" s="634"/>
      <c r="K6" s="217"/>
      <c r="L6" s="113"/>
    </row>
    <row r="7" spans="1:12" ht="15">
      <c r="A7" s="641"/>
      <c r="B7" s="641"/>
      <c r="C7" s="641"/>
      <c r="D7" s="634"/>
      <c r="E7" s="634"/>
      <c r="F7" s="634"/>
      <c r="G7" s="634"/>
      <c r="H7" s="634"/>
      <c r="I7" s="634"/>
      <c r="J7" s="634"/>
      <c r="K7" s="226"/>
      <c r="L7" s="113"/>
    </row>
    <row r="8" spans="1:12" ht="15">
      <c r="A8" s="641"/>
      <c r="B8" s="641"/>
      <c r="C8" s="641"/>
      <c r="D8" s="634"/>
      <c r="E8" s="634"/>
      <c r="F8" s="634"/>
      <c r="G8" s="634"/>
      <c r="H8" s="634"/>
      <c r="I8" s="634"/>
      <c r="J8" s="634"/>
      <c r="K8" s="226"/>
      <c r="L8" s="113"/>
    </row>
    <row r="9" spans="1:12" ht="15">
      <c r="A9" s="641"/>
      <c r="B9" s="641"/>
      <c r="C9" s="641"/>
      <c r="D9" s="634"/>
      <c r="E9" s="634"/>
      <c r="F9" s="634"/>
      <c r="G9" s="634"/>
      <c r="H9" s="634"/>
      <c r="I9" s="634"/>
      <c r="J9" s="634"/>
      <c r="K9" s="226"/>
      <c r="L9" s="113"/>
    </row>
    <row r="10" spans="1:12" ht="15">
      <c r="A10" s="641"/>
      <c r="B10" s="641"/>
      <c r="C10" s="641"/>
      <c r="D10" s="634"/>
      <c r="E10" s="634"/>
      <c r="F10" s="634"/>
      <c r="G10" s="634"/>
      <c r="H10" s="634"/>
      <c r="I10" s="634"/>
      <c r="J10" s="634"/>
      <c r="K10" s="226"/>
      <c r="L10" s="113"/>
    </row>
    <row r="11" spans="1:12" ht="15">
      <c r="A11" s="641"/>
      <c r="B11" s="641"/>
      <c r="C11" s="641"/>
      <c r="D11" s="634"/>
      <c r="E11" s="634"/>
      <c r="F11" s="634"/>
      <c r="G11" s="634"/>
      <c r="H11" s="634"/>
      <c r="I11" s="634"/>
      <c r="J11" s="634"/>
      <c r="K11" s="226"/>
      <c r="L11" s="113"/>
    </row>
    <row r="12" spans="1:12" ht="15">
      <c r="A12" s="641"/>
      <c r="B12" s="641"/>
      <c r="C12" s="641"/>
      <c r="D12" s="634"/>
      <c r="E12" s="634"/>
      <c r="F12" s="634"/>
      <c r="G12" s="634"/>
      <c r="H12" s="634"/>
      <c r="I12" s="634"/>
      <c r="J12" s="634"/>
      <c r="K12" s="226"/>
      <c r="L12" s="113"/>
    </row>
    <row r="13" spans="1:12" ht="15">
      <c r="A13" s="634"/>
      <c r="B13" s="634"/>
      <c r="C13" s="634"/>
      <c r="D13" s="634"/>
      <c r="E13" s="634"/>
      <c r="F13" s="634"/>
      <c r="G13" s="634"/>
      <c r="H13" s="634"/>
      <c r="I13" s="634"/>
      <c r="J13" s="634"/>
      <c r="K13" s="226"/>
      <c r="L13" s="113"/>
    </row>
    <row r="14" spans="1:12" ht="15">
      <c r="A14" s="641"/>
      <c r="B14" s="641"/>
      <c r="C14" s="641"/>
      <c r="D14" s="634"/>
      <c r="E14" s="634"/>
      <c r="F14" s="634"/>
      <c r="G14" s="634"/>
      <c r="H14" s="634"/>
      <c r="I14" s="634"/>
      <c r="J14" s="634"/>
      <c r="K14" s="226"/>
      <c r="L14" s="113"/>
    </row>
    <row r="15" spans="1:12" ht="15">
      <c r="A15" s="634"/>
      <c r="B15" s="634"/>
      <c r="C15" s="634"/>
      <c r="D15" s="634"/>
      <c r="E15" s="634"/>
      <c r="F15" s="634"/>
      <c r="G15" s="634"/>
      <c r="H15" s="634"/>
      <c r="I15" s="634"/>
      <c r="J15" s="634"/>
      <c r="K15" s="226"/>
      <c r="L15" s="113"/>
    </row>
    <row r="16" spans="1:12" ht="15">
      <c r="A16" s="634"/>
      <c r="B16" s="634"/>
      <c r="C16" s="634"/>
      <c r="D16" s="711"/>
      <c r="E16" s="711"/>
      <c r="F16" s="1144" t="s">
        <v>545</v>
      </c>
      <c r="G16" s="657">
        <f>SUM(G2:G15)</f>
        <v>0</v>
      </c>
      <c r="H16" s="634"/>
      <c r="I16" s="634"/>
      <c r="J16" s="634"/>
      <c r="K16" s="226"/>
      <c r="L16" s="113"/>
    </row>
  </sheetData>
  <phoneticPr fontId="15" type="noConversion"/>
  <hyperlinks>
    <hyperlink ref="F16" location="汇总!A1" display="剩余欠款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N52"/>
  <sheetViews>
    <sheetView zoomScaleNormal="100" workbookViewId="0">
      <pane ySplit="1" topLeftCell="A23" activePane="bottomLeft" state="frozen"/>
      <selection activeCell="C33" sqref="C33"/>
      <selection pane="bottomLeft" activeCell="F52" sqref="F52"/>
    </sheetView>
  </sheetViews>
  <sheetFormatPr defaultRowHeight="14.25"/>
  <cols>
    <col min="1" max="1" width="12" bestFit="1" customWidth="1"/>
    <col min="2" max="2" width="9" bestFit="1" customWidth="1"/>
    <col min="3" max="3" width="29.875" bestFit="1" customWidth="1"/>
    <col min="4" max="4" width="15" bestFit="1" customWidth="1"/>
    <col min="5" max="6" width="11.75" customWidth="1"/>
    <col min="7" max="7" width="12" bestFit="1" customWidth="1"/>
    <col min="8" max="8" width="16.75" bestFit="1" customWidth="1"/>
    <col min="9" max="9" width="16.25" bestFit="1" customWidth="1"/>
    <col min="10" max="10" width="15.125" bestFit="1" customWidth="1"/>
    <col min="11" max="11" width="16.125" bestFit="1" customWidth="1"/>
    <col min="12" max="12" width="41.375" customWidth="1"/>
  </cols>
  <sheetData>
    <row r="1" spans="1:14" s="96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7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6" t="s">
        <v>542</v>
      </c>
    </row>
    <row r="2" spans="1:14" ht="15">
      <c r="A2" s="620">
        <v>44652</v>
      </c>
      <c r="B2" s="1124" t="s">
        <v>521</v>
      </c>
      <c r="C2" s="1258" t="s">
        <v>4584</v>
      </c>
      <c r="D2" s="621" t="s">
        <v>1853</v>
      </c>
      <c r="E2" s="696">
        <v>2174.2399999999998</v>
      </c>
      <c r="F2" s="712">
        <v>0</v>
      </c>
      <c r="G2" s="639">
        <v>2174.2399999999998</v>
      </c>
      <c r="H2" s="620">
        <v>44652</v>
      </c>
      <c r="I2" s="639">
        <v>2174.2399999999998</v>
      </c>
      <c r="J2" s="620">
        <v>44662</v>
      </c>
      <c r="K2" s="361" t="s">
        <v>1929</v>
      </c>
      <c r="L2" s="166" t="s">
        <v>2714</v>
      </c>
    </row>
    <row r="3" spans="1:14" ht="15">
      <c r="A3" s="620">
        <v>44684</v>
      </c>
      <c r="B3" s="1124" t="s">
        <v>521</v>
      </c>
      <c r="C3" s="1258" t="s">
        <v>4584</v>
      </c>
      <c r="D3" s="621" t="s">
        <v>2033</v>
      </c>
      <c r="E3" s="696">
        <v>1100.83</v>
      </c>
      <c r="F3" s="696">
        <v>231.17</v>
      </c>
      <c r="G3" s="639">
        <v>1332</v>
      </c>
      <c r="H3" s="620">
        <v>44684</v>
      </c>
      <c r="I3" s="1912">
        <v>0</v>
      </c>
      <c r="J3" s="1918">
        <v>44770</v>
      </c>
      <c r="K3" s="2121" t="s">
        <v>2716</v>
      </c>
      <c r="L3" s="2135"/>
    </row>
    <row r="4" spans="1:14" ht="15">
      <c r="A4" s="620">
        <v>44698</v>
      </c>
      <c r="B4" s="1124" t="s">
        <v>521</v>
      </c>
      <c r="C4" s="1258" t="s">
        <v>4584</v>
      </c>
      <c r="D4" s="621" t="s">
        <v>2122</v>
      </c>
      <c r="E4" s="696">
        <v>-1100.83</v>
      </c>
      <c r="F4" s="696">
        <v>-231.17</v>
      </c>
      <c r="G4" s="639">
        <v>-1332</v>
      </c>
      <c r="H4" s="634"/>
      <c r="I4" s="1913"/>
      <c r="J4" s="1919"/>
      <c r="K4" s="2122"/>
      <c r="L4" s="2136"/>
    </row>
    <row r="5" spans="1:14" ht="15">
      <c r="A5" s="632">
        <v>44733</v>
      </c>
      <c r="B5" s="1124" t="s">
        <v>4116</v>
      </c>
      <c r="C5" s="1258" t="s">
        <v>4584</v>
      </c>
      <c r="D5" s="615" t="s">
        <v>2321</v>
      </c>
      <c r="E5" s="696">
        <v>963.97</v>
      </c>
      <c r="F5" s="696">
        <v>202.43</v>
      </c>
      <c r="G5" s="611">
        <v>1166.4000000000001</v>
      </c>
      <c r="H5" s="632">
        <v>44733</v>
      </c>
      <c r="I5" s="1913"/>
      <c r="J5" s="1919"/>
      <c r="K5" s="2122"/>
      <c r="L5" s="2136"/>
    </row>
    <row r="6" spans="1:14" ht="15">
      <c r="A6" s="632">
        <v>44767</v>
      </c>
      <c r="B6" s="1124" t="s">
        <v>4116</v>
      </c>
      <c r="C6" s="1258" t="s">
        <v>4584</v>
      </c>
      <c r="D6" s="615" t="s">
        <v>2587</v>
      </c>
      <c r="E6" s="696">
        <v>-1166.4000000000001</v>
      </c>
      <c r="F6" s="712">
        <v>0</v>
      </c>
      <c r="G6" s="611">
        <v>-1166.4000000000001</v>
      </c>
      <c r="H6" s="632"/>
      <c r="I6" s="1914"/>
      <c r="J6" s="1920"/>
      <c r="K6" s="2123"/>
      <c r="L6" s="2137"/>
    </row>
    <row r="7" spans="1:14" ht="15">
      <c r="A7" s="632">
        <v>44776</v>
      </c>
      <c r="B7" s="1124" t="s">
        <v>4116</v>
      </c>
      <c r="C7" s="1258" t="s">
        <v>4584</v>
      </c>
      <c r="D7" s="615" t="s">
        <v>2593</v>
      </c>
      <c r="E7" s="696">
        <v>455</v>
      </c>
      <c r="F7" s="712">
        <v>0</v>
      </c>
      <c r="G7" s="611">
        <v>455</v>
      </c>
      <c r="H7" s="632">
        <v>44777</v>
      </c>
      <c r="I7" s="611">
        <v>455</v>
      </c>
      <c r="J7" s="620">
        <v>44783</v>
      </c>
      <c r="K7" s="495" t="s">
        <v>1752</v>
      </c>
      <c r="L7" s="166" t="s">
        <v>2715</v>
      </c>
    </row>
    <row r="8" spans="1:14" ht="15">
      <c r="A8" s="632">
        <v>44778</v>
      </c>
      <c r="B8" s="1124" t="s">
        <v>4116</v>
      </c>
      <c r="C8" s="1258" t="s">
        <v>4584</v>
      </c>
      <c r="D8" s="615" t="s">
        <v>2594</v>
      </c>
      <c r="E8" s="696">
        <v>830.62</v>
      </c>
      <c r="F8" s="712">
        <v>0</v>
      </c>
      <c r="G8" s="611">
        <v>830.62</v>
      </c>
      <c r="H8" s="632">
        <v>44779</v>
      </c>
      <c r="I8" s="611">
        <v>830.62</v>
      </c>
      <c r="J8" s="620">
        <v>44783</v>
      </c>
      <c r="K8" s="495" t="s">
        <v>1752</v>
      </c>
      <c r="L8" s="166" t="s">
        <v>2715</v>
      </c>
    </row>
    <row r="9" spans="1:14" s="56" customFormat="1" ht="15">
      <c r="A9" s="1903">
        <v>44790.000497685185</v>
      </c>
      <c r="B9" s="1918" t="s">
        <v>4116</v>
      </c>
      <c r="C9" s="1903" t="s">
        <v>4584</v>
      </c>
      <c r="D9" s="1909" t="s">
        <v>2766</v>
      </c>
      <c r="E9" s="2081">
        <v>602.07000000000005</v>
      </c>
      <c r="F9" s="2117">
        <v>0</v>
      </c>
      <c r="G9" s="611">
        <v>600</v>
      </c>
      <c r="H9" s="632">
        <v>44791.000497685185</v>
      </c>
      <c r="I9" s="611">
        <v>600</v>
      </c>
      <c r="J9" s="632">
        <v>44806</v>
      </c>
      <c r="K9" s="576" t="s">
        <v>1752</v>
      </c>
      <c r="L9" s="166"/>
    </row>
    <row r="10" spans="1:14" s="56" customFormat="1" ht="15">
      <c r="A10" s="1905"/>
      <c r="B10" s="1920"/>
      <c r="C10" s="1920"/>
      <c r="D10" s="1911"/>
      <c r="E10" s="2082"/>
      <c r="F10" s="2118"/>
      <c r="G10" s="611">
        <f>602.07-600</f>
        <v>2.07000000000005</v>
      </c>
      <c r="H10" s="632"/>
      <c r="I10" s="1923">
        <v>2.08</v>
      </c>
      <c r="J10" s="1903">
        <v>44807</v>
      </c>
      <c r="K10" s="1935" t="s">
        <v>2939</v>
      </c>
      <c r="L10" s="166"/>
    </row>
    <row r="11" spans="1:14" s="56" customFormat="1" ht="15">
      <c r="A11" s="632">
        <v>44806</v>
      </c>
      <c r="B11" s="1124" t="s">
        <v>4116</v>
      </c>
      <c r="C11" s="1258" t="s">
        <v>4584</v>
      </c>
      <c r="D11" s="615" t="s">
        <v>2902</v>
      </c>
      <c r="E11" s="713">
        <v>0.01</v>
      </c>
      <c r="F11" s="714">
        <v>0</v>
      </c>
      <c r="G11" s="611">
        <v>0.01</v>
      </c>
      <c r="H11" s="632">
        <v>44807</v>
      </c>
      <c r="I11" s="1924"/>
      <c r="J11" s="1905"/>
      <c r="K11" s="1947"/>
      <c r="L11" s="166" t="s">
        <v>2897</v>
      </c>
    </row>
    <row r="12" spans="1:14" s="56" customFormat="1" ht="15">
      <c r="A12" s="829">
        <v>44818</v>
      </c>
      <c r="B12" s="1124" t="s">
        <v>521</v>
      </c>
      <c r="C12" s="1258" t="s">
        <v>4584</v>
      </c>
      <c r="D12" s="832" t="s">
        <v>2998</v>
      </c>
      <c r="E12" s="835">
        <v>1294.44</v>
      </c>
      <c r="F12" s="714">
        <v>0</v>
      </c>
      <c r="G12" s="611">
        <v>1294.44</v>
      </c>
      <c r="H12" s="829">
        <v>44819</v>
      </c>
      <c r="I12" s="611">
        <v>1294.44</v>
      </c>
      <c r="J12" s="829">
        <v>44837</v>
      </c>
      <c r="K12" s="828" t="s">
        <v>1752</v>
      </c>
      <c r="L12" s="166" t="s">
        <v>3246</v>
      </c>
    </row>
    <row r="13" spans="1:14" s="56" customFormat="1" ht="15">
      <c r="A13" s="860">
        <v>44834</v>
      </c>
      <c r="B13" s="1124" t="s">
        <v>521</v>
      </c>
      <c r="C13" s="1258" t="s">
        <v>4584</v>
      </c>
      <c r="D13" s="863" t="s">
        <v>3160</v>
      </c>
      <c r="E13" s="867">
        <v>1702.05</v>
      </c>
      <c r="F13" s="714">
        <v>0</v>
      </c>
      <c r="G13" s="611">
        <v>1702.05</v>
      </c>
      <c r="H13" s="860">
        <v>44835.000497685185</v>
      </c>
      <c r="I13" s="611">
        <v>1702.05</v>
      </c>
      <c r="J13" s="931">
        <v>44859</v>
      </c>
      <c r="K13" s="929" t="s">
        <v>1752</v>
      </c>
      <c r="L13" s="166" t="s">
        <v>3379</v>
      </c>
    </row>
    <row r="14" spans="1:14" s="56" customFormat="1" ht="15">
      <c r="A14" s="931">
        <v>44858</v>
      </c>
      <c r="B14" s="1124" t="s">
        <v>521</v>
      </c>
      <c r="C14" s="1258" t="s">
        <v>4584</v>
      </c>
      <c r="D14" s="936" t="s">
        <v>3344</v>
      </c>
      <c r="E14" s="957">
        <v>-45.36</v>
      </c>
      <c r="F14" s="714">
        <v>0</v>
      </c>
      <c r="G14" s="611">
        <v>-45.36</v>
      </c>
      <c r="H14" s="931">
        <v>44859</v>
      </c>
      <c r="I14" s="1923">
        <v>2091.6799999999998</v>
      </c>
      <c r="J14" s="1903">
        <v>44893</v>
      </c>
      <c r="K14" s="1935" t="s">
        <v>3640</v>
      </c>
      <c r="L14" s="166" t="s">
        <v>3347</v>
      </c>
      <c r="M14" s="190"/>
      <c r="N14" s="190"/>
    </row>
    <row r="15" spans="1:14" s="56" customFormat="1" ht="15">
      <c r="A15" s="931">
        <v>44859</v>
      </c>
      <c r="B15" s="1124" t="s">
        <v>521</v>
      </c>
      <c r="C15" s="1258" t="s">
        <v>4584</v>
      </c>
      <c r="D15" s="936" t="s">
        <v>3345</v>
      </c>
      <c r="E15" s="957">
        <v>2159.36</v>
      </c>
      <c r="F15" s="714">
        <v>0</v>
      </c>
      <c r="G15" s="611">
        <v>2159.36</v>
      </c>
      <c r="H15" s="931">
        <v>44860</v>
      </c>
      <c r="I15" s="1961"/>
      <c r="J15" s="1904"/>
      <c r="K15" s="1950"/>
      <c r="L15" s="166"/>
      <c r="M15" s="190"/>
      <c r="N15" s="190"/>
    </row>
    <row r="16" spans="1:14" s="56" customFormat="1" ht="15">
      <c r="A16" s="931">
        <v>44859</v>
      </c>
      <c r="B16" s="1124" t="s">
        <v>521</v>
      </c>
      <c r="C16" s="1258" t="s">
        <v>4584</v>
      </c>
      <c r="D16" s="936" t="s">
        <v>3346</v>
      </c>
      <c r="E16" s="957">
        <v>-22.32</v>
      </c>
      <c r="F16" s="714">
        <v>0</v>
      </c>
      <c r="G16" s="611">
        <v>-22.32</v>
      </c>
      <c r="H16" s="931"/>
      <c r="I16" s="1924"/>
      <c r="J16" s="1905"/>
      <c r="K16" s="1947"/>
      <c r="L16" s="166"/>
      <c r="M16" s="190"/>
      <c r="N16" s="190"/>
    </row>
    <row r="17" spans="1:14" s="56" customFormat="1" ht="15">
      <c r="A17" s="1903">
        <v>44890</v>
      </c>
      <c r="B17" s="1903" t="s">
        <v>521</v>
      </c>
      <c r="C17" s="1903" t="s">
        <v>4584</v>
      </c>
      <c r="D17" s="1909" t="s">
        <v>3523</v>
      </c>
      <c r="E17" s="2081">
        <v>2575.3000000000002</v>
      </c>
      <c r="F17" s="2117">
        <v>0</v>
      </c>
      <c r="G17" s="611">
        <v>1000</v>
      </c>
      <c r="H17" s="1258">
        <v>44891</v>
      </c>
      <c r="I17" s="611">
        <v>1000</v>
      </c>
      <c r="J17" s="1003">
        <v>44914</v>
      </c>
      <c r="K17" s="1002" t="s">
        <v>3807</v>
      </c>
      <c r="L17" s="219"/>
      <c r="M17" s="190"/>
      <c r="N17" s="190"/>
    </row>
    <row r="18" spans="1:14" s="56" customFormat="1" ht="15">
      <c r="A18" s="1905"/>
      <c r="B18" s="1905"/>
      <c r="C18" s="1905"/>
      <c r="D18" s="1911"/>
      <c r="E18" s="2082"/>
      <c r="F18" s="2118"/>
      <c r="G18" s="611">
        <f>2575.3-1000</f>
        <v>1575.3000000000002</v>
      </c>
      <c r="H18" s="1258">
        <v>44891</v>
      </c>
      <c r="I18" s="1923">
        <v>2130</v>
      </c>
      <c r="J18" s="1903">
        <v>44938</v>
      </c>
      <c r="K18" s="1935" t="s">
        <v>3926</v>
      </c>
      <c r="L18" s="219"/>
      <c r="M18" s="190"/>
      <c r="N18" s="190"/>
    </row>
    <row r="19" spans="1:14" s="56" customFormat="1" ht="15">
      <c r="A19" s="1903">
        <v>44910</v>
      </c>
      <c r="B19" s="1903" t="s">
        <v>521</v>
      </c>
      <c r="C19" s="1903" t="s">
        <v>4584</v>
      </c>
      <c r="D19" s="1909" t="s">
        <v>3690</v>
      </c>
      <c r="E19" s="2081">
        <v>1560.34</v>
      </c>
      <c r="F19" s="2117">
        <v>0</v>
      </c>
      <c r="G19" s="611">
        <v>554.70000000000005</v>
      </c>
      <c r="H19" s="1258">
        <v>44911</v>
      </c>
      <c r="I19" s="1924"/>
      <c r="J19" s="1905"/>
      <c r="K19" s="1947"/>
      <c r="L19" s="219"/>
    </row>
    <row r="20" spans="1:14" s="56" customFormat="1" ht="15">
      <c r="A20" s="1905"/>
      <c r="B20" s="1905"/>
      <c r="C20" s="1905"/>
      <c r="D20" s="1911"/>
      <c r="E20" s="2082"/>
      <c r="F20" s="2118"/>
      <c r="G20" s="611">
        <f>1560.34-554.7</f>
        <v>1005.6399999999999</v>
      </c>
      <c r="H20" s="1258">
        <v>44911</v>
      </c>
      <c r="I20" s="1951">
        <v>2000</v>
      </c>
      <c r="J20" s="1903">
        <v>44979</v>
      </c>
      <c r="K20" s="1935" t="s">
        <v>1752</v>
      </c>
      <c r="L20" s="219"/>
    </row>
    <row r="21" spans="1:14" s="56" customFormat="1" ht="15">
      <c r="A21" s="1903">
        <v>44928</v>
      </c>
      <c r="B21" s="1903" t="s">
        <v>2518</v>
      </c>
      <c r="C21" s="1903" t="s">
        <v>4584</v>
      </c>
      <c r="D21" s="1909" t="s">
        <v>3858</v>
      </c>
      <c r="E21" s="2081">
        <v>1044.54</v>
      </c>
      <c r="F21" s="2138">
        <v>0</v>
      </c>
      <c r="G21" s="611">
        <v>994.36</v>
      </c>
      <c r="H21" s="1258">
        <v>44929.000497685185</v>
      </c>
      <c r="I21" s="1953"/>
      <c r="J21" s="1905"/>
      <c r="K21" s="1947"/>
      <c r="L21" s="219"/>
    </row>
    <row r="22" spans="1:14" s="56" customFormat="1" ht="15">
      <c r="A22" s="1905"/>
      <c r="B22" s="1905"/>
      <c r="C22" s="1905"/>
      <c r="D22" s="1911"/>
      <c r="E22" s="2082"/>
      <c r="F22" s="2139"/>
      <c r="G22" s="611">
        <f>1044.54-994.36</f>
        <v>50.17999999999995</v>
      </c>
      <c r="H22" s="1258">
        <v>44929.000497685185</v>
      </c>
      <c r="I22" s="1951">
        <v>1727.38</v>
      </c>
      <c r="J22" s="1903">
        <v>45006</v>
      </c>
      <c r="K22" s="1935" t="s">
        <v>4579</v>
      </c>
      <c r="L22" s="219"/>
    </row>
    <row r="23" spans="1:14" s="56" customFormat="1" ht="15">
      <c r="A23" s="1258">
        <v>44942</v>
      </c>
      <c r="B23" s="1258" t="s">
        <v>2518</v>
      </c>
      <c r="C23" s="1258" t="s">
        <v>4584</v>
      </c>
      <c r="D23" s="1262" t="s">
        <v>3953</v>
      </c>
      <c r="E23" s="1267">
        <v>1677.2</v>
      </c>
      <c r="F23" s="714">
        <v>0</v>
      </c>
      <c r="G23" s="611">
        <v>1677.2</v>
      </c>
      <c r="H23" s="1258">
        <v>45002</v>
      </c>
      <c r="I23" s="1953"/>
      <c r="J23" s="1905"/>
      <c r="K23" s="1947"/>
      <c r="L23" s="219"/>
    </row>
    <row r="24" spans="1:14" s="56" customFormat="1" ht="15">
      <c r="A24" s="1321">
        <v>44979</v>
      </c>
      <c r="B24" s="1321" t="s">
        <v>2518</v>
      </c>
      <c r="C24" s="1321" t="s">
        <v>4844</v>
      </c>
      <c r="D24" s="1324" t="s">
        <v>4208</v>
      </c>
      <c r="E24" s="1332">
        <v>85.12</v>
      </c>
      <c r="F24" s="714">
        <v>0</v>
      </c>
      <c r="G24" s="611">
        <v>85.12</v>
      </c>
      <c r="H24" s="1321">
        <v>45039</v>
      </c>
      <c r="I24" s="1951">
        <v>3117.91</v>
      </c>
      <c r="J24" s="1903">
        <v>45036</v>
      </c>
      <c r="K24" s="1935" t="s">
        <v>4843</v>
      </c>
      <c r="L24" s="219"/>
    </row>
    <row r="25" spans="1:14" s="56" customFormat="1" ht="15">
      <c r="A25" s="1321">
        <v>44979</v>
      </c>
      <c r="B25" s="1321" t="s">
        <v>2518</v>
      </c>
      <c r="C25" s="1321" t="s">
        <v>4844</v>
      </c>
      <c r="D25" s="1324" t="s">
        <v>4209</v>
      </c>
      <c r="E25" s="1332">
        <v>3032.79</v>
      </c>
      <c r="F25" s="714">
        <v>0</v>
      </c>
      <c r="G25" s="611">
        <v>3032.79</v>
      </c>
      <c r="H25" s="1321">
        <v>45039</v>
      </c>
      <c r="I25" s="1953"/>
      <c r="J25" s="1905"/>
      <c r="K25" s="1947"/>
      <c r="L25" s="219"/>
    </row>
    <row r="26" spans="1:14" s="56" customFormat="1" ht="15">
      <c r="A26" s="1201">
        <v>44987</v>
      </c>
      <c r="B26" s="1201" t="s">
        <v>2518</v>
      </c>
      <c r="C26" s="1201" t="s">
        <v>4584</v>
      </c>
      <c r="D26" s="1202" t="s">
        <v>4351</v>
      </c>
      <c r="E26" s="1207">
        <v>0.34</v>
      </c>
      <c r="F26" s="714">
        <v>0</v>
      </c>
      <c r="G26" s="611">
        <v>0.34</v>
      </c>
      <c r="H26" s="1201">
        <v>44988</v>
      </c>
      <c r="I26" s="1951">
        <v>1.55</v>
      </c>
      <c r="J26" s="1903">
        <v>44991</v>
      </c>
      <c r="K26" s="1935" t="s">
        <v>4357</v>
      </c>
      <c r="L26" s="2051" t="s">
        <v>4356</v>
      </c>
    </row>
    <row r="27" spans="1:14" s="56" customFormat="1" ht="15">
      <c r="A27" s="1201">
        <v>44987</v>
      </c>
      <c r="B27" s="1201" t="s">
        <v>2518</v>
      </c>
      <c r="C27" s="1201" t="s">
        <v>4584</v>
      </c>
      <c r="D27" s="1202" t="s">
        <v>4352</v>
      </c>
      <c r="E27" s="1207">
        <v>0.28000000000000003</v>
      </c>
      <c r="F27" s="714">
        <v>0</v>
      </c>
      <c r="G27" s="611">
        <v>0.28000000000000003</v>
      </c>
      <c r="H27" s="1201">
        <v>44988</v>
      </c>
      <c r="I27" s="1952"/>
      <c r="J27" s="1904"/>
      <c r="K27" s="1950"/>
      <c r="L27" s="2052"/>
    </row>
    <row r="28" spans="1:14" s="56" customFormat="1" ht="15">
      <c r="A28" s="1201">
        <v>44987</v>
      </c>
      <c r="B28" s="1201" t="s">
        <v>2518</v>
      </c>
      <c r="C28" s="1201" t="s">
        <v>4584</v>
      </c>
      <c r="D28" s="1202" t="s">
        <v>4353</v>
      </c>
      <c r="E28" s="1207">
        <v>0.28000000000000003</v>
      </c>
      <c r="F28" s="714">
        <v>0</v>
      </c>
      <c r="G28" s="611">
        <v>0.28000000000000003</v>
      </c>
      <c r="H28" s="1201">
        <v>44988</v>
      </c>
      <c r="I28" s="1952"/>
      <c r="J28" s="1904"/>
      <c r="K28" s="1950"/>
      <c r="L28" s="2052"/>
    </row>
    <row r="29" spans="1:14" s="56" customFormat="1" ht="15">
      <c r="A29" s="1201">
        <v>44987</v>
      </c>
      <c r="B29" s="1201" t="s">
        <v>2518</v>
      </c>
      <c r="C29" s="1201" t="s">
        <v>4584</v>
      </c>
      <c r="D29" s="1202" t="s">
        <v>4354</v>
      </c>
      <c r="E29" s="1207">
        <v>0.38</v>
      </c>
      <c r="F29" s="714">
        <v>0</v>
      </c>
      <c r="G29" s="611">
        <v>0.38</v>
      </c>
      <c r="H29" s="1201">
        <v>44988</v>
      </c>
      <c r="I29" s="1952"/>
      <c r="J29" s="1904"/>
      <c r="K29" s="1950"/>
      <c r="L29" s="2052"/>
    </row>
    <row r="30" spans="1:14" s="56" customFormat="1" ht="15">
      <c r="A30" s="1201">
        <v>44987</v>
      </c>
      <c r="B30" s="1201" t="s">
        <v>2518</v>
      </c>
      <c r="C30" s="1201" t="s">
        <v>4584</v>
      </c>
      <c r="D30" s="1202" t="s">
        <v>4355</v>
      </c>
      <c r="E30" s="1207">
        <v>0.27</v>
      </c>
      <c r="F30" s="714">
        <v>0</v>
      </c>
      <c r="G30" s="611">
        <v>0.27</v>
      </c>
      <c r="H30" s="1201">
        <v>44988</v>
      </c>
      <c r="I30" s="1953"/>
      <c r="J30" s="1905"/>
      <c r="K30" s="1947"/>
      <c r="L30" s="2053"/>
    </row>
    <row r="31" spans="1:14" s="56" customFormat="1" ht="15">
      <c r="A31" s="1403">
        <v>45007</v>
      </c>
      <c r="B31" s="1403" t="s">
        <v>2518</v>
      </c>
      <c r="C31" s="1403" t="s">
        <v>5131</v>
      </c>
      <c r="D31" s="1405" t="s">
        <v>4541</v>
      </c>
      <c r="E31" s="1415">
        <v>2258.41</v>
      </c>
      <c r="F31" s="714">
        <v>0</v>
      </c>
      <c r="G31" s="611">
        <v>2258.41</v>
      </c>
      <c r="H31" s="1403">
        <v>45067</v>
      </c>
      <c r="I31" s="611">
        <v>2258.41</v>
      </c>
      <c r="J31" s="1403">
        <v>45061</v>
      </c>
      <c r="K31" s="1200" t="s">
        <v>5130</v>
      </c>
      <c r="L31" s="219"/>
    </row>
    <row r="32" spans="1:14" s="56" customFormat="1" ht="15" customHeight="1">
      <c r="A32" s="1456">
        <v>45040</v>
      </c>
      <c r="B32" s="1456" t="s">
        <v>2518</v>
      </c>
      <c r="C32" s="1456" t="s">
        <v>4401</v>
      </c>
      <c r="D32" s="1461" t="s">
        <v>4868</v>
      </c>
      <c r="E32" s="1467">
        <v>2379.3000000000002</v>
      </c>
      <c r="F32" s="714">
        <v>0</v>
      </c>
      <c r="G32" s="611">
        <v>2379.3000000000002</v>
      </c>
      <c r="H32" s="1456">
        <v>45100</v>
      </c>
      <c r="I32" s="1923">
        <v>1859.62</v>
      </c>
      <c r="J32" s="1903">
        <v>45086</v>
      </c>
      <c r="K32" s="1938" t="s">
        <v>5562</v>
      </c>
      <c r="L32" s="219"/>
    </row>
    <row r="33" spans="1:12" s="56" customFormat="1" ht="15">
      <c r="A33" s="1456">
        <v>45065</v>
      </c>
      <c r="B33" s="1456" t="s">
        <v>2518</v>
      </c>
      <c r="C33" s="1456" t="s">
        <v>4401</v>
      </c>
      <c r="D33" s="1461" t="s">
        <v>5084</v>
      </c>
      <c r="E33" s="1467">
        <v>-433.44</v>
      </c>
      <c r="F33" s="714">
        <v>0</v>
      </c>
      <c r="G33" s="611">
        <v>-433.44</v>
      </c>
      <c r="H33" s="1456"/>
      <c r="I33" s="1961"/>
      <c r="J33" s="1904"/>
      <c r="K33" s="2030"/>
      <c r="L33" s="219"/>
    </row>
    <row r="34" spans="1:12" s="56" customFormat="1" ht="15">
      <c r="A34" s="1456">
        <v>45065</v>
      </c>
      <c r="B34" s="1456" t="s">
        <v>2518</v>
      </c>
      <c r="C34" s="1456" t="s">
        <v>4401</v>
      </c>
      <c r="D34" s="1461" t="s">
        <v>5085</v>
      </c>
      <c r="E34" s="1467">
        <v>-83.3</v>
      </c>
      <c r="F34" s="714">
        <v>0</v>
      </c>
      <c r="G34" s="611">
        <v>-83.3</v>
      </c>
      <c r="H34" s="1456"/>
      <c r="I34" s="1961"/>
      <c r="J34" s="1904"/>
      <c r="K34" s="2030"/>
      <c r="L34" s="219"/>
    </row>
    <row r="35" spans="1:12" s="56" customFormat="1" ht="15">
      <c r="A35" s="1456">
        <v>45065</v>
      </c>
      <c r="B35" s="1456" t="s">
        <v>2518</v>
      </c>
      <c r="C35" s="1456" t="s">
        <v>4401</v>
      </c>
      <c r="D35" s="1461" t="s">
        <v>5086</v>
      </c>
      <c r="E35" s="1467">
        <v>-2.94</v>
      </c>
      <c r="F35" s="714">
        <v>0</v>
      </c>
      <c r="G35" s="611">
        <v>-2.94</v>
      </c>
      <c r="H35" s="1456"/>
      <c r="I35" s="1924"/>
      <c r="J35" s="1905"/>
      <c r="K35" s="2031"/>
      <c r="L35" s="219"/>
    </row>
    <row r="36" spans="1:12" s="56" customFormat="1" ht="28.5">
      <c r="A36" s="1903">
        <v>45063</v>
      </c>
      <c r="B36" s="1903" t="s">
        <v>2518</v>
      </c>
      <c r="C36" s="1903" t="s">
        <v>4401</v>
      </c>
      <c r="D36" s="1909" t="s">
        <v>5083</v>
      </c>
      <c r="E36" s="2081">
        <v>2057.65</v>
      </c>
      <c r="F36" s="2138">
        <v>0</v>
      </c>
      <c r="G36" s="611">
        <v>1966</v>
      </c>
      <c r="H36" s="1768">
        <v>45123</v>
      </c>
      <c r="I36" s="611">
        <v>1966</v>
      </c>
      <c r="J36" s="1507">
        <v>45114</v>
      </c>
      <c r="K36" s="1513" t="s">
        <v>6339</v>
      </c>
      <c r="L36" s="219"/>
    </row>
    <row r="37" spans="1:12" s="56" customFormat="1" ht="15">
      <c r="A37" s="1905"/>
      <c r="B37" s="1905"/>
      <c r="C37" s="1905"/>
      <c r="D37" s="1911"/>
      <c r="E37" s="2082"/>
      <c r="F37" s="2139"/>
      <c r="G37" s="611">
        <f>2057.65-1966</f>
        <v>91.650000000000091</v>
      </c>
      <c r="H37" s="1768">
        <v>45123</v>
      </c>
      <c r="I37" s="1951">
        <v>4500</v>
      </c>
      <c r="J37" s="1903">
        <v>45208</v>
      </c>
      <c r="K37" s="1938" t="s">
        <v>6340</v>
      </c>
      <c r="L37" s="219"/>
    </row>
    <row r="38" spans="1:12" s="56" customFormat="1" ht="15">
      <c r="A38" s="1768">
        <v>45076</v>
      </c>
      <c r="B38" s="1768" t="s">
        <v>2518</v>
      </c>
      <c r="C38" s="1768" t="s">
        <v>4401</v>
      </c>
      <c r="D38" s="1769" t="s">
        <v>5250</v>
      </c>
      <c r="E38" s="1772">
        <v>1111.5999999999999</v>
      </c>
      <c r="F38" s="714">
        <v>0</v>
      </c>
      <c r="G38" s="611">
        <v>1111.5999999999999</v>
      </c>
      <c r="H38" s="1768">
        <v>45136</v>
      </c>
      <c r="I38" s="1952"/>
      <c r="J38" s="1904"/>
      <c r="K38" s="1950"/>
      <c r="L38" s="219"/>
    </row>
    <row r="39" spans="1:12" s="56" customFormat="1" ht="15">
      <c r="A39" s="1768">
        <v>45091</v>
      </c>
      <c r="B39" s="1768" t="s">
        <v>2518</v>
      </c>
      <c r="C39" s="1768" t="s">
        <v>4401</v>
      </c>
      <c r="D39" s="1769" t="s">
        <v>5370</v>
      </c>
      <c r="E39" s="1772">
        <v>186.9</v>
      </c>
      <c r="F39" s="714">
        <v>0</v>
      </c>
      <c r="G39" s="611">
        <v>186.9</v>
      </c>
      <c r="H39" s="1768">
        <v>45151</v>
      </c>
      <c r="I39" s="1952"/>
      <c r="J39" s="1904"/>
      <c r="K39" s="1950"/>
      <c r="L39" s="219"/>
    </row>
    <row r="40" spans="1:12" s="56" customFormat="1" ht="15">
      <c r="A40" s="1768">
        <v>45092</v>
      </c>
      <c r="B40" s="1768" t="s">
        <v>2518</v>
      </c>
      <c r="C40" s="1768" t="s">
        <v>4401</v>
      </c>
      <c r="D40" s="1769" t="s">
        <v>5371</v>
      </c>
      <c r="E40" s="1772">
        <v>1890.56</v>
      </c>
      <c r="F40" s="714">
        <v>0</v>
      </c>
      <c r="G40" s="611">
        <v>1890.56</v>
      </c>
      <c r="H40" s="1768">
        <v>45152</v>
      </c>
      <c r="I40" s="1952"/>
      <c r="J40" s="1904"/>
      <c r="K40" s="1950"/>
      <c r="L40" s="219"/>
    </row>
    <row r="41" spans="1:12" s="56" customFormat="1" ht="15">
      <c r="A41" s="1941">
        <v>45125</v>
      </c>
      <c r="B41" s="1941" t="s">
        <v>5522</v>
      </c>
      <c r="C41" s="1941" t="s">
        <v>4401</v>
      </c>
      <c r="D41" s="1954" t="s">
        <v>5624</v>
      </c>
      <c r="E41" s="2108">
        <v>1736</v>
      </c>
      <c r="F41" s="2140">
        <v>0</v>
      </c>
      <c r="G41" s="611">
        <v>1219.29</v>
      </c>
      <c r="H41" s="1768">
        <v>45185</v>
      </c>
      <c r="I41" s="1953"/>
      <c r="J41" s="1905"/>
      <c r="K41" s="1947"/>
      <c r="L41" s="219"/>
    </row>
    <row r="42" spans="1:12" s="56" customFormat="1" ht="15">
      <c r="A42" s="1942"/>
      <c r="B42" s="1942"/>
      <c r="C42" s="1942"/>
      <c r="D42" s="1955"/>
      <c r="E42" s="2110"/>
      <c r="F42" s="2141"/>
      <c r="G42" s="605">
        <f>1736-1219.29</f>
        <v>516.71</v>
      </c>
      <c r="H42" s="623">
        <v>45185</v>
      </c>
      <c r="I42" s="611"/>
      <c r="J42" s="1768"/>
      <c r="K42" s="1766"/>
      <c r="L42" s="219"/>
    </row>
    <row r="43" spans="1:12" s="56" customFormat="1" ht="15">
      <c r="A43" s="623">
        <v>45155</v>
      </c>
      <c r="B43" s="623" t="s">
        <v>5522</v>
      </c>
      <c r="C43" s="623" t="s">
        <v>4401</v>
      </c>
      <c r="D43" s="624" t="s">
        <v>5889</v>
      </c>
      <c r="E43" s="699">
        <v>1759.49</v>
      </c>
      <c r="F43" s="710">
        <v>0</v>
      </c>
      <c r="G43" s="605">
        <v>1759.49</v>
      </c>
      <c r="H43" s="623">
        <v>45215</v>
      </c>
      <c r="I43" s="611"/>
      <c r="J43" s="1403"/>
      <c r="K43" s="1401"/>
      <c r="L43" s="219"/>
    </row>
    <row r="44" spans="1:12" s="56" customFormat="1" ht="15">
      <c r="A44" s="623">
        <v>45209</v>
      </c>
      <c r="B44" s="623" t="s">
        <v>2518</v>
      </c>
      <c r="C44" s="623" t="s">
        <v>4401</v>
      </c>
      <c r="D44" s="624" t="s">
        <v>6310</v>
      </c>
      <c r="E44" s="699">
        <v>1973.3</v>
      </c>
      <c r="F44" s="710">
        <v>0</v>
      </c>
      <c r="G44" s="605">
        <v>1973.3</v>
      </c>
      <c r="H44" s="623">
        <v>45268</v>
      </c>
      <c r="I44" s="611"/>
      <c r="J44" s="1629"/>
      <c r="K44" s="1630"/>
      <c r="L44" s="219"/>
    </row>
    <row r="45" spans="1:12" s="56" customFormat="1" ht="15">
      <c r="A45" s="623">
        <v>45236</v>
      </c>
      <c r="B45" s="623" t="s">
        <v>2518</v>
      </c>
      <c r="C45" s="623" t="s">
        <v>4401</v>
      </c>
      <c r="D45" s="624" t="s">
        <v>6516</v>
      </c>
      <c r="E45" s="699">
        <v>3687.85</v>
      </c>
      <c r="F45" s="710">
        <v>0</v>
      </c>
      <c r="G45" s="605">
        <v>3687.85</v>
      </c>
      <c r="H45" s="623">
        <v>45296</v>
      </c>
      <c r="I45" s="611"/>
      <c r="J45" s="1629"/>
      <c r="K45" s="1630"/>
      <c r="L45" s="219"/>
    </row>
    <row r="46" spans="1:12" s="56" customFormat="1" ht="15">
      <c r="A46" s="623"/>
      <c r="B46" s="623"/>
      <c r="C46" s="623"/>
      <c r="D46" s="624"/>
      <c r="E46" s="699"/>
      <c r="F46" s="710"/>
      <c r="G46" s="605"/>
      <c r="H46" s="623"/>
      <c r="I46" s="611"/>
      <c r="J46" s="1629"/>
      <c r="K46" s="1630"/>
      <c r="L46" s="219"/>
    </row>
    <row r="47" spans="1:12" s="56" customFormat="1" ht="15">
      <c r="A47" s="623"/>
      <c r="B47" s="623"/>
      <c r="C47" s="623"/>
      <c r="D47" s="624"/>
      <c r="E47" s="699"/>
      <c r="F47" s="710"/>
      <c r="G47" s="605"/>
      <c r="H47" s="623"/>
      <c r="I47" s="611"/>
      <c r="J47" s="1629"/>
      <c r="K47" s="1630"/>
      <c r="L47" s="219"/>
    </row>
    <row r="48" spans="1:12" s="56" customFormat="1" ht="15">
      <c r="A48" s="623"/>
      <c r="B48" s="623"/>
      <c r="C48" s="623"/>
      <c r="D48" s="624"/>
      <c r="E48" s="699"/>
      <c r="F48" s="710"/>
      <c r="G48" s="605"/>
      <c r="H48" s="623"/>
      <c r="I48" s="611"/>
      <c r="J48" s="1403"/>
      <c r="K48" s="1401"/>
      <c r="L48" s="219"/>
    </row>
    <row r="49" spans="1:12" s="56" customFormat="1" ht="15">
      <c r="A49" s="623"/>
      <c r="B49" s="623"/>
      <c r="C49" s="623"/>
      <c r="D49" s="624"/>
      <c r="E49" s="699"/>
      <c r="F49" s="710"/>
      <c r="G49" s="605"/>
      <c r="H49" s="623"/>
      <c r="I49" s="611"/>
      <c r="J49" s="1403"/>
      <c r="K49" s="1401"/>
      <c r="L49" s="219"/>
    </row>
    <row r="50" spans="1:12" s="56" customFormat="1" ht="15">
      <c r="A50" s="623"/>
      <c r="B50" s="623"/>
      <c r="C50" s="623"/>
      <c r="D50" s="624"/>
      <c r="E50" s="699"/>
      <c r="F50" s="710"/>
      <c r="G50" s="605"/>
      <c r="H50" s="623"/>
      <c r="I50" s="611"/>
      <c r="J50" s="1170"/>
      <c r="K50" s="1168"/>
      <c r="L50" s="219"/>
    </row>
    <row r="51" spans="1:12" s="56" customFormat="1" ht="15">
      <c r="A51" s="623"/>
      <c r="B51" s="623"/>
      <c r="C51" s="623"/>
      <c r="D51" s="624"/>
      <c r="E51" s="699"/>
      <c r="F51" s="710"/>
      <c r="G51" s="605"/>
      <c r="H51" s="623"/>
      <c r="I51" s="611"/>
      <c r="J51" s="1170"/>
      <c r="K51" s="1168"/>
      <c r="L51" s="219"/>
    </row>
    <row r="52" spans="1:12" ht="15">
      <c r="A52" s="634"/>
      <c r="B52" s="634"/>
      <c r="C52" s="634"/>
      <c r="D52" s="619"/>
      <c r="E52" s="619"/>
      <c r="F52" s="1144" t="s">
        <v>545</v>
      </c>
      <c r="G52" s="657">
        <f>SUM(G2:G51)-SUM(I2:I51)</f>
        <v>7937.3500000000131</v>
      </c>
      <c r="H52" s="634"/>
      <c r="I52" s="611"/>
      <c r="J52" s="708"/>
      <c r="K52" s="166"/>
      <c r="L52" s="113"/>
    </row>
  </sheetData>
  <mergeCells count="68">
    <mergeCell ref="A41:A42"/>
    <mergeCell ref="K37:K41"/>
    <mergeCell ref="J37:J41"/>
    <mergeCell ref="I37:I41"/>
    <mergeCell ref="I32:I35"/>
    <mergeCell ref="J32:J35"/>
    <mergeCell ref="K32:K35"/>
    <mergeCell ref="F41:F42"/>
    <mergeCell ref="E41:E42"/>
    <mergeCell ref="D41:D42"/>
    <mergeCell ref="C41:C42"/>
    <mergeCell ref="B41:B42"/>
    <mergeCell ref="A36:A37"/>
    <mergeCell ref="F36:F37"/>
    <mergeCell ref="E36:E37"/>
    <mergeCell ref="D36:D37"/>
    <mergeCell ref="I22:I23"/>
    <mergeCell ref="K22:K23"/>
    <mergeCell ref="J22:J23"/>
    <mergeCell ref="L26:L30"/>
    <mergeCell ref="I26:I30"/>
    <mergeCell ref="J26:J30"/>
    <mergeCell ref="K26:K30"/>
    <mergeCell ref="K24:K25"/>
    <mergeCell ref="J24:J25"/>
    <mergeCell ref="I24:I25"/>
    <mergeCell ref="A21:A22"/>
    <mergeCell ref="K20:K21"/>
    <mergeCell ref="J20:J21"/>
    <mergeCell ref="I20:I21"/>
    <mergeCell ref="F21:F22"/>
    <mergeCell ref="E21:E22"/>
    <mergeCell ref="D21:D22"/>
    <mergeCell ref="C21:C22"/>
    <mergeCell ref="B21:B22"/>
    <mergeCell ref="D19:D20"/>
    <mergeCell ref="A19:A20"/>
    <mergeCell ref="K18:K19"/>
    <mergeCell ref="D17:D18"/>
    <mergeCell ref="A17:A18"/>
    <mergeCell ref="B19:B20"/>
    <mergeCell ref="C17:C18"/>
    <mergeCell ref="C19:C20"/>
    <mergeCell ref="K14:K16"/>
    <mergeCell ref="J14:J16"/>
    <mergeCell ref="I14:I16"/>
    <mergeCell ref="F19:F20"/>
    <mergeCell ref="E19:E20"/>
    <mergeCell ref="F17:F18"/>
    <mergeCell ref="E17:E18"/>
    <mergeCell ref="J18:J19"/>
    <mergeCell ref="I18:I19"/>
    <mergeCell ref="C36:C37"/>
    <mergeCell ref="B36:B37"/>
    <mergeCell ref="L3:L6"/>
    <mergeCell ref="F9:F10"/>
    <mergeCell ref="A9:A10"/>
    <mergeCell ref="I10:I11"/>
    <mergeCell ref="K10:K11"/>
    <mergeCell ref="J10:J11"/>
    <mergeCell ref="I3:I6"/>
    <mergeCell ref="K3:K6"/>
    <mergeCell ref="J3:J6"/>
    <mergeCell ref="D9:D10"/>
    <mergeCell ref="C9:C10"/>
    <mergeCell ref="B9:B10"/>
    <mergeCell ref="E9:E10"/>
    <mergeCell ref="B17:B18"/>
  </mergeCells>
  <phoneticPr fontId="15" type="noConversion"/>
  <hyperlinks>
    <hyperlink ref="F52" location="汇总!A1" display="剩余欠款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N26"/>
  <sheetViews>
    <sheetView workbookViewId="0">
      <selection activeCell="F24" sqref="F24"/>
    </sheetView>
  </sheetViews>
  <sheetFormatPr defaultRowHeight="14.25"/>
  <cols>
    <col min="1" max="1" width="12" bestFit="1" customWidth="1"/>
    <col min="2" max="2" width="8.875" bestFit="1" customWidth="1"/>
    <col min="3" max="3" width="35.5" bestFit="1" customWidth="1"/>
    <col min="4" max="4" width="15" bestFit="1" customWidth="1"/>
    <col min="5" max="6" width="11.5" customWidth="1"/>
    <col min="7" max="7" width="12" style="114" bestFit="1" customWidth="1"/>
    <col min="8" max="8" width="16.75" bestFit="1" customWidth="1"/>
    <col min="9" max="9" width="14.125" bestFit="1" customWidth="1"/>
    <col min="10" max="10" width="12" bestFit="1" customWidth="1"/>
    <col min="11" max="11" width="11.375" bestFit="1" customWidth="1"/>
    <col min="12" max="12" width="48.125" customWidth="1"/>
    <col min="13" max="13" width="16.125" bestFit="1" customWidth="1"/>
  </cols>
  <sheetData>
    <row r="1" spans="1:14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7" t="s">
        <v>2721</v>
      </c>
      <c r="H1" s="256" t="s">
        <v>4099</v>
      </c>
      <c r="I1" s="265" t="s">
        <v>3043</v>
      </c>
      <c r="J1" s="257" t="s">
        <v>4100</v>
      </c>
      <c r="K1" s="257" t="s">
        <v>541</v>
      </c>
      <c r="L1" s="256" t="s">
        <v>542</v>
      </c>
    </row>
    <row r="2" spans="1:14" ht="15">
      <c r="A2" s="1918">
        <v>44657</v>
      </c>
      <c r="B2" s="1918" t="s">
        <v>521</v>
      </c>
      <c r="C2" s="1918" t="s">
        <v>4402</v>
      </c>
      <c r="D2" s="1929" t="s">
        <v>1854</v>
      </c>
      <c r="E2" s="2083">
        <v>5974.71</v>
      </c>
      <c r="F2" s="2078">
        <v>0</v>
      </c>
      <c r="G2" s="639">
        <v>2000</v>
      </c>
      <c r="H2" s="620">
        <v>44657</v>
      </c>
      <c r="I2" s="715">
        <v>2000</v>
      </c>
      <c r="J2" s="620">
        <v>44701</v>
      </c>
      <c r="K2" s="384" t="s">
        <v>2124</v>
      </c>
      <c r="L2" s="166" t="s">
        <v>2739</v>
      </c>
    </row>
    <row r="3" spans="1:14" ht="15">
      <c r="A3" s="1920"/>
      <c r="B3" s="1920"/>
      <c r="C3" s="1920"/>
      <c r="D3" s="1930"/>
      <c r="E3" s="2085"/>
      <c r="F3" s="2080"/>
      <c r="G3" s="639">
        <v>3974.71</v>
      </c>
      <c r="H3" s="620">
        <v>44657</v>
      </c>
      <c r="I3" s="1974">
        <v>4368.2</v>
      </c>
      <c r="J3" s="1918">
        <v>44732</v>
      </c>
      <c r="K3" s="1968" t="s">
        <v>2323</v>
      </c>
      <c r="L3" s="2051" t="s">
        <v>2740</v>
      </c>
    </row>
    <row r="4" spans="1:14" ht="15">
      <c r="A4" s="620">
        <v>44701</v>
      </c>
      <c r="B4" s="1124" t="s">
        <v>521</v>
      </c>
      <c r="C4" s="1124" t="s">
        <v>4402</v>
      </c>
      <c r="D4" s="621" t="s">
        <v>2123</v>
      </c>
      <c r="E4" s="696">
        <v>3395.48</v>
      </c>
      <c r="F4" s="694">
        <v>0</v>
      </c>
      <c r="G4" s="639">
        <v>3395.48</v>
      </c>
      <c r="H4" s="620">
        <v>44746</v>
      </c>
      <c r="I4" s="1975"/>
      <c r="J4" s="1919"/>
      <c r="K4" s="1962"/>
      <c r="L4" s="2052"/>
    </row>
    <row r="5" spans="1:14" ht="15">
      <c r="A5" s="620">
        <v>44715</v>
      </c>
      <c r="B5" s="1124" t="s">
        <v>521</v>
      </c>
      <c r="C5" s="1124" t="s">
        <v>4402</v>
      </c>
      <c r="D5" s="621" t="s">
        <v>2221</v>
      </c>
      <c r="E5" s="696">
        <v>-3001.99</v>
      </c>
      <c r="F5" s="694">
        <v>0</v>
      </c>
      <c r="G5" s="639">
        <v>-3001.99</v>
      </c>
      <c r="H5" s="620"/>
      <c r="I5" s="1976"/>
      <c r="J5" s="1920"/>
      <c r="K5" s="1957"/>
      <c r="L5" s="2053"/>
    </row>
    <row r="6" spans="1:14" ht="15">
      <c r="A6" s="1903">
        <v>44732</v>
      </c>
      <c r="B6" s="1918" t="s">
        <v>4116</v>
      </c>
      <c r="C6" s="1903" t="s">
        <v>4402</v>
      </c>
      <c r="D6" s="1909" t="s">
        <v>2322</v>
      </c>
      <c r="E6" s="2081">
        <v>2220.75</v>
      </c>
      <c r="F6" s="2117">
        <v>0</v>
      </c>
      <c r="G6" s="611">
        <f>2220.75-158.1</f>
        <v>2062.65</v>
      </c>
      <c r="H6" s="1321">
        <v>44732</v>
      </c>
      <c r="I6" s="716">
        <v>2062.65</v>
      </c>
      <c r="J6" s="1321">
        <v>44783</v>
      </c>
      <c r="K6" s="1319" t="s">
        <v>1752</v>
      </c>
      <c r="L6" s="113"/>
    </row>
    <row r="7" spans="1:14" ht="15">
      <c r="A7" s="1905"/>
      <c r="B7" s="1920"/>
      <c r="C7" s="1905"/>
      <c r="D7" s="1911"/>
      <c r="E7" s="2082"/>
      <c r="F7" s="2118"/>
      <c r="G7" s="611">
        <v>158.1</v>
      </c>
      <c r="H7" s="1321"/>
      <c r="I7" s="1921">
        <v>0</v>
      </c>
      <c r="J7" s="1903">
        <v>44775</v>
      </c>
      <c r="K7" s="1935" t="s">
        <v>2641</v>
      </c>
      <c r="L7" s="166" t="s">
        <v>2717</v>
      </c>
    </row>
    <row r="8" spans="1:14" ht="15">
      <c r="A8" s="632">
        <v>44718</v>
      </c>
      <c r="B8" s="1124" t="s">
        <v>521</v>
      </c>
      <c r="C8" s="1321" t="s">
        <v>4402</v>
      </c>
      <c r="D8" s="1324" t="s">
        <v>2259</v>
      </c>
      <c r="E8" s="1332">
        <v>-37.799999999999997</v>
      </c>
      <c r="F8" s="722">
        <v>0</v>
      </c>
      <c r="G8" s="611">
        <v>-37.799999999999997</v>
      </c>
      <c r="H8" s="1321">
        <v>44718</v>
      </c>
      <c r="I8" s="2037"/>
      <c r="J8" s="1904"/>
      <c r="K8" s="1950"/>
      <c r="L8" s="113" t="s">
        <v>2260</v>
      </c>
    </row>
    <row r="9" spans="1:14" ht="15">
      <c r="A9" s="632">
        <v>44775</v>
      </c>
      <c r="B9" s="1124" t="s">
        <v>4116</v>
      </c>
      <c r="C9" s="1321" t="s">
        <v>4402</v>
      </c>
      <c r="D9" s="1324" t="s">
        <v>2595</v>
      </c>
      <c r="E9" s="1332">
        <v>-120.3</v>
      </c>
      <c r="F9" s="722">
        <v>0</v>
      </c>
      <c r="G9" s="611">
        <v>-120.3</v>
      </c>
      <c r="H9" s="1321">
        <v>44775</v>
      </c>
      <c r="I9" s="1922"/>
      <c r="J9" s="1905"/>
      <c r="K9" s="1947"/>
      <c r="L9" s="166" t="s">
        <v>2596</v>
      </c>
    </row>
    <row r="10" spans="1:14" ht="15">
      <c r="A10" s="815">
        <v>44806</v>
      </c>
      <c r="B10" s="1124" t="s">
        <v>4116</v>
      </c>
      <c r="C10" s="1321" t="s">
        <v>4402</v>
      </c>
      <c r="D10" s="1324" t="s">
        <v>2903</v>
      </c>
      <c r="E10" s="1332">
        <v>0.01</v>
      </c>
      <c r="F10" s="649">
        <v>0</v>
      </c>
      <c r="G10" s="611">
        <v>0.01</v>
      </c>
      <c r="H10" s="1321">
        <v>44806</v>
      </c>
      <c r="I10" s="660">
        <v>0.01</v>
      </c>
      <c r="J10" s="1321">
        <v>44837</v>
      </c>
      <c r="K10" s="1319" t="s">
        <v>3205</v>
      </c>
      <c r="L10" s="166" t="s">
        <v>2897</v>
      </c>
    </row>
    <row r="11" spans="1:14" ht="15">
      <c r="A11" s="1321">
        <v>44875</v>
      </c>
      <c r="B11" s="1321" t="s">
        <v>521</v>
      </c>
      <c r="C11" s="1321" t="s">
        <v>4402</v>
      </c>
      <c r="D11" s="1324" t="s">
        <v>3437</v>
      </c>
      <c r="E11" s="1332">
        <v>1057.72</v>
      </c>
      <c r="F11" s="649">
        <v>0</v>
      </c>
      <c r="G11" s="611">
        <v>1057.73</v>
      </c>
      <c r="H11" s="1321">
        <v>44875</v>
      </c>
      <c r="I11" s="2130">
        <v>1249.74</v>
      </c>
      <c r="J11" s="1903">
        <v>45033</v>
      </c>
      <c r="K11" s="1938" t="s">
        <v>4846</v>
      </c>
      <c r="L11" s="166"/>
      <c r="M11" s="190"/>
      <c r="N11" s="190"/>
    </row>
    <row r="12" spans="1:14" ht="15">
      <c r="A12" s="1321">
        <v>44883</v>
      </c>
      <c r="B12" s="1321" t="s">
        <v>521</v>
      </c>
      <c r="C12" s="1321" t="s">
        <v>4402</v>
      </c>
      <c r="D12" s="1324" t="s">
        <v>3482</v>
      </c>
      <c r="E12" s="1332">
        <v>-787.34</v>
      </c>
      <c r="F12" s="649">
        <v>0</v>
      </c>
      <c r="G12" s="611">
        <v>-787.34</v>
      </c>
      <c r="H12" s="1321"/>
      <c r="I12" s="2131"/>
      <c r="J12" s="1904"/>
      <c r="K12" s="1950"/>
      <c r="L12" s="166"/>
      <c r="M12" s="190"/>
      <c r="N12" s="190"/>
    </row>
    <row r="13" spans="1:14" ht="15">
      <c r="A13" s="1321">
        <v>44883</v>
      </c>
      <c r="B13" s="1321" t="s">
        <v>521</v>
      </c>
      <c r="C13" s="1321" t="s">
        <v>4402</v>
      </c>
      <c r="D13" s="1324" t="s">
        <v>3483</v>
      </c>
      <c r="E13" s="1332">
        <v>-114.19</v>
      </c>
      <c r="F13" s="649">
        <v>0</v>
      </c>
      <c r="G13" s="611">
        <v>-114.19</v>
      </c>
      <c r="H13" s="1321"/>
      <c r="I13" s="2131"/>
      <c r="J13" s="1904"/>
      <c r="K13" s="1950"/>
      <c r="L13" s="166"/>
      <c r="M13" s="190"/>
      <c r="N13" s="190"/>
    </row>
    <row r="14" spans="1:14" ht="15">
      <c r="A14" s="1321">
        <v>44910</v>
      </c>
      <c r="B14" s="1321" t="s">
        <v>521</v>
      </c>
      <c r="C14" s="1321" t="s">
        <v>4402</v>
      </c>
      <c r="D14" s="1324" t="s">
        <v>3691</v>
      </c>
      <c r="E14" s="1332">
        <v>399.26</v>
      </c>
      <c r="F14" s="649">
        <v>0</v>
      </c>
      <c r="G14" s="611">
        <v>399.26</v>
      </c>
      <c r="H14" s="1321">
        <v>44910</v>
      </c>
      <c r="I14" s="2131"/>
      <c r="J14" s="1904"/>
      <c r="K14" s="1950"/>
      <c r="L14" s="166"/>
    </row>
    <row r="15" spans="1:14" ht="15">
      <c r="A15" s="1321">
        <v>45002</v>
      </c>
      <c r="B15" s="1321" t="s">
        <v>2518</v>
      </c>
      <c r="C15" s="1321" t="s">
        <v>4402</v>
      </c>
      <c r="D15" s="1324" t="s">
        <v>4491</v>
      </c>
      <c r="E15" s="1332">
        <v>694.28</v>
      </c>
      <c r="F15" s="649">
        <v>0</v>
      </c>
      <c r="G15" s="611">
        <v>694.28</v>
      </c>
      <c r="H15" s="1321">
        <v>45062</v>
      </c>
      <c r="I15" s="2132"/>
      <c r="J15" s="1905"/>
      <c r="K15" s="1947"/>
      <c r="L15" s="166"/>
    </row>
    <row r="16" spans="1:14" ht="15">
      <c r="A16" s="623">
        <v>45033</v>
      </c>
      <c r="B16" s="623" t="s">
        <v>2518</v>
      </c>
      <c r="C16" s="623" t="s">
        <v>4402</v>
      </c>
      <c r="D16" s="624" t="s">
        <v>4793</v>
      </c>
      <c r="E16" s="699">
        <v>538.20000000000005</v>
      </c>
      <c r="F16" s="644">
        <v>0</v>
      </c>
      <c r="G16" s="605">
        <v>538.20000000000005</v>
      </c>
      <c r="H16" s="623">
        <v>45093</v>
      </c>
      <c r="I16" s="660"/>
      <c r="J16" s="1321"/>
      <c r="K16" s="1319"/>
      <c r="L16" s="166"/>
    </row>
    <row r="17" spans="1:12" ht="15">
      <c r="A17" s="623">
        <v>45036</v>
      </c>
      <c r="B17" s="623" t="s">
        <v>2518</v>
      </c>
      <c r="C17" s="623" t="s">
        <v>4402</v>
      </c>
      <c r="D17" s="624" t="s">
        <v>4794</v>
      </c>
      <c r="E17" s="699">
        <v>-583.61</v>
      </c>
      <c r="F17" s="644">
        <v>0</v>
      </c>
      <c r="G17" s="605">
        <v>-583.61</v>
      </c>
      <c r="H17" s="623"/>
      <c r="I17" s="660"/>
      <c r="J17" s="1321"/>
      <c r="K17" s="1319"/>
      <c r="L17" s="166"/>
    </row>
    <row r="18" spans="1:12" ht="15">
      <c r="A18" s="623">
        <v>45036</v>
      </c>
      <c r="B18" s="623" t="s">
        <v>2518</v>
      </c>
      <c r="C18" s="623" t="s">
        <v>4402</v>
      </c>
      <c r="D18" s="624" t="s">
        <v>4795</v>
      </c>
      <c r="E18" s="699">
        <v>-1125.98</v>
      </c>
      <c r="F18" s="644">
        <v>0</v>
      </c>
      <c r="G18" s="605">
        <v>-1125.98</v>
      </c>
      <c r="H18" s="623"/>
      <c r="I18" s="660"/>
      <c r="J18" s="1321"/>
      <c r="K18" s="1319"/>
      <c r="L18" s="166"/>
    </row>
    <row r="19" spans="1:12" ht="15">
      <c r="A19" s="623">
        <v>45229</v>
      </c>
      <c r="B19" s="623" t="s">
        <v>2518</v>
      </c>
      <c r="C19" s="623" t="s">
        <v>4402</v>
      </c>
      <c r="D19" s="624" t="s">
        <v>6463</v>
      </c>
      <c r="E19" s="699">
        <v>1596.45</v>
      </c>
      <c r="F19" s="644">
        <v>0</v>
      </c>
      <c r="G19" s="605">
        <v>1596.45</v>
      </c>
      <c r="H19" s="623">
        <v>45289</v>
      </c>
      <c r="I19" s="660"/>
      <c r="J19" s="1321"/>
      <c r="K19" s="1319"/>
      <c r="L19" s="166"/>
    </row>
    <row r="20" spans="1:12" ht="15">
      <c r="A20" s="623"/>
      <c r="B20" s="623"/>
      <c r="C20" s="623"/>
      <c r="D20" s="624"/>
      <c r="E20" s="699"/>
      <c r="F20" s="644"/>
      <c r="G20" s="605"/>
      <c r="H20" s="623"/>
      <c r="I20" s="660"/>
      <c r="J20" s="1321"/>
      <c r="K20" s="1319"/>
      <c r="L20" s="166"/>
    </row>
    <row r="21" spans="1:12" ht="15">
      <c r="A21" s="623"/>
      <c r="B21" s="623"/>
      <c r="C21" s="623"/>
      <c r="D21" s="624"/>
      <c r="E21" s="699"/>
      <c r="F21" s="644"/>
      <c r="G21" s="605"/>
      <c r="H21" s="623"/>
      <c r="I21" s="660"/>
      <c r="J21" s="1321"/>
      <c r="K21" s="1319"/>
      <c r="L21" s="166"/>
    </row>
    <row r="22" spans="1:12" ht="15">
      <c r="A22" s="623"/>
      <c r="B22" s="623"/>
      <c r="C22" s="623"/>
      <c r="D22" s="624"/>
      <c r="E22" s="699"/>
      <c r="F22" s="644"/>
      <c r="G22" s="605"/>
      <c r="H22" s="623"/>
      <c r="I22" s="660"/>
      <c r="J22" s="1321"/>
      <c r="K22" s="1319"/>
      <c r="L22" s="166"/>
    </row>
    <row r="23" spans="1:12" ht="15">
      <c r="A23" s="623"/>
      <c r="B23" s="623"/>
      <c r="C23" s="623"/>
      <c r="D23" s="624"/>
      <c r="E23" s="699"/>
      <c r="F23" s="644"/>
      <c r="G23" s="605"/>
      <c r="H23" s="623"/>
      <c r="I23" s="660"/>
      <c r="J23" s="1321"/>
      <c r="K23" s="1319"/>
      <c r="L23" s="166"/>
    </row>
    <row r="24" spans="1:12" ht="15">
      <c r="A24" s="620"/>
      <c r="B24" s="1124"/>
      <c r="C24" s="1124"/>
      <c r="D24" s="621"/>
      <c r="E24" s="621"/>
      <c r="F24" s="1144" t="s">
        <v>545</v>
      </c>
      <c r="G24" s="651">
        <f>SUM(G2:G23)-SUM(I2:I23)</f>
        <v>425.06000000000313</v>
      </c>
      <c r="H24" s="620"/>
      <c r="I24" s="660"/>
      <c r="J24" s="1321"/>
      <c r="K24" s="1319"/>
      <c r="L24" s="166"/>
    </row>
    <row r="25" spans="1:12">
      <c r="K25" s="96"/>
    </row>
    <row r="26" spans="1:12">
      <c r="K26" s="96"/>
    </row>
  </sheetData>
  <mergeCells count="22">
    <mergeCell ref="K11:K15"/>
    <mergeCell ref="J11:J15"/>
    <mergeCell ref="I11:I15"/>
    <mergeCell ref="I3:I5"/>
    <mergeCell ref="A2:A3"/>
    <mergeCell ref="D2:D3"/>
    <mergeCell ref="C2:C3"/>
    <mergeCell ref="B2:B3"/>
    <mergeCell ref="A6:A7"/>
    <mergeCell ref="D6:D7"/>
    <mergeCell ref="K7:K9"/>
    <mergeCell ref="J7:J9"/>
    <mergeCell ref="I7:I9"/>
    <mergeCell ref="F6:F7"/>
    <mergeCell ref="E6:E7"/>
    <mergeCell ref="C6:C7"/>
    <mergeCell ref="B6:B7"/>
    <mergeCell ref="L3:L5"/>
    <mergeCell ref="K3:K5"/>
    <mergeCell ref="J3:J5"/>
    <mergeCell ref="F2:F3"/>
    <mergeCell ref="E2:E3"/>
  </mergeCells>
  <phoneticPr fontId="15" type="noConversion"/>
  <hyperlinks>
    <hyperlink ref="F24" location="汇总!A1" display="剩余欠款"/>
  </hyperlink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M34"/>
  <sheetViews>
    <sheetView workbookViewId="0">
      <pane ySplit="1" topLeftCell="A11" activePane="bottomLeft" state="frozen"/>
      <selection activeCell="C33" sqref="C33"/>
      <selection pane="bottomLeft" activeCell="F34" sqref="F34"/>
    </sheetView>
  </sheetViews>
  <sheetFormatPr defaultColWidth="8.75" defaultRowHeight="14.25"/>
  <cols>
    <col min="1" max="1" width="13.25" style="136" bestFit="1" customWidth="1"/>
    <col min="2" max="2" width="9" style="136" bestFit="1" customWidth="1"/>
    <col min="3" max="3" width="32" style="136" bestFit="1" customWidth="1"/>
    <col min="4" max="4" width="15" style="102" bestFit="1" customWidth="1"/>
    <col min="5" max="5" width="12.5" style="509" customWidth="1"/>
    <col min="6" max="6" width="10.875" style="509" customWidth="1"/>
    <col min="7" max="7" width="12" style="110" bestFit="1" customWidth="1"/>
    <col min="8" max="8" width="16.75" style="190" bestFit="1" customWidth="1"/>
    <col min="9" max="9" width="14.125" style="110" bestFit="1" customWidth="1"/>
    <col min="10" max="10" width="14.625" style="237" bestFit="1" customWidth="1"/>
    <col min="11" max="11" width="18.375" style="237" bestFit="1" customWidth="1"/>
    <col min="12" max="12" width="9.875" style="102" customWidth="1"/>
    <col min="13" max="13" width="13.875" style="102" bestFit="1" customWidth="1"/>
    <col min="14" max="16384" width="8.75" style="102"/>
  </cols>
  <sheetData>
    <row r="1" spans="1:13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257" t="s">
        <v>2719</v>
      </c>
      <c r="G1" s="256" t="s">
        <v>2721</v>
      </c>
      <c r="H1" s="256" t="s">
        <v>4099</v>
      </c>
      <c r="I1" s="265" t="s">
        <v>3043</v>
      </c>
      <c r="J1" s="257" t="s">
        <v>4100</v>
      </c>
      <c r="K1" s="257" t="s">
        <v>541</v>
      </c>
      <c r="L1" s="256" t="s">
        <v>542</v>
      </c>
    </row>
    <row r="2" spans="1:13" ht="15">
      <c r="A2" s="620">
        <v>44350</v>
      </c>
      <c r="B2" s="1124" t="s">
        <v>522</v>
      </c>
      <c r="C2" s="1124" t="s">
        <v>4406</v>
      </c>
      <c r="D2" s="621" t="s">
        <v>804</v>
      </c>
      <c r="E2" s="613">
        <v>813.87</v>
      </c>
      <c r="F2" s="614">
        <v>0</v>
      </c>
      <c r="G2" s="639">
        <v>813.87</v>
      </c>
      <c r="H2" s="620">
        <v>44350</v>
      </c>
      <c r="I2" s="2036">
        <v>2131.98</v>
      </c>
      <c r="J2" s="1948">
        <v>44529</v>
      </c>
      <c r="K2" s="1879" t="s">
        <v>550</v>
      </c>
      <c r="L2" s="88"/>
      <c r="M2" s="190"/>
    </row>
    <row r="3" spans="1:13" ht="15">
      <c r="A3" s="620">
        <v>44398</v>
      </c>
      <c r="B3" s="1124" t="s">
        <v>522</v>
      </c>
      <c r="C3" s="1124" t="s">
        <v>4406</v>
      </c>
      <c r="D3" s="621" t="s">
        <v>805</v>
      </c>
      <c r="E3" s="613">
        <v>1318.11</v>
      </c>
      <c r="F3" s="614">
        <v>0</v>
      </c>
      <c r="G3" s="639">
        <v>1318.11</v>
      </c>
      <c r="H3" s="620">
        <v>44398</v>
      </c>
      <c r="I3" s="2036"/>
      <c r="J3" s="1949"/>
      <c r="K3" s="1879"/>
      <c r="L3" s="88"/>
      <c r="M3" s="190"/>
    </row>
    <row r="4" spans="1:13" ht="15">
      <c r="A4" s="1918">
        <v>44442</v>
      </c>
      <c r="B4" s="1918" t="s">
        <v>522</v>
      </c>
      <c r="C4" s="1918" t="s">
        <v>4406</v>
      </c>
      <c r="D4" s="1929" t="s">
        <v>806</v>
      </c>
      <c r="E4" s="1915">
        <v>1157.3800000000001</v>
      </c>
      <c r="F4" s="1912">
        <v>0</v>
      </c>
      <c r="G4" s="639">
        <f>1157.38-12</f>
        <v>1145.3800000000001</v>
      </c>
      <c r="H4" s="620">
        <v>44442</v>
      </c>
      <c r="I4" s="680">
        <v>1145.3800000000001</v>
      </c>
      <c r="J4" s="620">
        <v>44557</v>
      </c>
      <c r="K4" s="1421" t="s">
        <v>550</v>
      </c>
      <c r="L4" s="88"/>
      <c r="M4" s="190"/>
    </row>
    <row r="5" spans="1:13" s="168" customFormat="1" ht="15">
      <c r="A5" s="1920"/>
      <c r="B5" s="1920"/>
      <c r="C5" s="1920"/>
      <c r="D5" s="1930"/>
      <c r="E5" s="1917"/>
      <c r="F5" s="1914"/>
      <c r="G5" s="639">
        <v>12</v>
      </c>
      <c r="H5" s="620"/>
      <c r="I5" s="680">
        <v>12</v>
      </c>
      <c r="J5" s="620">
        <v>44558</v>
      </c>
      <c r="K5" s="1421" t="s">
        <v>809</v>
      </c>
      <c r="L5" s="226"/>
      <c r="M5" s="190"/>
    </row>
    <row r="6" spans="1:13" ht="15">
      <c r="A6" s="620">
        <v>44454</v>
      </c>
      <c r="B6" s="1124" t="s">
        <v>522</v>
      </c>
      <c r="C6" s="1124" t="s">
        <v>4406</v>
      </c>
      <c r="D6" s="621" t="s">
        <v>807</v>
      </c>
      <c r="E6" s="613">
        <v>7691.39</v>
      </c>
      <c r="F6" s="614">
        <v>0</v>
      </c>
      <c r="G6" s="639">
        <v>7691.39</v>
      </c>
      <c r="H6" s="620">
        <v>44454</v>
      </c>
      <c r="I6" s="1912">
        <v>0</v>
      </c>
      <c r="J6" s="1929"/>
      <c r="K6" s="1968" t="s">
        <v>4149</v>
      </c>
      <c r="L6" s="88"/>
      <c r="M6" s="190"/>
    </row>
    <row r="7" spans="1:13" ht="15">
      <c r="A7" s="620">
        <v>44456</v>
      </c>
      <c r="B7" s="1124" t="s">
        <v>522</v>
      </c>
      <c r="C7" s="1124" t="s">
        <v>4406</v>
      </c>
      <c r="D7" s="621" t="s">
        <v>808</v>
      </c>
      <c r="E7" s="613">
        <v>-7691.39</v>
      </c>
      <c r="F7" s="614">
        <v>0</v>
      </c>
      <c r="G7" s="639">
        <v>-7691.39</v>
      </c>
      <c r="H7" s="620" t="s">
        <v>1529</v>
      </c>
      <c r="I7" s="1914"/>
      <c r="J7" s="1930"/>
      <c r="K7" s="1957"/>
      <c r="L7" s="88"/>
      <c r="M7" s="190"/>
    </row>
    <row r="8" spans="1:13" ht="15">
      <c r="A8" s="620">
        <v>44489</v>
      </c>
      <c r="B8" s="1124" t="s">
        <v>522</v>
      </c>
      <c r="C8" s="1124" t="s">
        <v>4406</v>
      </c>
      <c r="D8" s="621" t="s">
        <v>810</v>
      </c>
      <c r="E8" s="613">
        <v>1224.1099999999999</v>
      </c>
      <c r="F8" s="614">
        <v>0</v>
      </c>
      <c r="G8" s="639">
        <v>1224.1099999999999</v>
      </c>
      <c r="H8" s="620">
        <v>44489</v>
      </c>
      <c r="I8" s="613">
        <v>1224.1099999999999</v>
      </c>
      <c r="J8" s="620">
        <v>44620</v>
      </c>
      <c r="K8" s="1421" t="s">
        <v>550</v>
      </c>
      <c r="L8" s="88"/>
      <c r="M8" s="190"/>
    </row>
    <row r="9" spans="1:13" ht="15">
      <c r="A9" s="620">
        <v>44525</v>
      </c>
      <c r="B9" s="1124" t="s">
        <v>522</v>
      </c>
      <c r="C9" s="1124" t="s">
        <v>4406</v>
      </c>
      <c r="D9" s="621" t="s">
        <v>811</v>
      </c>
      <c r="E9" s="613">
        <v>994.9</v>
      </c>
      <c r="F9" s="614">
        <v>0</v>
      </c>
      <c r="G9" s="639">
        <v>994.9</v>
      </c>
      <c r="H9" s="620">
        <v>44525</v>
      </c>
      <c r="I9" s="613">
        <v>994.9</v>
      </c>
      <c r="J9" s="620">
        <v>44655</v>
      </c>
      <c r="K9" s="1421" t="s">
        <v>550</v>
      </c>
      <c r="L9" s="88"/>
      <c r="M9" s="190"/>
    </row>
    <row r="10" spans="1:13" ht="15">
      <c r="A10" s="620">
        <v>44544</v>
      </c>
      <c r="B10" s="1124" t="s">
        <v>522</v>
      </c>
      <c r="C10" s="1124" t="s">
        <v>4406</v>
      </c>
      <c r="D10" s="621" t="s">
        <v>812</v>
      </c>
      <c r="E10" s="613">
        <v>-80.64</v>
      </c>
      <c r="F10" s="614">
        <v>0</v>
      </c>
      <c r="G10" s="639">
        <v>-80.64</v>
      </c>
      <c r="H10" s="620"/>
      <c r="I10" s="680">
        <v>-80.64</v>
      </c>
      <c r="J10" s="620">
        <v>44684</v>
      </c>
      <c r="K10" s="1421" t="s">
        <v>550</v>
      </c>
      <c r="L10" s="88"/>
      <c r="M10" s="190"/>
    </row>
    <row r="11" spans="1:13" ht="15">
      <c r="A11" s="620">
        <v>44544</v>
      </c>
      <c r="B11" s="1124" t="s">
        <v>522</v>
      </c>
      <c r="C11" s="1124" t="s">
        <v>4406</v>
      </c>
      <c r="D11" s="621" t="s">
        <v>813</v>
      </c>
      <c r="E11" s="613">
        <v>-140.28</v>
      </c>
      <c r="F11" s="614">
        <v>0</v>
      </c>
      <c r="G11" s="639">
        <v>-140.28</v>
      </c>
      <c r="H11" s="620"/>
      <c r="I11" s="680">
        <v>-140.28</v>
      </c>
      <c r="J11" s="620">
        <v>44684</v>
      </c>
      <c r="K11" s="1421" t="s">
        <v>550</v>
      </c>
      <c r="L11" s="88"/>
      <c r="M11" s="190"/>
    </row>
    <row r="12" spans="1:13" ht="15">
      <c r="A12" s="620">
        <v>44558</v>
      </c>
      <c r="B12" s="1124" t="s">
        <v>522</v>
      </c>
      <c r="C12" s="1124" t="s">
        <v>4406</v>
      </c>
      <c r="D12" s="621" t="s">
        <v>814</v>
      </c>
      <c r="E12" s="613">
        <v>2250.65</v>
      </c>
      <c r="F12" s="614">
        <v>0</v>
      </c>
      <c r="G12" s="639">
        <v>2250.65</v>
      </c>
      <c r="H12" s="620">
        <v>44558</v>
      </c>
      <c r="I12" s="639">
        <v>2250.65</v>
      </c>
      <c r="J12" s="620">
        <v>44655</v>
      </c>
      <c r="K12" s="1421" t="s">
        <v>550</v>
      </c>
      <c r="L12" s="88"/>
      <c r="M12" s="190"/>
    </row>
    <row r="13" spans="1:13" ht="15">
      <c r="A13" s="620">
        <v>44585</v>
      </c>
      <c r="B13" s="1124" t="s">
        <v>522</v>
      </c>
      <c r="C13" s="1124" t="s">
        <v>4406</v>
      </c>
      <c r="D13" s="621" t="s">
        <v>815</v>
      </c>
      <c r="E13" s="613">
        <v>872.8</v>
      </c>
      <c r="F13" s="614">
        <v>0</v>
      </c>
      <c r="G13" s="639">
        <v>872.8</v>
      </c>
      <c r="H13" s="620">
        <v>44585</v>
      </c>
      <c r="I13" s="639">
        <v>872.8</v>
      </c>
      <c r="J13" s="620">
        <v>44684</v>
      </c>
      <c r="K13" s="1421" t="s">
        <v>550</v>
      </c>
      <c r="L13" s="88"/>
      <c r="M13" s="190"/>
    </row>
    <row r="14" spans="1:13" ht="15">
      <c r="A14" s="620">
        <v>44593</v>
      </c>
      <c r="B14" s="1124" t="s">
        <v>522</v>
      </c>
      <c r="C14" s="1124" t="s">
        <v>4406</v>
      </c>
      <c r="D14" s="621" t="s">
        <v>816</v>
      </c>
      <c r="E14" s="613">
        <v>724.53</v>
      </c>
      <c r="F14" s="614">
        <v>0</v>
      </c>
      <c r="G14" s="639">
        <v>724.53</v>
      </c>
      <c r="H14" s="620">
        <v>44593</v>
      </c>
      <c r="I14" s="639">
        <v>724.53</v>
      </c>
      <c r="J14" s="620">
        <v>44684</v>
      </c>
      <c r="K14" s="1421" t="s">
        <v>550</v>
      </c>
      <c r="L14" s="226"/>
      <c r="M14" s="190"/>
    </row>
    <row r="15" spans="1:13" ht="15">
      <c r="A15" s="1948">
        <v>44613</v>
      </c>
      <c r="B15" s="1918" t="s">
        <v>521</v>
      </c>
      <c r="C15" s="1918" t="s">
        <v>4406</v>
      </c>
      <c r="D15" s="1949" t="s">
        <v>817</v>
      </c>
      <c r="E15" s="1915">
        <v>912</v>
      </c>
      <c r="F15" s="1912">
        <v>0</v>
      </c>
      <c r="G15" s="639">
        <v>553.59</v>
      </c>
      <c r="H15" s="620">
        <v>44613</v>
      </c>
      <c r="I15" s="639">
        <v>553.59</v>
      </c>
      <c r="J15" s="620">
        <v>44684</v>
      </c>
      <c r="K15" s="1421" t="s">
        <v>550</v>
      </c>
      <c r="L15" s="226"/>
      <c r="M15" s="190"/>
    </row>
    <row r="16" spans="1:13" s="168" customFormat="1" ht="15">
      <c r="A16" s="1948"/>
      <c r="B16" s="1920"/>
      <c r="C16" s="1920"/>
      <c r="D16" s="1949"/>
      <c r="E16" s="1917"/>
      <c r="F16" s="1914"/>
      <c r="G16" s="611">
        <f>912-553.59</f>
        <v>358.40999999999997</v>
      </c>
      <c r="H16" s="632">
        <v>44613</v>
      </c>
      <c r="I16" s="1912">
        <v>0</v>
      </c>
      <c r="J16" s="1918">
        <v>44775</v>
      </c>
      <c r="K16" s="1968" t="s">
        <v>2639</v>
      </c>
      <c r="L16" s="226"/>
      <c r="M16" s="190"/>
    </row>
    <row r="17" spans="1:13" s="168" customFormat="1" ht="15">
      <c r="A17" s="632">
        <v>44698</v>
      </c>
      <c r="B17" s="1124" t="s">
        <v>521</v>
      </c>
      <c r="C17" s="1124" t="s">
        <v>4406</v>
      </c>
      <c r="D17" s="615" t="s">
        <v>2125</v>
      </c>
      <c r="E17" s="613">
        <v>-846.83</v>
      </c>
      <c r="F17" s="614">
        <v>0</v>
      </c>
      <c r="G17" s="611">
        <v>-846.83</v>
      </c>
      <c r="H17" s="632"/>
      <c r="I17" s="1913"/>
      <c r="J17" s="1919"/>
      <c r="K17" s="1962"/>
      <c r="L17" s="226"/>
      <c r="M17" s="190"/>
    </row>
    <row r="18" spans="1:13" ht="15">
      <c r="A18" s="2040">
        <v>44684</v>
      </c>
      <c r="B18" s="1918" t="s">
        <v>521</v>
      </c>
      <c r="C18" s="1918" t="s">
        <v>4406</v>
      </c>
      <c r="D18" s="2142" t="s">
        <v>2034</v>
      </c>
      <c r="E18" s="1923">
        <v>547.71</v>
      </c>
      <c r="F18" s="1921">
        <v>0</v>
      </c>
      <c r="G18" s="611">
        <v>488.42</v>
      </c>
      <c r="H18" s="632">
        <v>44684</v>
      </c>
      <c r="I18" s="1914"/>
      <c r="J18" s="1920"/>
      <c r="K18" s="1957"/>
      <c r="L18" s="226"/>
      <c r="M18" s="190"/>
    </row>
    <row r="19" spans="1:13" s="168" customFormat="1" ht="15">
      <c r="A19" s="2040"/>
      <c r="B19" s="1920"/>
      <c r="C19" s="1920"/>
      <c r="D19" s="2142"/>
      <c r="E19" s="1924"/>
      <c r="F19" s="1922"/>
      <c r="G19" s="611">
        <f>547.71-488.42</f>
        <v>59.29000000000002</v>
      </c>
      <c r="H19" s="632">
        <v>44684</v>
      </c>
      <c r="I19" s="1915">
        <v>2301.86</v>
      </c>
      <c r="J19" s="1918">
        <v>44783</v>
      </c>
      <c r="K19" s="1968" t="s">
        <v>2720</v>
      </c>
      <c r="L19" s="226"/>
      <c r="M19" s="190"/>
    </row>
    <row r="20" spans="1:13" ht="15">
      <c r="A20" s="632">
        <v>44641</v>
      </c>
      <c r="B20" s="1124" t="s">
        <v>521</v>
      </c>
      <c r="C20" s="1124" t="s">
        <v>4406</v>
      </c>
      <c r="D20" s="615" t="s">
        <v>1772</v>
      </c>
      <c r="E20" s="609">
        <v>462.17</v>
      </c>
      <c r="F20" s="610">
        <v>0</v>
      </c>
      <c r="G20" s="611">
        <v>462.17</v>
      </c>
      <c r="H20" s="632">
        <v>44641</v>
      </c>
      <c r="I20" s="1916"/>
      <c r="J20" s="1919"/>
      <c r="K20" s="1962"/>
      <c r="L20" s="88"/>
      <c r="M20" s="190"/>
    </row>
    <row r="21" spans="1:13" s="168" customFormat="1" ht="15">
      <c r="A21" s="632">
        <v>44698</v>
      </c>
      <c r="B21" s="1124" t="s">
        <v>521</v>
      </c>
      <c r="C21" s="1124" t="s">
        <v>4406</v>
      </c>
      <c r="D21" s="615" t="s">
        <v>2126</v>
      </c>
      <c r="E21" s="609">
        <v>-1235.47</v>
      </c>
      <c r="F21" s="610">
        <v>0</v>
      </c>
      <c r="G21" s="611">
        <v>-1235.47</v>
      </c>
      <c r="H21" s="632"/>
      <c r="I21" s="1916"/>
      <c r="J21" s="1919"/>
      <c r="K21" s="1962"/>
      <c r="L21" s="226"/>
      <c r="M21" s="190"/>
    </row>
    <row r="22" spans="1:13" s="168" customFormat="1" ht="15">
      <c r="A22" s="632">
        <v>44705</v>
      </c>
      <c r="B22" s="1124" t="s">
        <v>521</v>
      </c>
      <c r="C22" s="1124" t="s">
        <v>4406</v>
      </c>
      <c r="D22" s="615" t="s">
        <v>2166</v>
      </c>
      <c r="E22" s="609">
        <v>2101.4</v>
      </c>
      <c r="F22" s="610">
        <v>0</v>
      </c>
      <c r="G22" s="611">
        <v>2101.4</v>
      </c>
      <c r="H22" s="632">
        <v>44705</v>
      </c>
      <c r="I22" s="1916"/>
      <c r="J22" s="1919"/>
      <c r="K22" s="1962"/>
      <c r="L22" s="226"/>
      <c r="M22" s="190"/>
    </row>
    <row r="23" spans="1:13" s="168" customFormat="1" ht="15">
      <c r="A23" s="1903">
        <v>44711</v>
      </c>
      <c r="B23" s="1918" t="s">
        <v>521</v>
      </c>
      <c r="C23" s="1918" t="s">
        <v>4406</v>
      </c>
      <c r="D23" s="1909" t="s">
        <v>2222</v>
      </c>
      <c r="E23" s="1923">
        <v>1735.05</v>
      </c>
      <c r="F23" s="1927">
        <v>0</v>
      </c>
      <c r="G23" s="611">
        <v>914.47</v>
      </c>
      <c r="H23" s="1065">
        <v>44711</v>
      </c>
      <c r="I23" s="1917"/>
      <c r="J23" s="1920"/>
      <c r="K23" s="1957"/>
      <c r="L23" s="226"/>
      <c r="M23" s="190"/>
    </row>
    <row r="24" spans="1:13" s="168" customFormat="1" ht="15">
      <c r="A24" s="1905"/>
      <c r="B24" s="1920"/>
      <c r="C24" s="1920"/>
      <c r="D24" s="1911"/>
      <c r="E24" s="1924"/>
      <c r="F24" s="1928"/>
      <c r="G24" s="611">
        <f>1735.05-914.47</f>
        <v>820.57999999999993</v>
      </c>
      <c r="H24" s="1065">
        <v>44711</v>
      </c>
      <c r="I24" s="1915">
        <v>838.21</v>
      </c>
      <c r="J24" s="1918">
        <v>44944</v>
      </c>
      <c r="K24" s="1968" t="s">
        <v>3998</v>
      </c>
      <c r="L24" s="226"/>
      <c r="M24" s="190"/>
    </row>
    <row r="25" spans="1:13" s="168" customFormat="1" ht="15">
      <c r="A25" s="1941">
        <v>44783.000497685185</v>
      </c>
      <c r="B25" s="1941" t="s">
        <v>2518</v>
      </c>
      <c r="C25" s="1941" t="s">
        <v>4406</v>
      </c>
      <c r="D25" s="1954" t="s">
        <v>2671</v>
      </c>
      <c r="E25" s="1945">
        <v>812.28</v>
      </c>
      <c r="F25" s="1969">
        <v>0</v>
      </c>
      <c r="G25" s="611">
        <v>17.63</v>
      </c>
      <c r="H25" s="1065">
        <v>44784.000497685185</v>
      </c>
      <c r="I25" s="1917"/>
      <c r="J25" s="1920"/>
      <c r="K25" s="1957"/>
      <c r="L25" s="226"/>
      <c r="M25" s="190"/>
    </row>
    <row r="26" spans="1:13" s="168" customFormat="1" ht="15">
      <c r="A26" s="1942"/>
      <c r="B26" s="1942"/>
      <c r="C26" s="1942"/>
      <c r="D26" s="1955"/>
      <c r="E26" s="1946"/>
      <c r="F26" s="1971"/>
      <c r="G26" s="605">
        <f>812.28-17.63</f>
        <v>794.65</v>
      </c>
      <c r="H26" s="623">
        <v>44784.000497685185</v>
      </c>
      <c r="I26" s="639"/>
      <c r="J26" s="1061"/>
      <c r="K26" s="1421"/>
      <c r="L26" s="226"/>
      <c r="M26" s="190"/>
    </row>
    <row r="27" spans="1:13" s="168" customFormat="1" ht="15">
      <c r="A27" s="623">
        <v>44872</v>
      </c>
      <c r="B27" s="623" t="s">
        <v>2518</v>
      </c>
      <c r="C27" s="623" t="s">
        <v>4406</v>
      </c>
      <c r="D27" s="624" t="s">
        <v>3442</v>
      </c>
      <c r="E27" s="603">
        <v>400.47</v>
      </c>
      <c r="F27" s="604">
        <v>0</v>
      </c>
      <c r="G27" s="605">
        <v>400.47</v>
      </c>
      <c r="H27" s="623">
        <v>44873</v>
      </c>
      <c r="I27" s="639"/>
      <c r="J27" s="1061"/>
      <c r="K27" s="1421"/>
      <c r="L27" s="226"/>
      <c r="M27" s="190"/>
    </row>
    <row r="28" spans="1:13" s="168" customFormat="1" ht="15">
      <c r="A28" s="1427">
        <v>44875</v>
      </c>
      <c r="B28" s="1427" t="s">
        <v>2518</v>
      </c>
      <c r="C28" s="1427" t="s">
        <v>4406</v>
      </c>
      <c r="D28" s="1428" t="s">
        <v>3443</v>
      </c>
      <c r="E28" s="1431">
        <v>-153.62</v>
      </c>
      <c r="F28" s="1426">
        <v>0</v>
      </c>
      <c r="G28" s="611">
        <v>-153.62</v>
      </c>
      <c r="H28" s="1427"/>
      <c r="I28" s="1951">
        <v>1494.18</v>
      </c>
      <c r="J28" s="1918">
        <v>45068</v>
      </c>
      <c r="K28" s="1968" t="s">
        <v>5230</v>
      </c>
      <c r="L28" s="226"/>
      <c r="M28" s="190"/>
    </row>
    <row r="29" spans="1:13" s="168" customFormat="1" ht="15">
      <c r="A29" s="1427">
        <v>45009</v>
      </c>
      <c r="B29" s="1427" t="s">
        <v>2518</v>
      </c>
      <c r="C29" s="1427" t="s">
        <v>5231</v>
      </c>
      <c r="D29" s="1428" t="s">
        <v>4547</v>
      </c>
      <c r="E29" s="1431">
        <v>1647.8</v>
      </c>
      <c r="F29" s="1426">
        <v>0</v>
      </c>
      <c r="G29" s="611">
        <v>1647.8</v>
      </c>
      <c r="H29" s="1427">
        <v>45069</v>
      </c>
      <c r="I29" s="1953"/>
      <c r="J29" s="1920"/>
      <c r="K29" s="1957"/>
      <c r="L29" s="226"/>
      <c r="M29" s="190"/>
    </row>
    <row r="30" spans="1:13" s="168" customFormat="1" ht="15">
      <c r="A30" s="623"/>
      <c r="B30" s="623"/>
      <c r="C30" s="623"/>
      <c r="D30" s="624"/>
      <c r="E30" s="603"/>
      <c r="F30" s="604"/>
      <c r="G30" s="605"/>
      <c r="H30" s="623"/>
      <c r="I30" s="639"/>
      <c r="J30" s="1061"/>
      <c r="K30" s="1421"/>
      <c r="L30" s="226"/>
      <c r="M30" s="190"/>
    </row>
    <row r="31" spans="1:13" s="168" customFormat="1" ht="15">
      <c r="A31" s="623"/>
      <c r="B31" s="623"/>
      <c r="C31" s="623"/>
      <c r="D31" s="624"/>
      <c r="E31" s="603"/>
      <c r="F31" s="604"/>
      <c r="G31" s="605"/>
      <c r="H31" s="623"/>
      <c r="I31" s="639"/>
      <c r="J31" s="1061"/>
      <c r="K31" s="1421"/>
      <c r="L31" s="226"/>
      <c r="M31" s="190"/>
    </row>
    <row r="32" spans="1:13" s="168" customFormat="1" ht="15">
      <c r="A32" s="623"/>
      <c r="B32" s="623"/>
      <c r="C32" s="623"/>
      <c r="D32" s="624"/>
      <c r="E32" s="603"/>
      <c r="F32" s="604"/>
      <c r="G32" s="605"/>
      <c r="H32" s="623"/>
      <c r="I32" s="639"/>
      <c r="J32" s="1061"/>
      <c r="K32" s="1421"/>
      <c r="L32" s="226"/>
      <c r="M32" s="190"/>
    </row>
    <row r="33" spans="1:13" s="168" customFormat="1" ht="15">
      <c r="A33" s="623"/>
      <c r="B33" s="623"/>
      <c r="C33" s="623"/>
      <c r="D33" s="624"/>
      <c r="E33" s="603"/>
      <c r="F33" s="604"/>
      <c r="G33" s="605"/>
      <c r="H33" s="623"/>
      <c r="I33" s="639"/>
      <c r="J33" s="1061"/>
      <c r="K33" s="1421"/>
      <c r="L33" s="226"/>
      <c r="M33" s="190"/>
    </row>
    <row r="34" spans="1:13" ht="15">
      <c r="A34" s="620"/>
      <c r="B34" s="1124"/>
      <c r="C34" s="1124"/>
      <c r="D34" s="684"/>
      <c r="E34" s="684"/>
      <c r="F34" s="1144" t="s">
        <v>545</v>
      </c>
      <c r="G34" s="651">
        <f>SUM(G2:G33)-SUM(I2:I33)</f>
        <v>1195.1199999999953</v>
      </c>
      <c r="H34" s="639"/>
      <c r="I34" s="639"/>
      <c r="J34" s="1061"/>
      <c r="K34" s="1421"/>
      <c r="L34" s="88"/>
    </row>
  </sheetData>
  <mergeCells count="48">
    <mergeCell ref="K28:K29"/>
    <mergeCell ref="J28:J29"/>
    <mergeCell ref="I28:I29"/>
    <mergeCell ref="C4:C5"/>
    <mergeCell ref="B4:B5"/>
    <mergeCell ref="C23:C24"/>
    <mergeCell ref="B23:B24"/>
    <mergeCell ref="C25:C26"/>
    <mergeCell ref="B25:B26"/>
    <mergeCell ref="B18:B19"/>
    <mergeCell ref="C18:C19"/>
    <mergeCell ref="B15:B16"/>
    <mergeCell ref="C15:C16"/>
    <mergeCell ref="F25:F26"/>
    <mergeCell ref="E25:E26"/>
    <mergeCell ref="D25:D26"/>
    <mergeCell ref="A25:A26"/>
    <mergeCell ref="K24:K25"/>
    <mergeCell ref="J24:J25"/>
    <mergeCell ref="I24:I25"/>
    <mergeCell ref="I2:I3"/>
    <mergeCell ref="K2:K3"/>
    <mergeCell ref="J2:J3"/>
    <mergeCell ref="I6:I7"/>
    <mergeCell ref="D4:D5"/>
    <mergeCell ref="A4:A5"/>
    <mergeCell ref="K6:K7"/>
    <mergeCell ref="J6:J7"/>
    <mergeCell ref="A15:A16"/>
    <mergeCell ref="D15:D16"/>
    <mergeCell ref="F4:F5"/>
    <mergeCell ref="E4:E5"/>
    <mergeCell ref="K16:K18"/>
    <mergeCell ref="J16:J18"/>
    <mergeCell ref="I16:I18"/>
    <mergeCell ref="F18:F19"/>
    <mergeCell ref="E18:E19"/>
    <mergeCell ref="F15:F16"/>
    <mergeCell ref="E15:E16"/>
    <mergeCell ref="I19:I23"/>
    <mergeCell ref="K19:K23"/>
    <mergeCell ref="J19:J23"/>
    <mergeCell ref="E23:E24"/>
    <mergeCell ref="D23:D24"/>
    <mergeCell ref="A23:A24"/>
    <mergeCell ref="F23:F24"/>
    <mergeCell ref="D18:D19"/>
    <mergeCell ref="A18:A19"/>
  </mergeCells>
  <phoneticPr fontId="15" type="noConversion"/>
  <hyperlinks>
    <hyperlink ref="F34" location="汇总!A1" display="剩余欠款"/>
  </hyperlink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N79"/>
  <sheetViews>
    <sheetView workbookViewId="0">
      <pane ySplit="1" topLeftCell="A50" activePane="bottomLeft" state="frozen"/>
      <selection activeCell="C33" sqref="C33"/>
      <selection pane="bottomLeft" activeCell="F78" sqref="F78"/>
    </sheetView>
  </sheetViews>
  <sheetFormatPr defaultRowHeight="14.25"/>
  <cols>
    <col min="1" max="1" width="13" style="230" customWidth="1"/>
    <col min="2" max="2" width="9" style="237" bestFit="1" customWidth="1"/>
    <col min="3" max="3" width="32" style="237" bestFit="1" customWidth="1"/>
    <col min="4" max="4" width="15" style="230" bestFit="1" customWidth="1"/>
    <col min="5" max="5" width="17" style="237" customWidth="1"/>
    <col min="6" max="6" width="11" style="512" customWidth="1"/>
    <col min="7" max="7" width="12" style="190" bestFit="1" customWidth="1"/>
    <col min="8" max="8" width="16.75" style="190" bestFit="1" customWidth="1"/>
    <col min="9" max="9" width="14.125" style="294" bestFit="1" customWidth="1"/>
    <col min="10" max="10" width="15.125" style="168" bestFit="1" customWidth="1"/>
    <col min="11" max="11" width="21.75" style="230" customWidth="1"/>
    <col min="12" max="12" width="26.125" style="102" bestFit="1" customWidth="1"/>
    <col min="13" max="13" width="13.875" style="102" bestFit="1" customWidth="1"/>
    <col min="14" max="16384" width="9" style="102"/>
  </cols>
  <sheetData>
    <row r="1" spans="1:13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61" t="s">
        <v>3043</v>
      </c>
      <c r="J1" s="257" t="s">
        <v>4100</v>
      </c>
      <c r="K1" s="257" t="s">
        <v>541</v>
      </c>
      <c r="L1" s="256" t="s">
        <v>542</v>
      </c>
    </row>
    <row r="2" spans="1:13" hidden="1">
      <c r="A2" s="502">
        <v>44357</v>
      </c>
      <c r="B2" s="1129"/>
      <c r="C2" s="1129"/>
      <c r="D2" s="501" t="s">
        <v>783</v>
      </c>
      <c r="E2" s="505">
        <v>3719.2</v>
      </c>
      <c r="F2" s="513">
        <v>0</v>
      </c>
      <c r="G2" s="143">
        <v>3719.2</v>
      </c>
      <c r="H2" s="502">
        <v>44357</v>
      </c>
      <c r="I2" s="407">
        <v>3719.2</v>
      </c>
      <c r="J2" s="502">
        <v>44399</v>
      </c>
      <c r="K2" s="501" t="s">
        <v>550</v>
      </c>
      <c r="L2" s="91"/>
      <c r="M2" s="190"/>
    </row>
    <row r="3" spans="1:13" hidden="1">
      <c r="A3" s="2095">
        <v>44350</v>
      </c>
      <c r="B3" s="1130"/>
      <c r="C3" s="1130"/>
      <c r="D3" s="2014" t="s">
        <v>785</v>
      </c>
      <c r="E3" s="2146">
        <v>15895.51</v>
      </c>
      <c r="F3" s="2150">
        <v>0</v>
      </c>
      <c r="G3" s="143">
        <v>5895</v>
      </c>
      <c r="H3" s="502">
        <v>44350</v>
      </c>
      <c r="I3" s="407">
        <v>5895</v>
      </c>
      <c r="J3" s="502">
        <v>44445</v>
      </c>
      <c r="K3" s="501" t="s">
        <v>550</v>
      </c>
      <c r="L3" s="91"/>
      <c r="M3" s="190"/>
    </row>
    <row r="4" spans="1:13" hidden="1">
      <c r="A4" s="2096"/>
      <c r="B4" s="1131"/>
      <c r="C4" s="1131"/>
      <c r="D4" s="2015"/>
      <c r="E4" s="2153"/>
      <c r="F4" s="2151"/>
      <c r="G4" s="143">
        <v>10000</v>
      </c>
      <c r="H4" s="502">
        <v>44350</v>
      </c>
      <c r="I4" s="407">
        <v>10000</v>
      </c>
      <c r="J4" s="502">
        <v>44489</v>
      </c>
      <c r="K4" s="501" t="s">
        <v>550</v>
      </c>
      <c r="L4" s="91"/>
      <c r="M4" s="190"/>
    </row>
    <row r="5" spans="1:13" s="168" customFormat="1" hidden="1">
      <c r="A5" s="2097"/>
      <c r="B5" s="1132"/>
      <c r="C5" s="1132"/>
      <c r="D5" s="2016"/>
      <c r="E5" s="2147"/>
      <c r="F5" s="2152"/>
      <c r="G5" s="143">
        <v>0.51</v>
      </c>
      <c r="H5" s="502">
        <v>44350</v>
      </c>
      <c r="I5" s="514">
        <v>0.51</v>
      </c>
      <c r="J5" s="497">
        <v>44656</v>
      </c>
      <c r="K5" s="496" t="s">
        <v>2722</v>
      </c>
      <c r="L5" s="91"/>
      <c r="M5" s="190"/>
    </row>
    <row r="6" spans="1:13" hidden="1">
      <c r="A6" s="502">
        <v>44384</v>
      </c>
      <c r="B6" s="1129"/>
      <c r="C6" s="1129"/>
      <c r="D6" s="501" t="s">
        <v>786</v>
      </c>
      <c r="E6" s="505">
        <v>4089.74</v>
      </c>
      <c r="F6" s="513">
        <v>0</v>
      </c>
      <c r="G6" s="143">
        <v>4089.74</v>
      </c>
      <c r="H6" s="502">
        <v>44384</v>
      </c>
      <c r="I6" s="2148">
        <v>10294.790000000001</v>
      </c>
      <c r="J6" s="2095">
        <v>44529</v>
      </c>
      <c r="K6" s="2014" t="s">
        <v>550</v>
      </c>
      <c r="L6" s="91"/>
      <c r="M6" s="190"/>
    </row>
    <row r="7" spans="1:13" hidden="1">
      <c r="A7" s="502">
        <v>44406</v>
      </c>
      <c r="B7" s="1129"/>
      <c r="C7" s="1129"/>
      <c r="D7" s="501" t="s">
        <v>787</v>
      </c>
      <c r="E7" s="505">
        <v>6205.05</v>
      </c>
      <c r="F7" s="513">
        <v>0</v>
      </c>
      <c r="G7" s="143">
        <v>6205.05</v>
      </c>
      <c r="H7" s="502">
        <v>44406</v>
      </c>
      <c r="I7" s="2149"/>
      <c r="J7" s="2016"/>
      <c r="K7" s="2016"/>
      <c r="L7" s="91"/>
      <c r="M7" s="190"/>
    </row>
    <row r="8" spans="1:13" hidden="1">
      <c r="A8" s="502">
        <v>44425</v>
      </c>
      <c r="B8" s="1129"/>
      <c r="C8" s="1129"/>
      <c r="D8" s="501" t="s">
        <v>788</v>
      </c>
      <c r="E8" s="505">
        <v>-9.8000000000000007</v>
      </c>
      <c r="F8" s="513">
        <v>0</v>
      </c>
      <c r="G8" s="143">
        <v>-9.8000000000000007</v>
      </c>
      <c r="H8" s="502" t="s">
        <v>1529</v>
      </c>
      <c r="I8" s="2148">
        <v>7671.4</v>
      </c>
      <c r="J8" s="2095">
        <v>44557</v>
      </c>
      <c r="K8" s="2014" t="s">
        <v>550</v>
      </c>
      <c r="L8" s="91" t="s">
        <v>789</v>
      </c>
      <c r="M8" s="190"/>
    </row>
    <row r="9" spans="1:13" hidden="1">
      <c r="A9" s="502">
        <v>44428</v>
      </c>
      <c r="B9" s="1129"/>
      <c r="C9" s="1129"/>
      <c r="D9" s="501" t="s">
        <v>790</v>
      </c>
      <c r="E9" s="505">
        <v>-9.8000000000000007</v>
      </c>
      <c r="F9" s="513">
        <v>0</v>
      </c>
      <c r="G9" s="143">
        <v>-9.8000000000000007</v>
      </c>
      <c r="H9" s="502" t="s">
        <v>1529</v>
      </c>
      <c r="I9" s="2154"/>
      <c r="J9" s="2015"/>
      <c r="K9" s="2015"/>
      <c r="L9" s="91" t="s">
        <v>791</v>
      </c>
      <c r="M9" s="190"/>
    </row>
    <row r="10" spans="1:13" hidden="1">
      <c r="A10" s="2095">
        <v>44456</v>
      </c>
      <c r="B10" s="1130"/>
      <c r="C10" s="1130"/>
      <c r="D10" s="2014" t="s">
        <v>792</v>
      </c>
      <c r="E10" s="2146">
        <v>7691.39</v>
      </c>
      <c r="F10" s="2150">
        <v>0</v>
      </c>
      <c r="G10" s="143">
        <v>7691</v>
      </c>
      <c r="H10" s="502">
        <v>44459</v>
      </c>
      <c r="I10" s="2149"/>
      <c r="J10" s="2016"/>
      <c r="K10" s="2016"/>
      <c r="L10" s="91"/>
      <c r="M10" s="190"/>
    </row>
    <row r="11" spans="1:13" s="168" customFormat="1" hidden="1">
      <c r="A11" s="2097"/>
      <c r="B11" s="1132"/>
      <c r="C11" s="1132"/>
      <c r="D11" s="2016"/>
      <c r="E11" s="2147"/>
      <c r="F11" s="2152"/>
      <c r="G11" s="143">
        <f>7691.39-7691</f>
        <v>0.39000000000032742</v>
      </c>
      <c r="H11" s="502">
        <v>44459</v>
      </c>
      <c r="I11" s="515">
        <v>0.39000000000032742</v>
      </c>
      <c r="J11" s="497">
        <v>44656</v>
      </c>
      <c r="K11" s="496" t="s">
        <v>2722</v>
      </c>
      <c r="L11" s="91"/>
      <c r="M11" s="190"/>
    </row>
    <row r="12" spans="1:13" hidden="1">
      <c r="A12" s="502">
        <v>44489</v>
      </c>
      <c r="B12" s="1129"/>
      <c r="C12" s="1129"/>
      <c r="D12" s="501" t="s">
        <v>793</v>
      </c>
      <c r="E12" s="505">
        <v>4301.1400000000003</v>
      </c>
      <c r="F12" s="513">
        <v>0</v>
      </c>
      <c r="G12" s="143">
        <v>4301.1400000000003</v>
      </c>
      <c r="H12" s="502">
        <v>44489</v>
      </c>
      <c r="I12" s="407">
        <v>4301.1400000000003</v>
      </c>
      <c r="J12" s="264">
        <v>44589</v>
      </c>
      <c r="K12" s="501" t="s">
        <v>550</v>
      </c>
      <c r="L12" s="91"/>
      <c r="M12" s="190"/>
    </row>
    <row r="13" spans="1:13" hidden="1">
      <c r="A13" s="502">
        <v>44489</v>
      </c>
      <c r="B13" s="1129"/>
      <c r="C13" s="1129"/>
      <c r="D13" s="501" t="s">
        <v>794</v>
      </c>
      <c r="E13" s="505">
        <v>4346.8500000000004</v>
      </c>
      <c r="F13" s="513">
        <v>0</v>
      </c>
      <c r="G13" s="143">
        <v>4346.8500000000004</v>
      </c>
      <c r="H13" s="502">
        <v>44489</v>
      </c>
      <c r="I13" s="407">
        <v>4346.8500000000004</v>
      </c>
      <c r="J13" s="502">
        <v>44589</v>
      </c>
      <c r="K13" s="501" t="s">
        <v>550</v>
      </c>
      <c r="L13" s="91"/>
      <c r="M13" s="190"/>
    </row>
    <row r="14" spans="1:13" hidden="1">
      <c r="A14" s="502">
        <v>44494</v>
      </c>
      <c r="B14" s="1129"/>
      <c r="C14" s="1129"/>
      <c r="D14" s="501" t="s">
        <v>796</v>
      </c>
      <c r="E14" s="505">
        <v>-1221.01</v>
      </c>
      <c r="F14" s="513">
        <v>0</v>
      </c>
      <c r="G14" s="143">
        <v>-1221.01</v>
      </c>
      <c r="H14" s="502" t="s">
        <v>1529</v>
      </c>
      <c r="I14" s="407">
        <f>-1221.01</f>
        <v>-1221.01</v>
      </c>
      <c r="J14" s="502">
        <v>44589</v>
      </c>
      <c r="K14" s="501" t="s">
        <v>550</v>
      </c>
      <c r="L14" s="91"/>
      <c r="M14" s="190"/>
    </row>
    <row r="15" spans="1:13" hidden="1">
      <c r="A15" s="502">
        <v>44494</v>
      </c>
      <c r="B15" s="1129"/>
      <c r="C15" s="1129"/>
      <c r="D15" s="501" t="s">
        <v>797</v>
      </c>
      <c r="E15" s="505">
        <v>-69.05</v>
      </c>
      <c r="F15" s="513">
        <v>0</v>
      </c>
      <c r="G15" s="143">
        <v>-69.05</v>
      </c>
      <c r="H15" s="502" t="s">
        <v>1529</v>
      </c>
      <c r="I15" s="407">
        <v>-69.05</v>
      </c>
      <c r="J15" s="502">
        <v>44589</v>
      </c>
      <c r="K15" s="501" t="s">
        <v>550</v>
      </c>
      <c r="L15" s="91"/>
      <c r="M15" s="190"/>
    </row>
    <row r="16" spans="1:13" hidden="1">
      <c r="A16" s="502">
        <v>44504</v>
      </c>
      <c r="B16" s="1129"/>
      <c r="C16" s="1129"/>
      <c r="D16" s="501" t="s">
        <v>798</v>
      </c>
      <c r="E16" s="505">
        <v>-111.86</v>
      </c>
      <c r="F16" s="513">
        <v>0</v>
      </c>
      <c r="G16" s="143">
        <v>-111.86</v>
      </c>
      <c r="H16" s="502" t="s">
        <v>1529</v>
      </c>
      <c r="I16" s="407">
        <v>-111.86</v>
      </c>
      <c r="J16" s="502">
        <v>44589</v>
      </c>
      <c r="K16" s="501" t="s">
        <v>550</v>
      </c>
      <c r="L16" s="91"/>
      <c r="M16" s="190"/>
    </row>
    <row r="17" spans="1:14" hidden="1">
      <c r="A17" s="2095">
        <v>44532</v>
      </c>
      <c r="B17" s="1130"/>
      <c r="C17" s="1130"/>
      <c r="D17" s="2014" t="s">
        <v>799</v>
      </c>
      <c r="E17" s="2146">
        <v>5229.68</v>
      </c>
      <c r="F17" s="2150">
        <v>0</v>
      </c>
      <c r="G17" s="143">
        <v>3000</v>
      </c>
      <c r="H17" s="502">
        <v>44532</v>
      </c>
      <c r="I17" s="407">
        <v>3000</v>
      </c>
      <c r="J17" s="502">
        <v>44620</v>
      </c>
      <c r="K17" s="501" t="s">
        <v>1773</v>
      </c>
      <c r="L17" s="91"/>
      <c r="M17" s="190"/>
    </row>
    <row r="18" spans="1:14" s="168" customFormat="1" hidden="1">
      <c r="A18" s="2097"/>
      <c r="B18" s="1132"/>
      <c r="C18" s="1132"/>
      <c r="D18" s="2016"/>
      <c r="E18" s="2147"/>
      <c r="F18" s="2152"/>
      <c r="G18" s="143">
        <v>2229.6799999999998</v>
      </c>
      <c r="H18" s="143"/>
      <c r="I18" s="407">
        <v>2229.6799999999998</v>
      </c>
      <c r="J18" s="502">
        <v>44641</v>
      </c>
      <c r="K18" s="501" t="s">
        <v>1773</v>
      </c>
      <c r="L18" s="91"/>
      <c r="M18" s="190"/>
    </row>
    <row r="19" spans="1:14" hidden="1">
      <c r="A19" s="502">
        <v>44558</v>
      </c>
      <c r="B19" s="1129"/>
      <c r="C19" s="1129"/>
      <c r="D19" s="501" t="s">
        <v>800</v>
      </c>
      <c r="E19" s="505">
        <v>4027.57</v>
      </c>
      <c r="F19" s="513">
        <v>0</v>
      </c>
      <c r="G19" s="143">
        <v>4027.57</v>
      </c>
      <c r="H19" s="502">
        <v>44558</v>
      </c>
      <c r="I19" s="407">
        <v>4027.57</v>
      </c>
      <c r="J19" s="502">
        <v>44641</v>
      </c>
      <c r="K19" s="501" t="s">
        <v>1773</v>
      </c>
      <c r="L19" s="91"/>
      <c r="M19" s="190"/>
    </row>
    <row r="20" spans="1:14" s="168" customFormat="1" ht="15">
      <c r="A20" s="717"/>
      <c r="B20" s="1124"/>
      <c r="C20" s="1124"/>
      <c r="D20" s="717"/>
      <c r="E20" s="673" t="s">
        <v>3099</v>
      </c>
      <c r="F20" s="694" t="s">
        <v>3098</v>
      </c>
      <c r="G20" s="672">
        <f>SUM(G2:G19)-SUM(I2:I19)</f>
        <v>0</v>
      </c>
      <c r="H20" s="672"/>
      <c r="I20" s="695"/>
      <c r="J20" s="701"/>
      <c r="K20" s="501"/>
      <c r="L20" s="91"/>
      <c r="M20" s="190"/>
    </row>
    <row r="21" spans="1:14" ht="15">
      <c r="A21" s="620">
        <v>44565</v>
      </c>
      <c r="B21" s="1124" t="s">
        <v>522</v>
      </c>
      <c r="C21" s="1124" t="s">
        <v>4407</v>
      </c>
      <c r="D21" s="621" t="s">
        <v>801</v>
      </c>
      <c r="E21" s="613">
        <v>683.88</v>
      </c>
      <c r="F21" s="633">
        <v>0</v>
      </c>
      <c r="G21" s="639">
        <v>683.88</v>
      </c>
      <c r="H21" s="620">
        <v>44565</v>
      </c>
      <c r="I21" s="680">
        <v>683.88</v>
      </c>
      <c r="J21" s="620">
        <v>44684</v>
      </c>
      <c r="K21" s="372" t="s">
        <v>1752</v>
      </c>
      <c r="L21" s="226"/>
      <c r="M21" s="190"/>
    </row>
    <row r="22" spans="1:14" ht="15">
      <c r="A22" s="1903">
        <v>44586</v>
      </c>
      <c r="B22" s="1918" t="s">
        <v>522</v>
      </c>
      <c r="C22" s="1918" t="s">
        <v>4407</v>
      </c>
      <c r="D22" s="1909" t="s">
        <v>802</v>
      </c>
      <c r="E22" s="1915">
        <v>1466.45</v>
      </c>
      <c r="F22" s="2002">
        <v>0</v>
      </c>
      <c r="G22" s="611">
        <v>1316.12</v>
      </c>
      <c r="H22" s="632">
        <v>44586</v>
      </c>
      <c r="I22" s="718">
        <v>1316.12</v>
      </c>
      <c r="J22" s="620">
        <v>44684</v>
      </c>
      <c r="K22" s="372" t="s">
        <v>1752</v>
      </c>
      <c r="L22" s="226"/>
      <c r="M22" s="190"/>
    </row>
    <row r="23" spans="1:14" s="168" customFormat="1" ht="15">
      <c r="A23" s="1905"/>
      <c r="B23" s="1920"/>
      <c r="C23" s="1920"/>
      <c r="D23" s="1911"/>
      <c r="E23" s="1917"/>
      <c r="F23" s="2003"/>
      <c r="G23" s="611">
        <v>150.32999999999993</v>
      </c>
      <c r="H23" s="632">
        <v>44586</v>
      </c>
      <c r="I23" s="1923">
        <v>6000</v>
      </c>
      <c r="J23" s="1918">
        <v>44708</v>
      </c>
      <c r="K23" s="1968" t="s">
        <v>2169</v>
      </c>
      <c r="L23" s="226"/>
      <c r="M23" s="190"/>
    </row>
    <row r="24" spans="1:14" ht="16.149999999999999" customHeight="1">
      <c r="A24" s="1903">
        <v>44620</v>
      </c>
      <c r="B24" s="1918" t="s">
        <v>521</v>
      </c>
      <c r="C24" s="1918" t="s">
        <v>4407</v>
      </c>
      <c r="D24" s="1909" t="s">
        <v>803</v>
      </c>
      <c r="E24" s="1915">
        <v>9254.2099999999991</v>
      </c>
      <c r="F24" s="2002">
        <v>0</v>
      </c>
      <c r="G24" s="611">
        <v>5849.6699999999992</v>
      </c>
      <c r="H24" s="632">
        <v>44620</v>
      </c>
      <c r="I24" s="1924"/>
      <c r="J24" s="1920"/>
      <c r="K24" s="1957"/>
      <c r="L24" s="226"/>
      <c r="M24" s="190"/>
    </row>
    <row r="25" spans="1:14" s="168" customFormat="1" ht="16.149999999999999" customHeight="1">
      <c r="A25" s="1905"/>
      <c r="B25" s="1920"/>
      <c r="C25" s="1920"/>
      <c r="D25" s="1911"/>
      <c r="E25" s="1917"/>
      <c r="F25" s="2003"/>
      <c r="G25" s="611">
        <v>3404.54</v>
      </c>
      <c r="H25" s="632">
        <v>44620</v>
      </c>
      <c r="I25" s="719">
        <v>3404.54</v>
      </c>
      <c r="J25" s="653">
        <v>44753</v>
      </c>
      <c r="K25" s="448" t="s">
        <v>1752</v>
      </c>
      <c r="L25" s="226" t="s">
        <v>2581</v>
      </c>
      <c r="M25" s="190"/>
    </row>
    <row r="26" spans="1:14" ht="15">
      <c r="A26" s="632">
        <v>44641</v>
      </c>
      <c r="B26" s="1124" t="s">
        <v>521</v>
      </c>
      <c r="C26" s="1124" t="s">
        <v>4407</v>
      </c>
      <c r="D26" s="615" t="s">
        <v>1774</v>
      </c>
      <c r="E26" s="613">
        <v>3360.47</v>
      </c>
      <c r="F26" s="633">
        <v>0</v>
      </c>
      <c r="G26" s="611">
        <v>3360.47</v>
      </c>
      <c r="H26" s="632">
        <v>44641</v>
      </c>
      <c r="I26" s="718">
        <v>3360.47</v>
      </c>
      <c r="J26" s="653">
        <v>44753</v>
      </c>
      <c r="K26" s="448" t="s">
        <v>1752</v>
      </c>
      <c r="L26" s="226" t="s">
        <v>2581</v>
      </c>
      <c r="M26" s="190"/>
    </row>
    <row r="27" spans="1:14" ht="15">
      <c r="A27" s="1903">
        <v>44641</v>
      </c>
      <c r="B27" s="1903" t="s">
        <v>521</v>
      </c>
      <c r="C27" s="1903" t="s">
        <v>4407</v>
      </c>
      <c r="D27" s="1909" t="s">
        <v>1775</v>
      </c>
      <c r="E27" s="1923">
        <v>332</v>
      </c>
      <c r="F27" s="1927">
        <v>0</v>
      </c>
      <c r="G27" s="611">
        <v>200</v>
      </c>
      <c r="H27" s="1549">
        <v>44641</v>
      </c>
      <c r="I27" s="718">
        <v>200</v>
      </c>
      <c r="J27" s="1540">
        <v>44753</v>
      </c>
      <c r="K27" s="1547" t="s">
        <v>1752</v>
      </c>
      <c r="L27" s="226" t="s">
        <v>2581</v>
      </c>
      <c r="M27" s="190"/>
    </row>
    <row r="28" spans="1:14" s="168" customFormat="1" ht="15">
      <c r="A28" s="1905"/>
      <c r="B28" s="1905"/>
      <c r="C28" s="1905"/>
      <c r="D28" s="1911"/>
      <c r="E28" s="1924"/>
      <c r="F28" s="1928"/>
      <c r="G28" s="611">
        <f>332-200</f>
        <v>132</v>
      </c>
      <c r="H28" s="1549">
        <v>44641</v>
      </c>
      <c r="I28" s="1921">
        <v>0</v>
      </c>
      <c r="J28" s="1903">
        <v>44775</v>
      </c>
      <c r="K28" s="1935" t="s">
        <v>2639</v>
      </c>
      <c r="L28" s="226"/>
      <c r="M28" s="190"/>
    </row>
    <row r="29" spans="1:14" s="168" customFormat="1" ht="15">
      <c r="A29" s="1549">
        <v>44729</v>
      </c>
      <c r="B29" s="1549" t="s">
        <v>521</v>
      </c>
      <c r="C29" s="1549" t="s">
        <v>4407</v>
      </c>
      <c r="D29" s="1551" t="s">
        <v>2289</v>
      </c>
      <c r="E29" s="1555">
        <v>-19</v>
      </c>
      <c r="F29" s="649">
        <v>0</v>
      </c>
      <c r="G29" s="611">
        <v>-19</v>
      </c>
      <c r="H29" s="1549">
        <v>44729</v>
      </c>
      <c r="I29" s="2037"/>
      <c r="J29" s="1904"/>
      <c r="K29" s="1950"/>
      <c r="L29" s="166" t="s">
        <v>2290</v>
      </c>
      <c r="M29" s="190"/>
    </row>
    <row r="30" spans="1:14" s="168" customFormat="1" ht="15">
      <c r="A30" s="1903">
        <v>44749.000497685185</v>
      </c>
      <c r="B30" s="1903" t="s">
        <v>521</v>
      </c>
      <c r="C30" s="1903" t="s">
        <v>4407</v>
      </c>
      <c r="D30" s="1909" t="s">
        <v>2390</v>
      </c>
      <c r="E30" s="1923">
        <v>-941.6</v>
      </c>
      <c r="F30" s="1927">
        <v>0</v>
      </c>
      <c r="G30" s="611">
        <v>-113</v>
      </c>
      <c r="H30" s="1549">
        <v>44749.000497685185</v>
      </c>
      <c r="I30" s="1922"/>
      <c r="J30" s="1905"/>
      <c r="K30" s="1947"/>
      <c r="L30" s="2051" t="s">
        <v>2427</v>
      </c>
      <c r="M30" s="190"/>
    </row>
    <row r="31" spans="1:14" s="168" customFormat="1" ht="15">
      <c r="A31" s="1905"/>
      <c r="B31" s="1905"/>
      <c r="C31" s="1905"/>
      <c r="D31" s="1911"/>
      <c r="E31" s="1924"/>
      <c r="F31" s="1928"/>
      <c r="G31" s="611">
        <f>-941.6+113</f>
        <v>-828.6</v>
      </c>
      <c r="H31" s="1549">
        <v>44749.000497685185</v>
      </c>
      <c r="I31" s="1923">
        <v>6000</v>
      </c>
      <c r="J31" s="1903">
        <v>44809</v>
      </c>
      <c r="K31" s="1935" t="s">
        <v>2980</v>
      </c>
      <c r="L31" s="2053"/>
      <c r="M31" s="190"/>
    </row>
    <row r="32" spans="1:14" s="168" customFormat="1" ht="15">
      <c r="A32" s="1903">
        <v>44732</v>
      </c>
      <c r="B32" s="1903" t="s">
        <v>521</v>
      </c>
      <c r="C32" s="1903" t="s">
        <v>4407</v>
      </c>
      <c r="D32" s="1909" t="s">
        <v>2426</v>
      </c>
      <c r="E32" s="1923">
        <v>11770.41</v>
      </c>
      <c r="F32" s="1927">
        <v>0</v>
      </c>
      <c r="G32" s="611">
        <v>6828.6</v>
      </c>
      <c r="H32" s="1549">
        <v>44732</v>
      </c>
      <c r="I32" s="1924"/>
      <c r="J32" s="1905"/>
      <c r="K32" s="1947"/>
      <c r="L32" s="219"/>
      <c r="M32" s="190"/>
      <c r="N32" s="190"/>
    </row>
    <row r="33" spans="1:14" s="168" customFormat="1" ht="15">
      <c r="A33" s="1904"/>
      <c r="B33" s="1904"/>
      <c r="C33" s="1904"/>
      <c r="D33" s="1910"/>
      <c r="E33" s="1961"/>
      <c r="F33" s="1960"/>
      <c r="G33" s="611">
        <v>4796.6099999999997</v>
      </c>
      <c r="H33" s="1549">
        <v>44732</v>
      </c>
      <c r="I33" s="1552">
        <v>4796.6099999999997</v>
      </c>
      <c r="J33" s="1539">
        <v>44851</v>
      </c>
      <c r="K33" s="1543" t="s">
        <v>3331</v>
      </c>
      <c r="L33" s="219"/>
      <c r="M33" s="190"/>
    </row>
    <row r="34" spans="1:14" s="168" customFormat="1" ht="15">
      <c r="A34" s="1905"/>
      <c r="B34" s="1905"/>
      <c r="C34" s="1905"/>
      <c r="D34" s="1911"/>
      <c r="E34" s="1924"/>
      <c r="F34" s="1928"/>
      <c r="G34" s="611">
        <f>11770.41-6828.6-4796.61</f>
        <v>145.19999999999982</v>
      </c>
      <c r="H34" s="1549">
        <v>44732</v>
      </c>
      <c r="I34" s="1552">
        <v>145.19999999999999</v>
      </c>
      <c r="J34" s="1539">
        <v>45126</v>
      </c>
      <c r="K34" s="1543" t="s">
        <v>809</v>
      </c>
      <c r="L34" s="219"/>
      <c r="M34" s="190"/>
      <c r="N34" s="190"/>
    </row>
    <row r="35" spans="1:14" ht="15">
      <c r="A35" s="632">
        <v>44707</v>
      </c>
      <c r="B35" s="1124" t="s">
        <v>521</v>
      </c>
      <c r="C35" s="1124" t="s">
        <v>4407</v>
      </c>
      <c r="D35" s="615" t="s">
        <v>2167</v>
      </c>
      <c r="E35" s="613">
        <v>5763.28</v>
      </c>
      <c r="F35" s="633">
        <v>0</v>
      </c>
      <c r="G35" s="611">
        <v>5763.28</v>
      </c>
      <c r="H35" s="632">
        <v>44707</v>
      </c>
      <c r="I35" s="1915">
        <v>11362.58</v>
      </c>
      <c r="J35" s="1918">
        <v>44767</v>
      </c>
      <c r="K35" s="1968" t="s">
        <v>1752</v>
      </c>
      <c r="L35" s="226"/>
      <c r="M35" s="190"/>
    </row>
    <row r="36" spans="1:14" s="168" customFormat="1" ht="15">
      <c r="A36" s="632">
        <v>44708</v>
      </c>
      <c r="B36" s="1124" t="s">
        <v>521</v>
      </c>
      <c r="C36" s="1124" t="s">
        <v>4407</v>
      </c>
      <c r="D36" s="615" t="s">
        <v>2168</v>
      </c>
      <c r="E36" s="613">
        <v>5599.3</v>
      </c>
      <c r="F36" s="633">
        <v>0</v>
      </c>
      <c r="G36" s="611">
        <v>5599.3</v>
      </c>
      <c r="H36" s="632">
        <v>44708</v>
      </c>
      <c r="I36" s="1917"/>
      <c r="J36" s="1920"/>
      <c r="K36" s="1957"/>
      <c r="L36" s="226"/>
      <c r="M36" s="190"/>
    </row>
    <row r="37" spans="1:14" s="168" customFormat="1" ht="15">
      <c r="A37" s="632">
        <v>44727</v>
      </c>
      <c r="B37" s="1124" t="s">
        <v>521</v>
      </c>
      <c r="C37" s="1124" t="s">
        <v>4407</v>
      </c>
      <c r="D37" s="615" t="s">
        <v>2288</v>
      </c>
      <c r="E37" s="609">
        <v>1925.66</v>
      </c>
      <c r="F37" s="649">
        <v>0</v>
      </c>
      <c r="G37" s="611">
        <v>1925.66</v>
      </c>
      <c r="H37" s="632">
        <v>44727</v>
      </c>
      <c r="I37" s="718">
        <v>1925.66</v>
      </c>
      <c r="J37" s="632">
        <v>44783</v>
      </c>
      <c r="K37" s="890" t="s">
        <v>1752</v>
      </c>
      <c r="L37" s="166" t="s">
        <v>2723</v>
      </c>
      <c r="M37" s="190"/>
    </row>
    <row r="38" spans="1:14" s="168" customFormat="1" ht="15">
      <c r="A38" s="896">
        <v>44753.000497685185</v>
      </c>
      <c r="B38" s="1124" t="s">
        <v>521</v>
      </c>
      <c r="C38" s="1124" t="s">
        <v>4407</v>
      </c>
      <c r="D38" s="898" t="s">
        <v>2436</v>
      </c>
      <c r="E38" s="900">
        <v>4152.59</v>
      </c>
      <c r="F38" s="649">
        <v>0</v>
      </c>
      <c r="G38" s="611">
        <v>4152.59</v>
      </c>
      <c r="H38" s="896">
        <v>44753.000497685185</v>
      </c>
      <c r="I38" s="1923">
        <v>6035.29</v>
      </c>
      <c r="J38" s="1903">
        <v>44872</v>
      </c>
      <c r="K38" s="1935" t="s">
        <v>3467</v>
      </c>
      <c r="L38" s="1935"/>
      <c r="M38" s="190"/>
    </row>
    <row r="39" spans="1:14" s="168" customFormat="1" ht="15">
      <c r="A39" s="896">
        <v>44753.000497685185</v>
      </c>
      <c r="B39" s="1124" t="s">
        <v>521</v>
      </c>
      <c r="C39" s="1124" t="s">
        <v>4407</v>
      </c>
      <c r="D39" s="898" t="s">
        <v>2437</v>
      </c>
      <c r="E39" s="900">
        <v>424</v>
      </c>
      <c r="F39" s="649">
        <v>0</v>
      </c>
      <c r="G39" s="611">
        <v>424</v>
      </c>
      <c r="H39" s="896">
        <v>44753.000497685185</v>
      </c>
      <c r="I39" s="1961"/>
      <c r="J39" s="1904"/>
      <c r="K39" s="1950"/>
      <c r="L39" s="1950"/>
      <c r="M39" s="190"/>
    </row>
    <row r="40" spans="1:14" s="168" customFormat="1" ht="15">
      <c r="A40" s="896">
        <v>44767</v>
      </c>
      <c r="B40" s="1124" t="s">
        <v>521</v>
      </c>
      <c r="C40" s="1124" t="s">
        <v>4407</v>
      </c>
      <c r="D40" s="898" t="s">
        <v>2537</v>
      </c>
      <c r="E40" s="900">
        <v>873</v>
      </c>
      <c r="F40" s="649">
        <v>0</v>
      </c>
      <c r="G40" s="611">
        <v>873</v>
      </c>
      <c r="H40" s="896">
        <v>44767</v>
      </c>
      <c r="I40" s="1961"/>
      <c r="J40" s="1904"/>
      <c r="K40" s="1950"/>
      <c r="L40" s="1950"/>
      <c r="M40" s="190"/>
    </row>
    <row r="41" spans="1:14" s="168" customFormat="1" ht="15">
      <c r="A41" s="896">
        <v>44767</v>
      </c>
      <c r="B41" s="1124" t="s">
        <v>521</v>
      </c>
      <c r="C41" s="1124" t="s">
        <v>4407</v>
      </c>
      <c r="D41" s="898" t="s">
        <v>2538</v>
      </c>
      <c r="E41" s="900">
        <v>424</v>
      </c>
      <c r="F41" s="649">
        <v>0</v>
      </c>
      <c r="G41" s="611">
        <v>424</v>
      </c>
      <c r="H41" s="896">
        <v>44767</v>
      </c>
      <c r="I41" s="1961"/>
      <c r="J41" s="1904"/>
      <c r="K41" s="1950"/>
      <c r="L41" s="1950"/>
      <c r="M41" s="190"/>
    </row>
    <row r="42" spans="1:14" s="168" customFormat="1" ht="15">
      <c r="A42" s="896">
        <v>44767</v>
      </c>
      <c r="B42" s="1124" t="s">
        <v>521</v>
      </c>
      <c r="C42" s="1124" t="s">
        <v>4407</v>
      </c>
      <c r="D42" s="898" t="s">
        <v>2539</v>
      </c>
      <c r="E42" s="900">
        <v>1815.6</v>
      </c>
      <c r="F42" s="649">
        <v>0</v>
      </c>
      <c r="G42" s="611">
        <v>1815.6</v>
      </c>
      <c r="H42" s="896">
        <v>44767</v>
      </c>
      <c r="I42" s="1961"/>
      <c r="J42" s="1904"/>
      <c r="K42" s="1950"/>
      <c r="L42" s="1950"/>
      <c r="M42" s="190"/>
    </row>
    <row r="43" spans="1:14" s="168" customFormat="1" ht="15">
      <c r="A43" s="896">
        <v>44769</v>
      </c>
      <c r="B43" s="1124" t="s">
        <v>521</v>
      </c>
      <c r="C43" s="1124" t="s">
        <v>4407</v>
      </c>
      <c r="D43" s="898" t="s">
        <v>2540</v>
      </c>
      <c r="E43" s="900">
        <v>373.18</v>
      </c>
      <c r="F43" s="649">
        <v>0</v>
      </c>
      <c r="G43" s="611">
        <v>373.18</v>
      </c>
      <c r="H43" s="896">
        <v>44769</v>
      </c>
      <c r="I43" s="1961"/>
      <c r="J43" s="1904"/>
      <c r="K43" s="1950"/>
      <c r="L43" s="1950"/>
      <c r="M43" s="190"/>
    </row>
    <row r="44" spans="1:14" s="168" customFormat="1" ht="15">
      <c r="A44" s="896">
        <v>44783.000497685185</v>
      </c>
      <c r="B44" s="1124" t="s">
        <v>2518</v>
      </c>
      <c r="C44" s="1124" t="s">
        <v>4407</v>
      </c>
      <c r="D44" s="898" t="s">
        <v>2673</v>
      </c>
      <c r="E44" s="900">
        <v>-128.72999999999999</v>
      </c>
      <c r="F44" s="649">
        <v>0</v>
      </c>
      <c r="G44" s="611">
        <v>-128.72999999999999</v>
      </c>
      <c r="H44" s="896" t="s">
        <v>1529</v>
      </c>
      <c r="I44" s="1961"/>
      <c r="J44" s="1904"/>
      <c r="K44" s="1950"/>
      <c r="L44" s="1950"/>
      <c r="M44" s="190"/>
    </row>
    <row r="45" spans="1:14" s="168" customFormat="1" ht="15">
      <c r="A45" s="896">
        <v>44831</v>
      </c>
      <c r="B45" s="1124" t="s">
        <v>2518</v>
      </c>
      <c r="C45" s="1124" t="s">
        <v>4407</v>
      </c>
      <c r="D45" s="898" t="s">
        <v>3166</v>
      </c>
      <c r="E45" s="900">
        <v>-214.18</v>
      </c>
      <c r="F45" s="649">
        <v>0</v>
      </c>
      <c r="G45" s="611">
        <v>-214.18</v>
      </c>
      <c r="H45" s="896" t="s">
        <v>1529</v>
      </c>
      <c r="I45" s="1961"/>
      <c r="J45" s="1904"/>
      <c r="K45" s="1950"/>
      <c r="L45" s="1950"/>
      <c r="M45" s="190"/>
    </row>
    <row r="46" spans="1:14" s="168" customFormat="1" ht="15">
      <c r="A46" s="896">
        <v>44834</v>
      </c>
      <c r="B46" s="1124" t="s">
        <v>2518</v>
      </c>
      <c r="C46" s="1124" t="s">
        <v>4407</v>
      </c>
      <c r="D46" s="898" t="s">
        <v>3169</v>
      </c>
      <c r="E46" s="900">
        <v>-962.5</v>
      </c>
      <c r="F46" s="649">
        <v>0</v>
      </c>
      <c r="G46" s="611">
        <v>-962.5</v>
      </c>
      <c r="H46" s="896" t="s">
        <v>1529</v>
      </c>
      <c r="I46" s="1961"/>
      <c r="J46" s="1904"/>
      <c r="K46" s="1950"/>
      <c r="L46" s="1950"/>
      <c r="M46" s="190"/>
    </row>
    <row r="47" spans="1:14" s="168" customFormat="1" ht="15">
      <c r="A47" s="896">
        <v>44834</v>
      </c>
      <c r="B47" s="1124" t="s">
        <v>2518</v>
      </c>
      <c r="C47" s="1124" t="s">
        <v>4407</v>
      </c>
      <c r="D47" s="898" t="s">
        <v>3170</v>
      </c>
      <c r="E47" s="900">
        <v>-290.29000000000002</v>
      </c>
      <c r="F47" s="649">
        <v>0</v>
      </c>
      <c r="G47" s="611">
        <v>-290.29000000000002</v>
      </c>
      <c r="H47" s="896" t="s">
        <v>1529</v>
      </c>
      <c r="I47" s="1961"/>
      <c r="J47" s="1904"/>
      <c r="K47" s="1950"/>
      <c r="L47" s="1950"/>
      <c r="M47" s="190"/>
    </row>
    <row r="48" spans="1:14" s="168" customFormat="1" ht="15">
      <c r="A48" s="896">
        <v>44834</v>
      </c>
      <c r="B48" s="1124" t="s">
        <v>2518</v>
      </c>
      <c r="C48" s="1124" t="s">
        <v>4407</v>
      </c>
      <c r="D48" s="898" t="s">
        <v>3171</v>
      </c>
      <c r="E48" s="900">
        <v>-431.38</v>
      </c>
      <c r="F48" s="649">
        <v>0</v>
      </c>
      <c r="G48" s="611">
        <v>-431.38</v>
      </c>
      <c r="H48" s="896" t="s">
        <v>1529</v>
      </c>
      <c r="I48" s="1924"/>
      <c r="J48" s="1905"/>
      <c r="K48" s="1947"/>
      <c r="L48" s="1947"/>
      <c r="M48" s="190"/>
    </row>
    <row r="49" spans="1:14" s="168" customFormat="1" ht="15">
      <c r="A49" s="931">
        <v>44767</v>
      </c>
      <c r="B49" s="1124" t="s">
        <v>521</v>
      </c>
      <c r="C49" s="1124" t="s">
        <v>4407</v>
      </c>
      <c r="D49" s="936" t="s">
        <v>2536</v>
      </c>
      <c r="E49" s="950">
        <v>4639.33</v>
      </c>
      <c r="F49" s="649">
        <v>0</v>
      </c>
      <c r="G49" s="611">
        <v>4639.33</v>
      </c>
      <c r="H49" s="931">
        <v>44767</v>
      </c>
      <c r="I49" s="718">
        <v>4639.33</v>
      </c>
      <c r="J49" s="931">
        <v>44893</v>
      </c>
      <c r="K49" s="929" t="s">
        <v>3648</v>
      </c>
      <c r="L49" s="219"/>
      <c r="M49" s="190"/>
      <c r="N49" s="190"/>
    </row>
    <row r="50" spans="1:14" s="168" customFormat="1" ht="15">
      <c r="A50" s="1065">
        <v>44778</v>
      </c>
      <c r="B50" s="1124" t="s">
        <v>2518</v>
      </c>
      <c r="C50" s="1124" t="s">
        <v>4407</v>
      </c>
      <c r="D50" s="1068" t="s">
        <v>2601</v>
      </c>
      <c r="E50" s="1081">
        <v>610.79999999999995</v>
      </c>
      <c r="F50" s="649">
        <v>0</v>
      </c>
      <c r="G50" s="611">
        <v>610.79999999999995</v>
      </c>
      <c r="H50" s="1065">
        <v>44779</v>
      </c>
      <c r="I50" s="1923">
        <v>3613.36</v>
      </c>
      <c r="J50" s="1903">
        <v>44914</v>
      </c>
      <c r="K50" s="1935" t="s">
        <v>3807</v>
      </c>
      <c r="L50" s="166"/>
      <c r="M50" s="190"/>
      <c r="N50" s="190"/>
    </row>
    <row r="51" spans="1:14" s="168" customFormat="1" ht="15">
      <c r="A51" s="1065">
        <v>44783.000497685185</v>
      </c>
      <c r="B51" s="1124" t="s">
        <v>2518</v>
      </c>
      <c r="C51" s="1124" t="s">
        <v>4407</v>
      </c>
      <c r="D51" s="1068" t="s">
        <v>2672</v>
      </c>
      <c r="E51" s="1081">
        <v>1777.98</v>
      </c>
      <c r="F51" s="649">
        <v>0</v>
      </c>
      <c r="G51" s="611">
        <v>1777.98</v>
      </c>
      <c r="H51" s="1065">
        <v>44784.000497685185</v>
      </c>
      <c r="I51" s="1961"/>
      <c r="J51" s="1904"/>
      <c r="K51" s="1950"/>
      <c r="L51" s="166"/>
      <c r="M51" s="190"/>
      <c r="N51" s="190"/>
    </row>
    <row r="52" spans="1:14" s="168" customFormat="1" ht="15">
      <c r="A52" s="1065">
        <v>44834</v>
      </c>
      <c r="B52" s="1124" t="s">
        <v>2518</v>
      </c>
      <c r="C52" s="1124" t="s">
        <v>4407</v>
      </c>
      <c r="D52" s="1068" t="s">
        <v>3167</v>
      </c>
      <c r="E52" s="1081">
        <v>1224.58</v>
      </c>
      <c r="F52" s="649">
        <v>0</v>
      </c>
      <c r="G52" s="611">
        <v>1224.58</v>
      </c>
      <c r="H52" s="1065">
        <v>44835.000497685185</v>
      </c>
      <c r="I52" s="1924"/>
      <c r="J52" s="1905"/>
      <c r="K52" s="1947"/>
      <c r="L52" s="166"/>
      <c r="M52" s="190"/>
      <c r="N52" s="190"/>
    </row>
    <row r="53" spans="1:14" s="168" customFormat="1" ht="15">
      <c r="A53" s="1065">
        <v>44809</v>
      </c>
      <c r="B53" s="1124" t="s">
        <v>2518</v>
      </c>
      <c r="C53" s="1124" t="s">
        <v>4407</v>
      </c>
      <c r="D53" s="1068" t="s">
        <v>2956</v>
      </c>
      <c r="E53" s="1081">
        <v>3427.6</v>
      </c>
      <c r="F53" s="649">
        <v>0</v>
      </c>
      <c r="G53" s="611">
        <v>3427.6</v>
      </c>
      <c r="H53" s="1065">
        <v>44810</v>
      </c>
      <c r="I53" s="1923">
        <v>6570.81</v>
      </c>
      <c r="J53" s="1903">
        <v>44944</v>
      </c>
      <c r="K53" s="1938" t="s">
        <v>4000</v>
      </c>
      <c r="L53" s="219"/>
      <c r="M53" s="190"/>
      <c r="N53" s="190"/>
    </row>
    <row r="54" spans="1:14" s="168" customFormat="1" ht="15">
      <c r="A54" s="1065">
        <v>44831</v>
      </c>
      <c r="B54" s="1124" t="s">
        <v>2518</v>
      </c>
      <c r="C54" s="1124" t="s">
        <v>4407</v>
      </c>
      <c r="D54" s="1068" t="s">
        <v>3165</v>
      </c>
      <c r="E54" s="1081">
        <v>3143.21</v>
      </c>
      <c r="F54" s="649">
        <v>0</v>
      </c>
      <c r="G54" s="611">
        <v>3143.21</v>
      </c>
      <c r="H54" s="1065">
        <v>44832.000497685185</v>
      </c>
      <c r="I54" s="1924"/>
      <c r="J54" s="1905"/>
      <c r="K54" s="1947"/>
      <c r="L54" s="219"/>
      <c r="M54" s="190"/>
      <c r="N54" s="190"/>
    </row>
    <row r="55" spans="1:14" s="168" customFormat="1" ht="15">
      <c r="A55" s="1215">
        <v>44834</v>
      </c>
      <c r="B55" s="1215" t="s">
        <v>2518</v>
      </c>
      <c r="C55" s="1215" t="s">
        <v>4407</v>
      </c>
      <c r="D55" s="1216" t="s">
        <v>3168</v>
      </c>
      <c r="E55" s="1220">
        <v>962.5</v>
      </c>
      <c r="F55" s="649">
        <v>0</v>
      </c>
      <c r="G55" s="611">
        <v>962.5</v>
      </c>
      <c r="H55" s="1215">
        <v>44835.000497685185</v>
      </c>
      <c r="I55" s="718">
        <v>962.5</v>
      </c>
      <c r="J55" s="1215">
        <v>44993</v>
      </c>
      <c r="K55" s="1214" t="s">
        <v>4475</v>
      </c>
      <c r="L55" s="219"/>
      <c r="M55" s="190"/>
      <c r="N55" s="190"/>
    </row>
    <row r="56" spans="1:14" s="168" customFormat="1" ht="15">
      <c r="A56" s="1170">
        <v>44851.000497685185</v>
      </c>
      <c r="B56" s="1170" t="s">
        <v>2518</v>
      </c>
      <c r="C56" s="1170" t="s">
        <v>4407</v>
      </c>
      <c r="D56" s="1173" t="s">
        <v>3296</v>
      </c>
      <c r="E56" s="1179">
        <v>1819.44</v>
      </c>
      <c r="F56" s="649">
        <v>0</v>
      </c>
      <c r="G56" s="611">
        <v>1819.44</v>
      </c>
      <c r="H56" s="1170">
        <v>44852.000497685185</v>
      </c>
      <c r="I56" s="2143">
        <v>7779.45</v>
      </c>
      <c r="J56" s="1903">
        <v>44979</v>
      </c>
      <c r="K56" s="1938" t="s">
        <v>4247</v>
      </c>
      <c r="L56" s="219"/>
      <c r="M56" s="190"/>
      <c r="N56" s="190"/>
    </row>
    <row r="57" spans="1:14" ht="15">
      <c r="A57" s="1170">
        <v>44893</v>
      </c>
      <c r="B57" s="1170" t="s">
        <v>2518</v>
      </c>
      <c r="C57" s="1170" t="s">
        <v>4407</v>
      </c>
      <c r="D57" s="1173" t="s">
        <v>3606</v>
      </c>
      <c r="E57" s="1179">
        <v>5960.01</v>
      </c>
      <c r="F57" s="649">
        <v>0</v>
      </c>
      <c r="G57" s="611">
        <v>5960.01</v>
      </c>
      <c r="H57" s="1170">
        <v>44894</v>
      </c>
      <c r="I57" s="2144"/>
      <c r="J57" s="1905"/>
      <c r="K57" s="1947"/>
      <c r="L57" s="219"/>
    </row>
    <row r="58" spans="1:14" s="168" customFormat="1" ht="15">
      <c r="A58" s="1427">
        <v>44944</v>
      </c>
      <c r="B58" s="1427" t="s">
        <v>2518</v>
      </c>
      <c r="C58" s="1427" t="s">
        <v>4407</v>
      </c>
      <c r="D58" s="1428" t="s">
        <v>3954</v>
      </c>
      <c r="E58" s="1431">
        <v>4905.67</v>
      </c>
      <c r="F58" s="649">
        <v>0</v>
      </c>
      <c r="G58" s="611">
        <v>4905.67</v>
      </c>
      <c r="H58" s="1427">
        <v>45004</v>
      </c>
      <c r="I58" s="2143">
        <v>4194.16</v>
      </c>
      <c r="J58" s="1903">
        <v>45013</v>
      </c>
      <c r="K58" s="1938" t="s">
        <v>4658</v>
      </c>
      <c r="L58" s="219"/>
    </row>
    <row r="59" spans="1:14" s="168" customFormat="1" ht="15">
      <c r="A59" s="1427">
        <v>44978</v>
      </c>
      <c r="B59" s="1427" t="s">
        <v>2518</v>
      </c>
      <c r="C59" s="1427" t="s">
        <v>4407</v>
      </c>
      <c r="D59" s="1428" t="s">
        <v>4213</v>
      </c>
      <c r="E59" s="1431">
        <v>962.5</v>
      </c>
      <c r="F59" s="649">
        <v>0</v>
      </c>
      <c r="G59" s="611">
        <v>962.5</v>
      </c>
      <c r="H59" s="1427">
        <v>45038</v>
      </c>
      <c r="I59" s="2145"/>
      <c r="J59" s="1904"/>
      <c r="K59" s="1950"/>
      <c r="L59" s="219"/>
    </row>
    <row r="60" spans="1:14" s="168" customFormat="1" ht="15">
      <c r="A60" s="1427">
        <v>44993</v>
      </c>
      <c r="B60" s="1427" t="s">
        <v>2518</v>
      </c>
      <c r="C60" s="1427" t="s">
        <v>4407</v>
      </c>
      <c r="D60" s="1428" t="s">
        <v>4429</v>
      </c>
      <c r="E60" s="1431">
        <v>-732.5</v>
      </c>
      <c r="F60" s="649">
        <v>0</v>
      </c>
      <c r="G60" s="611">
        <v>-732.5</v>
      </c>
      <c r="H60" s="1427">
        <v>44993</v>
      </c>
      <c r="I60" s="2145"/>
      <c r="J60" s="1904"/>
      <c r="K60" s="1950"/>
      <c r="L60" s="219"/>
    </row>
    <row r="61" spans="1:14" s="168" customFormat="1" ht="15">
      <c r="A61" s="1427">
        <v>44993</v>
      </c>
      <c r="B61" s="1427" t="s">
        <v>2518</v>
      </c>
      <c r="C61" s="1427" t="s">
        <v>4407</v>
      </c>
      <c r="D61" s="1428" t="s">
        <v>4430</v>
      </c>
      <c r="E61" s="1431">
        <v>-916.52</v>
      </c>
      <c r="F61" s="649">
        <v>0</v>
      </c>
      <c r="G61" s="611">
        <v>-916.52</v>
      </c>
      <c r="H61" s="1427">
        <v>44993</v>
      </c>
      <c r="I61" s="2145"/>
      <c r="J61" s="1904"/>
      <c r="K61" s="1950"/>
      <c r="L61" s="219"/>
    </row>
    <row r="62" spans="1:14" s="168" customFormat="1" ht="15">
      <c r="A62" s="1427">
        <v>44994</v>
      </c>
      <c r="B62" s="1427" t="s">
        <v>2518</v>
      </c>
      <c r="C62" s="1427" t="s">
        <v>4407</v>
      </c>
      <c r="D62" s="1428" t="s">
        <v>4431</v>
      </c>
      <c r="E62" s="1431">
        <v>-24.99</v>
      </c>
      <c r="F62" s="649">
        <v>0</v>
      </c>
      <c r="G62" s="611">
        <v>-24.99</v>
      </c>
      <c r="H62" s="1427">
        <v>44994</v>
      </c>
      <c r="I62" s="2144"/>
      <c r="J62" s="1905"/>
      <c r="K62" s="1947"/>
      <c r="L62" s="219"/>
    </row>
    <row r="63" spans="1:14" s="168" customFormat="1" ht="28.5">
      <c r="A63" s="1427">
        <v>44992</v>
      </c>
      <c r="B63" s="1427" t="s">
        <v>2518</v>
      </c>
      <c r="C63" s="1427" t="s">
        <v>4407</v>
      </c>
      <c r="D63" s="1428" t="s">
        <v>4427</v>
      </c>
      <c r="E63" s="1431">
        <v>4848.2</v>
      </c>
      <c r="F63" s="649">
        <v>0</v>
      </c>
      <c r="G63" s="611">
        <v>4848.2</v>
      </c>
      <c r="H63" s="1427">
        <v>44992</v>
      </c>
      <c r="I63" s="718">
        <v>4848.2</v>
      </c>
      <c r="J63" s="1427">
        <v>45068</v>
      </c>
      <c r="K63" s="1432" t="s">
        <v>5233</v>
      </c>
      <c r="L63" s="219"/>
    </row>
    <row r="64" spans="1:14" s="168" customFormat="1" ht="15">
      <c r="A64" s="1484">
        <v>44993</v>
      </c>
      <c r="B64" s="1484" t="s">
        <v>2518</v>
      </c>
      <c r="C64" s="1484" t="s">
        <v>4407</v>
      </c>
      <c r="D64" s="1486" t="s">
        <v>4428</v>
      </c>
      <c r="E64" s="1488">
        <v>3033.98</v>
      </c>
      <c r="F64" s="649">
        <v>0</v>
      </c>
      <c r="G64" s="611">
        <v>3033.98</v>
      </c>
      <c r="H64" s="1484">
        <v>44993</v>
      </c>
      <c r="I64" s="2143">
        <v>4473.3900000000003</v>
      </c>
      <c r="J64" s="1903">
        <v>45096</v>
      </c>
      <c r="K64" s="1938" t="s">
        <v>5457</v>
      </c>
      <c r="L64" s="219"/>
    </row>
    <row r="65" spans="1:12" s="168" customFormat="1" ht="15">
      <c r="A65" s="1484">
        <v>45014</v>
      </c>
      <c r="B65" s="1484" t="s">
        <v>2518</v>
      </c>
      <c r="C65" s="1484" t="s">
        <v>4407</v>
      </c>
      <c r="D65" s="1486" t="s">
        <v>4627</v>
      </c>
      <c r="E65" s="1488">
        <v>1439.41</v>
      </c>
      <c r="F65" s="649">
        <v>0</v>
      </c>
      <c r="G65" s="611">
        <v>1439.41</v>
      </c>
      <c r="H65" s="1484">
        <v>45074</v>
      </c>
      <c r="I65" s="2144"/>
      <c r="J65" s="1905"/>
      <c r="K65" s="1947"/>
      <c r="L65" s="219"/>
    </row>
    <row r="66" spans="1:12" s="168" customFormat="1" ht="28.5">
      <c r="A66" s="1549">
        <v>45065</v>
      </c>
      <c r="B66" s="1549" t="s">
        <v>2518</v>
      </c>
      <c r="C66" s="1549" t="s">
        <v>4407</v>
      </c>
      <c r="D66" s="1551" t="s">
        <v>5103</v>
      </c>
      <c r="E66" s="1555">
        <v>5397.65</v>
      </c>
      <c r="F66" s="649">
        <v>0</v>
      </c>
      <c r="G66" s="611">
        <v>5397.65</v>
      </c>
      <c r="H66" s="1549">
        <v>45125</v>
      </c>
      <c r="I66" s="718">
        <v>5397.65</v>
      </c>
      <c r="J66" s="1738">
        <v>45125</v>
      </c>
      <c r="K66" s="1558" t="s">
        <v>5663</v>
      </c>
      <c r="L66" s="219"/>
    </row>
    <row r="67" spans="1:12" s="168" customFormat="1" ht="28.5">
      <c r="A67" s="1549">
        <v>45065</v>
      </c>
      <c r="B67" s="1549" t="s">
        <v>2518</v>
      </c>
      <c r="C67" s="1549" t="s">
        <v>4407</v>
      </c>
      <c r="D67" s="1551" t="s">
        <v>5104</v>
      </c>
      <c r="E67" s="1555">
        <v>-261.69</v>
      </c>
      <c r="F67" s="649">
        <v>0</v>
      </c>
      <c r="G67" s="611">
        <v>-261.69</v>
      </c>
      <c r="H67" s="1549"/>
      <c r="I67" s="718">
        <v>-261.69</v>
      </c>
      <c r="J67" s="1549">
        <v>45125</v>
      </c>
      <c r="K67" s="1558" t="s">
        <v>5664</v>
      </c>
      <c r="L67" s="219"/>
    </row>
    <row r="68" spans="1:12" s="168" customFormat="1" ht="15">
      <c r="A68" s="1738">
        <v>45125</v>
      </c>
      <c r="B68" s="1738" t="s">
        <v>2518</v>
      </c>
      <c r="C68" s="1738" t="s">
        <v>4407</v>
      </c>
      <c r="D68" s="1742" t="s">
        <v>5631</v>
      </c>
      <c r="E68" s="1752">
        <v>2769.06</v>
      </c>
      <c r="F68" s="649">
        <v>0</v>
      </c>
      <c r="G68" s="611">
        <v>2769.06</v>
      </c>
      <c r="H68" s="1738">
        <v>45185</v>
      </c>
      <c r="I68" s="718">
        <v>2769.06</v>
      </c>
      <c r="J68" s="1738">
        <v>45196</v>
      </c>
      <c r="K68" s="1401" t="s">
        <v>6272</v>
      </c>
      <c r="L68" s="219"/>
    </row>
    <row r="69" spans="1:12" s="168" customFormat="1" ht="15">
      <c r="A69" s="623">
        <v>45197</v>
      </c>
      <c r="B69" s="623" t="s">
        <v>2518</v>
      </c>
      <c r="C69" s="623" t="s">
        <v>4407</v>
      </c>
      <c r="D69" s="624" t="s">
        <v>6190</v>
      </c>
      <c r="E69" s="603">
        <v>7434.35</v>
      </c>
      <c r="F69" s="644">
        <v>0</v>
      </c>
      <c r="G69" s="605">
        <v>7434.35</v>
      </c>
      <c r="H69" s="623">
        <v>45256</v>
      </c>
      <c r="I69" s="718"/>
      <c r="J69" s="1403"/>
      <c r="K69" s="1401"/>
      <c r="L69" s="219"/>
    </row>
    <row r="70" spans="1:12" s="168" customFormat="1" ht="15">
      <c r="A70" s="623">
        <v>45198</v>
      </c>
      <c r="B70" s="623" t="s">
        <v>2518</v>
      </c>
      <c r="C70" s="623" t="s">
        <v>4407</v>
      </c>
      <c r="D70" s="624" t="s">
        <v>6191</v>
      </c>
      <c r="E70" s="603">
        <v>-28.56</v>
      </c>
      <c r="F70" s="644">
        <v>0</v>
      </c>
      <c r="G70" s="605">
        <v>-28.56</v>
      </c>
      <c r="H70" s="623"/>
      <c r="I70" s="718"/>
      <c r="J70" s="1403"/>
      <c r="K70" s="1401"/>
      <c r="L70" s="219"/>
    </row>
    <row r="71" spans="1:12" s="168" customFormat="1" ht="15">
      <c r="A71" s="623">
        <v>45198</v>
      </c>
      <c r="B71" s="623" t="s">
        <v>2518</v>
      </c>
      <c r="C71" s="623" t="s">
        <v>4407</v>
      </c>
      <c r="D71" s="624" t="s">
        <v>6192</v>
      </c>
      <c r="E71" s="603">
        <v>-488.99</v>
      </c>
      <c r="F71" s="644">
        <v>0</v>
      </c>
      <c r="G71" s="605">
        <v>-488.99</v>
      </c>
      <c r="H71" s="623"/>
      <c r="I71" s="718"/>
      <c r="J71" s="1403"/>
      <c r="K71" s="1401"/>
      <c r="L71" s="219"/>
    </row>
    <row r="72" spans="1:12" s="168" customFormat="1" ht="15">
      <c r="A72" s="623">
        <v>45208</v>
      </c>
      <c r="B72" s="623" t="s">
        <v>2518</v>
      </c>
      <c r="C72" s="623" t="s">
        <v>4407</v>
      </c>
      <c r="D72" s="624" t="s">
        <v>6315</v>
      </c>
      <c r="E72" s="603">
        <v>0.01</v>
      </c>
      <c r="F72" s="644">
        <v>0</v>
      </c>
      <c r="G72" s="605">
        <v>0.01</v>
      </c>
      <c r="H72" s="623">
        <v>45209</v>
      </c>
      <c r="I72" s="718"/>
      <c r="J72" s="1403"/>
      <c r="K72" s="1401"/>
      <c r="L72" s="219"/>
    </row>
    <row r="73" spans="1:12" s="168" customFormat="1" ht="15">
      <c r="A73" s="623">
        <v>45212</v>
      </c>
      <c r="B73" s="623" t="s">
        <v>2518</v>
      </c>
      <c r="C73" s="623" t="s">
        <v>4407</v>
      </c>
      <c r="D73" s="624" t="s">
        <v>6316</v>
      </c>
      <c r="E73" s="603">
        <v>211.68</v>
      </c>
      <c r="F73" s="644">
        <v>0</v>
      </c>
      <c r="G73" s="605">
        <v>211.68</v>
      </c>
      <c r="H73" s="623">
        <v>45271</v>
      </c>
      <c r="I73" s="718"/>
      <c r="J73" s="1403"/>
      <c r="K73" s="1401"/>
      <c r="L73" s="219"/>
    </row>
    <row r="74" spans="1:12" s="168" customFormat="1" ht="15">
      <c r="A74" s="623"/>
      <c r="B74" s="623"/>
      <c r="C74" s="623"/>
      <c r="D74" s="624"/>
      <c r="E74" s="603"/>
      <c r="F74" s="644"/>
      <c r="G74" s="605"/>
      <c r="H74" s="623"/>
      <c r="I74" s="718"/>
      <c r="J74" s="1403"/>
      <c r="K74" s="1401"/>
      <c r="L74" s="219"/>
    </row>
    <row r="75" spans="1:12" s="168" customFormat="1" ht="15">
      <c r="A75" s="623"/>
      <c r="B75" s="623"/>
      <c r="C75" s="623"/>
      <c r="D75" s="624"/>
      <c r="E75" s="603"/>
      <c r="F75" s="644"/>
      <c r="G75" s="605"/>
      <c r="H75" s="623"/>
      <c r="I75" s="718"/>
      <c r="J75" s="1274"/>
      <c r="K75" s="1272"/>
      <c r="L75" s="219"/>
    </row>
    <row r="76" spans="1:12" s="168" customFormat="1" ht="15">
      <c r="A76" s="623"/>
      <c r="B76" s="623"/>
      <c r="C76" s="623"/>
      <c r="D76" s="624"/>
      <c r="E76" s="603"/>
      <c r="F76" s="644"/>
      <c r="G76" s="605"/>
      <c r="H76" s="623"/>
      <c r="I76" s="718"/>
      <c r="J76" s="1274"/>
      <c r="K76" s="1272"/>
      <c r="L76" s="219"/>
    </row>
    <row r="77" spans="1:12" ht="15">
      <c r="A77" s="623"/>
      <c r="B77" s="623"/>
      <c r="C77" s="623"/>
      <c r="D77" s="624"/>
      <c r="E77" s="603"/>
      <c r="F77" s="644"/>
      <c r="G77" s="605"/>
      <c r="H77" s="623"/>
      <c r="I77" s="718"/>
      <c r="J77" s="1274"/>
      <c r="K77" s="1272"/>
      <c r="L77" s="219"/>
    </row>
    <row r="78" spans="1:12" ht="15">
      <c r="A78" s="621"/>
      <c r="B78" s="1125"/>
      <c r="C78" s="1125"/>
      <c r="D78" s="619"/>
      <c r="E78" s="619"/>
      <c r="F78" s="1144" t="s">
        <v>545</v>
      </c>
      <c r="G78" s="651">
        <f>SUM(G20:G77)-SUM(I20:I77)</f>
        <v>7128.4899999999907</v>
      </c>
      <c r="H78" s="639"/>
      <c r="I78" s="718"/>
      <c r="J78" s="747"/>
      <c r="K78" s="1272"/>
      <c r="L78" s="226"/>
    </row>
    <row r="79" spans="1:12">
      <c r="I79" s="1285"/>
      <c r="J79" s="388"/>
      <c r="K79" s="269"/>
    </row>
  </sheetData>
  <mergeCells count="80">
    <mergeCell ref="I56:I57"/>
    <mergeCell ref="K56:K57"/>
    <mergeCell ref="J56:J57"/>
    <mergeCell ref="C32:C34"/>
    <mergeCell ref="B32:B34"/>
    <mergeCell ref="K53:K54"/>
    <mergeCell ref="J53:J54"/>
    <mergeCell ref="I53:I54"/>
    <mergeCell ref="K35:K36"/>
    <mergeCell ref="J35:J36"/>
    <mergeCell ref="E32:E34"/>
    <mergeCell ref="I31:I32"/>
    <mergeCell ref="F32:F34"/>
    <mergeCell ref="D30:D31"/>
    <mergeCell ref="I8:I10"/>
    <mergeCell ref="F17:F18"/>
    <mergeCell ref="I23:I24"/>
    <mergeCell ref="F22:F23"/>
    <mergeCell ref="F24:F25"/>
    <mergeCell ref="A3:A5"/>
    <mergeCell ref="F3:F5"/>
    <mergeCell ref="F10:F11"/>
    <mergeCell ref="E10:E11"/>
    <mergeCell ref="D10:D11"/>
    <mergeCell ref="A10:A11"/>
    <mergeCell ref="E3:E5"/>
    <mergeCell ref="D3:D5"/>
    <mergeCell ref="A27:A28"/>
    <mergeCell ref="E24:E25"/>
    <mergeCell ref="D22:D23"/>
    <mergeCell ref="K6:K7"/>
    <mergeCell ref="K8:K10"/>
    <mergeCell ref="J6:J7"/>
    <mergeCell ref="J8:J10"/>
    <mergeCell ref="F27:F28"/>
    <mergeCell ref="B27:B28"/>
    <mergeCell ref="C27:C28"/>
    <mergeCell ref="E22:E23"/>
    <mergeCell ref="C22:C23"/>
    <mergeCell ref="B22:B23"/>
    <mergeCell ref="C24:C25"/>
    <mergeCell ref="B24:B25"/>
    <mergeCell ref="I6:I7"/>
    <mergeCell ref="L38:L48"/>
    <mergeCell ref="A17:A18"/>
    <mergeCell ref="L30:L31"/>
    <mergeCell ref="K28:K30"/>
    <mergeCell ref="J28:J30"/>
    <mergeCell ref="I28:I30"/>
    <mergeCell ref="K23:K24"/>
    <mergeCell ref="J23:J24"/>
    <mergeCell ref="A22:A23"/>
    <mergeCell ref="A24:A25"/>
    <mergeCell ref="E27:E28"/>
    <mergeCell ref="I35:I36"/>
    <mergeCell ref="D27:D28"/>
    <mergeCell ref="E17:E18"/>
    <mergeCell ref="D17:D18"/>
    <mergeCell ref="D24:D25"/>
    <mergeCell ref="A30:A31"/>
    <mergeCell ref="K50:K52"/>
    <mergeCell ref="J50:J52"/>
    <mergeCell ref="I50:I52"/>
    <mergeCell ref="J38:J48"/>
    <mergeCell ref="I38:I48"/>
    <mergeCell ref="K38:K48"/>
    <mergeCell ref="K31:K32"/>
    <mergeCell ref="J31:J32"/>
    <mergeCell ref="D32:D34"/>
    <mergeCell ref="A32:A34"/>
    <mergeCell ref="E30:E31"/>
    <mergeCell ref="B30:B31"/>
    <mergeCell ref="C30:C31"/>
    <mergeCell ref="F30:F31"/>
    <mergeCell ref="K64:K65"/>
    <mergeCell ref="J64:J65"/>
    <mergeCell ref="I64:I65"/>
    <mergeCell ref="K58:K62"/>
    <mergeCell ref="J58:J62"/>
    <mergeCell ref="I58:I62"/>
  </mergeCells>
  <phoneticPr fontId="15" type="noConversion"/>
  <hyperlinks>
    <hyperlink ref="F78" location="汇总!A1" display="剩余欠款"/>
  </hyperlink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N187"/>
  <sheetViews>
    <sheetView workbookViewId="0">
      <pane ySplit="1" topLeftCell="A153" activePane="bottomLeft" state="frozen"/>
      <selection activeCell="C33" sqref="C33"/>
      <selection pane="bottomLeft" activeCell="F179" sqref="F179"/>
    </sheetView>
  </sheetViews>
  <sheetFormatPr defaultRowHeight="14.25"/>
  <cols>
    <col min="1" max="1" width="18.375" style="125" bestFit="1" customWidth="1"/>
    <col min="2" max="2" width="9" style="189" bestFit="1" customWidth="1"/>
    <col min="3" max="3" width="24.375" style="189" bestFit="1" customWidth="1"/>
    <col min="4" max="4" width="17" style="237" bestFit="1" customWidth="1"/>
    <col min="5" max="5" width="16.75" style="237" customWidth="1"/>
    <col min="6" max="6" width="11.625" style="237" customWidth="1"/>
    <col min="7" max="7" width="15.375" style="134" bestFit="1" customWidth="1"/>
    <col min="8" max="8" width="20.625" style="134" bestFit="1" customWidth="1"/>
    <col min="9" max="9" width="16" style="134" bestFit="1" customWidth="1"/>
    <col min="10" max="10" width="15.375" style="168" bestFit="1" customWidth="1"/>
    <col min="11" max="11" width="15.375" style="102" bestFit="1" customWidth="1"/>
    <col min="12" max="12" width="50.125" style="102" customWidth="1"/>
    <col min="13" max="13" width="13.875" style="102" bestFit="1" customWidth="1"/>
    <col min="14" max="16384" width="9" style="102"/>
  </cols>
  <sheetData>
    <row r="1" spans="1:14" s="96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6" t="s">
        <v>542</v>
      </c>
    </row>
    <row r="2" spans="1:14" ht="15" hidden="1">
      <c r="A2" s="238">
        <v>44285</v>
      </c>
      <c r="B2" s="1124" t="s">
        <v>522</v>
      </c>
      <c r="C2" s="1124" t="s">
        <v>4017</v>
      </c>
      <c r="D2" s="236" t="s">
        <v>818</v>
      </c>
      <c r="E2" s="534"/>
      <c r="F2" s="534"/>
      <c r="G2" s="172">
        <v>1416.89</v>
      </c>
      <c r="H2" s="238">
        <v>44285</v>
      </c>
      <c r="I2" s="2159">
        <f>3725+0.14</f>
        <v>3725.14</v>
      </c>
      <c r="J2" s="2158">
        <v>44342</v>
      </c>
      <c r="K2" s="1879" t="s">
        <v>550</v>
      </c>
      <c r="L2" s="90" t="s">
        <v>819</v>
      </c>
      <c r="M2" s="168"/>
      <c r="N2" s="190"/>
    </row>
    <row r="3" spans="1:14" ht="15" hidden="1">
      <c r="A3" s="238">
        <v>44291</v>
      </c>
      <c r="B3" s="1124" t="s">
        <v>522</v>
      </c>
      <c r="C3" s="1124" t="s">
        <v>4017</v>
      </c>
      <c r="D3" s="236" t="s">
        <v>820</v>
      </c>
      <c r="E3" s="534"/>
      <c r="F3" s="534"/>
      <c r="G3" s="172">
        <v>684.25</v>
      </c>
      <c r="H3" s="238">
        <v>44291</v>
      </c>
      <c r="I3" s="2159"/>
      <c r="J3" s="1879"/>
      <c r="K3" s="1879"/>
      <c r="L3" s="118"/>
      <c r="N3" s="190"/>
    </row>
    <row r="4" spans="1:14" ht="15" hidden="1">
      <c r="A4" s="238">
        <v>44294</v>
      </c>
      <c r="B4" s="1124" t="s">
        <v>522</v>
      </c>
      <c r="C4" s="1124" t="s">
        <v>4017</v>
      </c>
      <c r="D4" s="236" t="s">
        <v>821</v>
      </c>
      <c r="E4" s="534"/>
      <c r="F4" s="534"/>
      <c r="G4" s="172">
        <v>1624</v>
      </c>
      <c r="H4" s="238">
        <v>44294</v>
      </c>
      <c r="I4" s="2159"/>
      <c r="J4" s="1879"/>
      <c r="K4" s="1879"/>
      <c r="L4" s="118"/>
      <c r="M4" s="168"/>
      <c r="N4" s="190"/>
    </row>
    <row r="5" spans="1:14" ht="15" hidden="1">
      <c r="A5" s="238">
        <v>44313</v>
      </c>
      <c r="B5" s="1124" t="s">
        <v>522</v>
      </c>
      <c r="C5" s="1124" t="s">
        <v>4017</v>
      </c>
      <c r="D5" s="236" t="s">
        <v>822</v>
      </c>
      <c r="E5" s="534"/>
      <c r="F5" s="534"/>
      <c r="G5" s="172">
        <v>85</v>
      </c>
      <c r="H5" s="238">
        <v>44313</v>
      </c>
      <c r="I5" s="2159">
        <v>1050.5899999999999</v>
      </c>
      <c r="J5" s="2158">
        <v>44399</v>
      </c>
      <c r="K5" s="1879" t="s">
        <v>550</v>
      </c>
      <c r="L5" s="1879"/>
      <c r="M5" s="168"/>
      <c r="N5" s="190"/>
    </row>
    <row r="6" spans="1:14" ht="15" hidden="1">
      <c r="A6" s="238">
        <v>44327</v>
      </c>
      <c r="B6" s="1124" t="s">
        <v>522</v>
      </c>
      <c r="C6" s="1124" t="s">
        <v>4017</v>
      </c>
      <c r="D6" s="236" t="s">
        <v>823</v>
      </c>
      <c r="E6" s="534"/>
      <c r="F6" s="534"/>
      <c r="G6" s="172">
        <v>402.25</v>
      </c>
      <c r="H6" s="238">
        <v>44327</v>
      </c>
      <c r="I6" s="2159"/>
      <c r="J6" s="1879"/>
      <c r="K6" s="1879"/>
      <c r="L6" s="1879"/>
      <c r="M6" s="168"/>
      <c r="N6" s="190"/>
    </row>
    <row r="7" spans="1:14" ht="15" hidden="1">
      <c r="A7" s="238">
        <v>44330</v>
      </c>
      <c r="B7" s="1124" t="s">
        <v>522</v>
      </c>
      <c r="C7" s="1124" t="s">
        <v>4017</v>
      </c>
      <c r="D7" s="236" t="s">
        <v>824</v>
      </c>
      <c r="E7" s="534"/>
      <c r="F7" s="534"/>
      <c r="G7" s="172">
        <v>563.34</v>
      </c>
      <c r="H7" s="238">
        <v>44330</v>
      </c>
      <c r="I7" s="2159"/>
      <c r="J7" s="1879"/>
      <c r="K7" s="1879"/>
      <c r="L7" s="1879"/>
      <c r="M7" s="168"/>
      <c r="N7" s="190"/>
    </row>
    <row r="8" spans="1:14" ht="15" hidden="1">
      <c r="A8" s="238">
        <v>44393</v>
      </c>
      <c r="B8" s="1124" t="s">
        <v>522</v>
      </c>
      <c r="C8" s="1124" t="s">
        <v>4017</v>
      </c>
      <c r="D8" s="236" t="s">
        <v>825</v>
      </c>
      <c r="E8" s="534"/>
      <c r="F8" s="534"/>
      <c r="G8" s="172">
        <v>898</v>
      </c>
      <c r="H8" s="238">
        <v>44393</v>
      </c>
      <c r="I8" s="296">
        <v>898</v>
      </c>
      <c r="J8" s="238">
        <v>44440</v>
      </c>
      <c r="K8" s="236" t="s">
        <v>550</v>
      </c>
      <c r="L8" s="226"/>
      <c r="M8" s="168"/>
      <c r="N8" s="190"/>
    </row>
    <row r="9" spans="1:14" ht="15" hidden="1">
      <c r="A9" s="238">
        <v>44442</v>
      </c>
      <c r="B9" s="1124" t="s">
        <v>522</v>
      </c>
      <c r="C9" s="1124" t="s">
        <v>4017</v>
      </c>
      <c r="D9" s="236" t="s">
        <v>826</v>
      </c>
      <c r="E9" s="534"/>
      <c r="F9" s="534"/>
      <c r="G9" s="172">
        <v>5104.18</v>
      </c>
      <c r="H9" s="238">
        <v>44442</v>
      </c>
      <c r="I9" s="296">
        <v>2</v>
      </c>
      <c r="J9" s="238">
        <v>44440</v>
      </c>
      <c r="K9" s="236" t="s">
        <v>550</v>
      </c>
      <c r="L9" s="226"/>
      <c r="M9" s="168"/>
      <c r="N9" s="190"/>
    </row>
    <row r="10" spans="1:14" ht="15" hidden="1">
      <c r="A10" s="238"/>
      <c r="B10" s="1124"/>
      <c r="C10" s="1124"/>
      <c r="D10" s="236" t="s">
        <v>1855</v>
      </c>
      <c r="E10" s="534"/>
      <c r="F10" s="534"/>
      <c r="G10" s="172">
        <f>SUM(G2:G9)-I2-I5-I8-I9</f>
        <v>5102.18</v>
      </c>
      <c r="H10" s="238"/>
      <c r="I10" s="296">
        <v>5104</v>
      </c>
      <c r="J10" s="238">
        <v>44489</v>
      </c>
      <c r="K10" s="236" t="s">
        <v>550</v>
      </c>
      <c r="L10" s="226"/>
    </row>
    <row r="11" spans="1:14" ht="15" hidden="1">
      <c r="A11" s="238"/>
      <c r="B11" s="1124"/>
      <c r="C11" s="1124"/>
      <c r="D11" s="236" t="s">
        <v>1855</v>
      </c>
      <c r="E11" s="534"/>
      <c r="F11" s="534"/>
      <c r="G11" s="172">
        <f>G10-I10</f>
        <v>-1.819999999999709</v>
      </c>
      <c r="H11" s="238"/>
      <c r="I11" s="2159">
        <v>5000</v>
      </c>
      <c r="J11" s="2158">
        <v>44529</v>
      </c>
      <c r="K11" s="1879" t="s">
        <v>550</v>
      </c>
      <c r="L11" s="226"/>
    </row>
    <row r="12" spans="1:14" ht="15" hidden="1">
      <c r="A12" s="238">
        <v>44489</v>
      </c>
      <c r="B12" s="1124" t="s">
        <v>522</v>
      </c>
      <c r="C12" s="1124" t="s">
        <v>4017</v>
      </c>
      <c r="D12" s="236" t="s">
        <v>827</v>
      </c>
      <c r="E12" s="534"/>
      <c r="F12" s="534"/>
      <c r="G12" s="172">
        <v>3439.52</v>
      </c>
      <c r="H12" s="238">
        <v>44489</v>
      </c>
      <c r="I12" s="2159"/>
      <c r="J12" s="1879"/>
      <c r="K12" s="1879"/>
      <c r="L12" s="226"/>
      <c r="M12" s="168"/>
      <c r="N12" s="190"/>
    </row>
    <row r="13" spans="1:14" ht="15" hidden="1">
      <c r="A13" s="238">
        <v>44494</v>
      </c>
      <c r="B13" s="1124" t="s">
        <v>522</v>
      </c>
      <c r="C13" s="1124" t="s">
        <v>4017</v>
      </c>
      <c r="D13" s="236" t="s">
        <v>828</v>
      </c>
      <c r="E13" s="534"/>
      <c r="F13" s="534"/>
      <c r="G13" s="172">
        <v>5002.08</v>
      </c>
      <c r="H13" s="238">
        <v>44494</v>
      </c>
      <c r="I13" s="2159"/>
      <c r="J13" s="1879"/>
      <c r="K13" s="1879"/>
      <c r="L13" s="226"/>
      <c r="M13" s="168"/>
      <c r="N13" s="190"/>
    </row>
    <row r="14" spans="1:14" ht="15" hidden="1">
      <c r="A14" s="238"/>
      <c r="B14" s="1124"/>
      <c r="C14" s="1124"/>
      <c r="D14" s="236" t="s">
        <v>1855</v>
      </c>
      <c r="E14" s="534"/>
      <c r="F14" s="534"/>
      <c r="G14" s="172">
        <f>SUM(G11:G13)-I11</f>
        <v>3439.7800000000007</v>
      </c>
      <c r="H14" s="238"/>
      <c r="I14" s="2159">
        <f>7906+0.38</f>
        <v>7906.38</v>
      </c>
      <c r="J14" s="2158">
        <v>44557</v>
      </c>
      <c r="K14" s="1879" t="s">
        <v>550</v>
      </c>
      <c r="L14" s="226"/>
    </row>
    <row r="15" spans="1:14" ht="15" hidden="1">
      <c r="A15" s="238">
        <v>44508</v>
      </c>
      <c r="B15" s="1124" t="s">
        <v>522</v>
      </c>
      <c r="C15" s="1124" t="s">
        <v>4017</v>
      </c>
      <c r="D15" s="236" t="s">
        <v>829</v>
      </c>
      <c r="E15" s="534"/>
      <c r="F15" s="534"/>
      <c r="G15" s="172">
        <v>2047.9</v>
      </c>
      <c r="H15" s="238">
        <v>44508</v>
      </c>
      <c r="I15" s="2159"/>
      <c r="J15" s="1879"/>
      <c r="K15" s="1879"/>
      <c r="L15" s="226"/>
      <c r="M15" s="168"/>
      <c r="N15" s="190"/>
    </row>
    <row r="16" spans="1:14" ht="15" hidden="1">
      <c r="A16" s="238">
        <v>44526</v>
      </c>
      <c r="B16" s="1124" t="s">
        <v>522</v>
      </c>
      <c r="C16" s="1124" t="s">
        <v>4017</v>
      </c>
      <c r="D16" s="236" t="s">
        <v>830</v>
      </c>
      <c r="E16" s="534"/>
      <c r="F16" s="534"/>
      <c r="G16" s="172">
        <v>108.5</v>
      </c>
      <c r="H16" s="238">
        <v>44526</v>
      </c>
      <c r="I16" s="2159"/>
      <c r="J16" s="1879"/>
      <c r="K16" s="1879"/>
      <c r="L16" s="226"/>
      <c r="M16" s="168"/>
      <c r="N16" s="190"/>
    </row>
    <row r="17" spans="1:14" ht="15" hidden="1">
      <c r="A17" s="238">
        <v>44537</v>
      </c>
      <c r="B17" s="1124" t="s">
        <v>522</v>
      </c>
      <c r="C17" s="1124" t="s">
        <v>4017</v>
      </c>
      <c r="D17" s="236" t="s">
        <v>831</v>
      </c>
      <c r="E17" s="534"/>
      <c r="F17" s="534"/>
      <c r="G17" s="172">
        <v>1311.2</v>
      </c>
      <c r="H17" s="238">
        <v>44537</v>
      </c>
      <c r="I17" s="2159"/>
      <c r="J17" s="1879"/>
      <c r="K17" s="1879"/>
      <c r="L17" s="226"/>
      <c r="M17" s="168"/>
      <c r="N17" s="190"/>
    </row>
    <row r="18" spans="1:14" ht="15" hidden="1">
      <c r="A18" s="238">
        <v>44546</v>
      </c>
      <c r="B18" s="1124" t="s">
        <v>522</v>
      </c>
      <c r="C18" s="1124" t="s">
        <v>4017</v>
      </c>
      <c r="D18" s="236" t="s">
        <v>833</v>
      </c>
      <c r="E18" s="534"/>
      <c r="F18" s="534"/>
      <c r="G18" s="172">
        <v>999</v>
      </c>
      <c r="H18" s="238">
        <v>44546</v>
      </c>
      <c r="I18" s="2159"/>
      <c r="J18" s="1879"/>
      <c r="K18" s="1879"/>
      <c r="L18" s="226"/>
      <c r="M18" s="168"/>
      <c r="N18" s="190"/>
    </row>
    <row r="19" spans="1:14" ht="15">
      <c r="A19" s="620"/>
      <c r="B19" s="1124"/>
      <c r="C19" s="1124"/>
      <c r="D19" s="621"/>
      <c r="E19" s="620" t="s">
        <v>3099</v>
      </c>
      <c r="F19" s="621" t="s">
        <v>3098</v>
      </c>
      <c r="G19" s="639">
        <f>SUM(G14:G18)-I14</f>
        <v>0</v>
      </c>
      <c r="H19" s="620"/>
      <c r="I19" s="715"/>
      <c r="J19" s="621"/>
      <c r="K19" s="236"/>
      <c r="L19" s="226"/>
      <c r="M19" s="168"/>
    </row>
    <row r="20" spans="1:14" ht="15">
      <c r="A20" s="620">
        <v>44580</v>
      </c>
      <c r="B20" s="1124" t="s">
        <v>522</v>
      </c>
      <c r="C20" s="1124" t="s">
        <v>4017</v>
      </c>
      <c r="D20" s="620" t="s">
        <v>1863</v>
      </c>
      <c r="E20" s="696">
        <v>177.7</v>
      </c>
      <c r="F20" s="694">
        <v>0</v>
      </c>
      <c r="G20" s="639">
        <v>177.7</v>
      </c>
      <c r="H20" s="620">
        <v>44580</v>
      </c>
      <c r="I20" s="2160">
        <f>5295+0.91</f>
        <v>5295.91</v>
      </c>
      <c r="J20" s="1948">
        <v>44620</v>
      </c>
      <c r="K20" s="2158" t="s">
        <v>550</v>
      </c>
      <c r="L20" s="217"/>
      <c r="M20" s="168"/>
      <c r="N20" s="190"/>
    </row>
    <row r="21" spans="1:14" ht="15">
      <c r="A21" s="620">
        <v>44585</v>
      </c>
      <c r="B21" s="1124" t="s">
        <v>522</v>
      </c>
      <c r="C21" s="1124" t="s">
        <v>4017</v>
      </c>
      <c r="D21" s="620" t="s">
        <v>834</v>
      </c>
      <c r="E21" s="696">
        <v>1400</v>
      </c>
      <c r="F21" s="694">
        <v>0</v>
      </c>
      <c r="G21" s="639">
        <v>1400</v>
      </c>
      <c r="H21" s="620">
        <v>44582</v>
      </c>
      <c r="I21" s="2160"/>
      <c r="J21" s="1948"/>
      <c r="K21" s="2158"/>
      <c r="L21" s="217"/>
      <c r="M21" s="168"/>
      <c r="N21" s="190"/>
    </row>
    <row r="22" spans="1:14" ht="15">
      <c r="A22" s="1918">
        <v>44588</v>
      </c>
      <c r="B22" s="1918" t="s">
        <v>522</v>
      </c>
      <c r="C22" s="1918" t="s">
        <v>4017</v>
      </c>
      <c r="D22" s="1918" t="s">
        <v>835</v>
      </c>
      <c r="E22" s="2083">
        <v>9184.01</v>
      </c>
      <c r="F22" s="2078">
        <v>0</v>
      </c>
      <c r="G22" s="639">
        <f>9184.01-5465.8</f>
        <v>3718.21</v>
      </c>
      <c r="H22" s="620">
        <v>44588</v>
      </c>
      <c r="I22" s="2160"/>
      <c r="J22" s="1948"/>
      <c r="K22" s="2158"/>
      <c r="L22" s="217"/>
      <c r="M22" s="168"/>
      <c r="N22" s="190"/>
    </row>
    <row r="23" spans="1:14" ht="15">
      <c r="A23" s="1920"/>
      <c r="B23" s="1920"/>
      <c r="C23" s="1920"/>
      <c r="D23" s="1920"/>
      <c r="E23" s="2085"/>
      <c r="F23" s="2080"/>
      <c r="G23" s="639">
        <v>5465.8</v>
      </c>
      <c r="H23" s="620">
        <v>44588</v>
      </c>
      <c r="I23" s="2160">
        <v>6000</v>
      </c>
      <c r="J23" s="1948">
        <v>44621</v>
      </c>
      <c r="K23" s="2158" t="s">
        <v>544</v>
      </c>
      <c r="L23" s="217"/>
      <c r="M23" s="168"/>
    </row>
    <row r="24" spans="1:14" ht="15">
      <c r="A24" s="620">
        <v>44600</v>
      </c>
      <c r="B24" s="1124" t="s">
        <v>521</v>
      </c>
      <c r="C24" s="1124" t="s">
        <v>4017</v>
      </c>
      <c r="D24" s="620" t="s">
        <v>836</v>
      </c>
      <c r="E24" s="696">
        <v>534.20000000000005</v>
      </c>
      <c r="F24" s="694">
        <v>0</v>
      </c>
      <c r="G24" s="639">
        <v>534.20000000000005</v>
      </c>
      <c r="H24" s="620">
        <v>44600</v>
      </c>
      <c r="I24" s="2160"/>
      <c r="J24" s="1948"/>
      <c r="K24" s="2158"/>
      <c r="L24" s="217"/>
      <c r="M24" s="168"/>
      <c r="N24" s="190"/>
    </row>
    <row r="25" spans="1:14" ht="15">
      <c r="A25" s="620">
        <v>44613</v>
      </c>
      <c r="B25" s="1124" t="s">
        <v>521</v>
      </c>
      <c r="C25" s="1124" t="s">
        <v>4017</v>
      </c>
      <c r="D25" s="620" t="s">
        <v>837</v>
      </c>
      <c r="E25" s="696">
        <v>1257.25</v>
      </c>
      <c r="F25" s="694">
        <v>0</v>
      </c>
      <c r="G25" s="639">
        <v>1257.25</v>
      </c>
      <c r="H25" s="620">
        <v>44613</v>
      </c>
      <c r="I25" s="1978">
        <v>6613</v>
      </c>
      <c r="J25" s="1918">
        <v>44641</v>
      </c>
      <c r="K25" s="2121" t="s">
        <v>1752</v>
      </c>
      <c r="L25" s="217"/>
      <c r="M25" s="168"/>
      <c r="N25" s="190"/>
    </row>
    <row r="26" spans="1:14" ht="15">
      <c r="A26" s="620">
        <v>44613</v>
      </c>
      <c r="B26" s="1124" t="s">
        <v>521</v>
      </c>
      <c r="C26" s="1124" t="s">
        <v>4017</v>
      </c>
      <c r="D26" s="620" t="s">
        <v>838</v>
      </c>
      <c r="E26" s="696">
        <v>1869.05</v>
      </c>
      <c r="F26" s="694">
        <v>0</v>
      </c>
      <c r="G26" s="639">
        <v>1869.05</v>
      </c>
      <c r="H26" s="620">
        <v>44613</v>
      </c>
      <c r="I26" s="1979"/>
      <c r="J26" s="1919"/>
      <c r="K26" s="2122"/>
      <c r="L26" s="217"/>
      <c r="M26" s="168"/>
      <c r="N26" s="190"/>
    </row>
    <row r="27" spans="1:14" ht="15">
      <c r="A27" s="1918">
        <v>44620</v>
      </c>
      <c r="B27" s="1918" t="s">
        <v>521</v>
      </c>
      <c r="C27" s="1918" t="s">
        <v>4017</v>
      </c>
      <c r="D27" s="1918" t="s">
        <v>839</v>
      </c>
      <c r="E27" s="2083">
        <v>3607.2</v>
      </c>
      <c r="F27" s="2078">
        <v>0</v>
      </c>
      <c r="G27" s="639">
        <v>3486.7</v>
      </c>
      <c r="H27" s="620">
        <v>44620</v>
      </c>
      <c r="I27" s="1980"/>
      <c r="J27" s="1920"/>
      <c r="K27" s="2123"/>
      <c r="L27" s="217"/>
      <c r="M27" s="168"/>
      <c r="N27" s="190"/>
    </row>
    <row r="28" spans="1:14" s="168" customFormat="1" ht="15">
      <c r="A28" s="1920"/>
      <c r="B28" s="1920"/>
      <c r="C28" s="1920"/>
      <c r="D28" s="1920"/>
      <c r="E28" s="2085"/>
      <c r="F28" s="2080"/>
      <c r="G28" s="639">
        <f>3607.2-3486.7</f>
        <v>120.5</v>
      </c>
      <c r="H28" s="620">
        <v>44620</v>
      </c>
      <c r="I28" s="1974">
        <v>4850</v>
      </c>
      <c r="J28" s="1918">
        <v>44657</v>
      </c>
      <c r="K28" s="2158" t="s">
        <v>544</v>
      </c>
      <c r="L28" s="217"/>
    </row>
    <row r="29" spans="1:14" ht="15">
      <c r="A29" s="1918">
        <v>44621</v>
      </c>
      <c r="B29" s="1918" t="s">
        <v>521</v>
      </c>
      <c r="C29" s="1918" t="s">
        <v>4017</v>
      </c>
      <c r="D29" s="1918" t="s">
        <v>840</v>
      </c>
      <c r="E29" s="2083">
        <v>4879.2299999999996</v>
      </c>
      <c r="F29" s="2078">
        <v>0</v>
      </c>
      <c r="G29" s="639">
        <v>4729.5</v>
      </c>
      <c r="H29" s="620">
        <v>44621</v>
      </c>
      <c r="I29" s="1976"/>
      <c r="J29" s="1920"/>
      <c r="K29" s="2158"/>
      <c r="L29" s="217"/>
      <c r="M29" s="168"/>
      <c r="N29" s="190"/>
    </row>
    <row r="30" spans="1:14" s="168" customFormat="1" ht="15">
      <c r="A30" s="1920"/>
      <c r="B30" s="1920"/>
      <c r="C30" s="1920"/>
      <c r="D30" s="1920"/>
      <c r="E30" s="2085"/>
      <c r="F30" s="2080"/>
      <c r="G30" s="639">
        <f>4879.23-4729.5</f>
        <v>149.72999999999956</v>
      </c>
      <c r="H30" s="620">
        <v>44621</v>
      </c>
      <c r="I30" s="2161">
        <v>15395.69</v>
      </c>
      <c r="J30" s="1918">
        <v>44684</v>
      </c>
      <c r="K30" s="2121" t="s">
        <v>1752</v>
      </c>
      <c r="L30" s="217"/>
      <c r="N30" s="190"/>
    </row>
    <row r="31" spans="1:14" s="168" customFormat="1" ht="15">
      <c r="A31" s="620">
        <v>44641</v>
      </c>
      <c r="B31" s="1124" t="s">
        <v>521</v>
      </c>
      <c r="C31" s="1124" t="s">
        <v>4017</v>
      </c>
      <c r="D31" s="620" t="s">
        <v>1776</v>
      </c>
      <c r="E31" s="696">
        <v>4039.03</v>
      </c>
      <c r="F31" s="694">
        <v>0</v>
      </c>
      <c r="G31" s="639">
        <v>4039.03</v>
      </c>
      <c r="H31" s="620">
        <v>44641</v>
      </c>
      <c r="I31" s="2162"/>
      <c r="J31" s="1919"/>
      <c r="K31" s="2122"/>
      <c r="L31" s="217"/>
      <c r="N31" s="190"/>
    </row>
    <row r="32" spans="1:14" s="168" customFormat="1" ht="15">
      <c r="A32" s="620">
        <v>44641</v>
      </c>
      <c r="B32" s="1124" t="s">
        <v>521</v>
      </c>
      <c r="C32" s="1124" t="s">
        <v>4017</v>
      </c>
      <c r="D32" s="620" t="s">
        <v>1777</v>
      </c>
      <c r="E32" s="696">
        <v>4450.1000000000004</v>
      </c>
      <c r="F32" s="694">
        <v>0</v>
      </c>
      <c r="G32" s="639">
        <v>4450.1000000000004</v>
      </c>
      <c r="H32" s="620">
        <v>44641</v>
      </c>
      <c r="I32" s="2162"/>
      <c r="J32" s="1919"/>
      <c r="K32" s="2122"/>
      <c r="L32" s="217"/>
      <c r="N32" s="190"/>
    </row>
    <row r="33" spans="1:14" s="168" customFormat="1" ht="15">
      <c r="A33" s="620">
        <v>44642</v>
      </c>
      <c r="B33" s="1124" t="s">
        <v>521</v>
      </c>
      <c r="C33" s="1124" t="s">
        <v>4017</v>
      </c>
      <c r="D33" s="620" t="s">
        <v>1778</v>
      </c>
      <c r="E33" s="696">
        <v>-4450.1000000000004</v>
      </c>
      <c r="F33" s="694">
        <v>0</v>
      </c>
      <c r="G33" s="639">
        <v>-4450.1000000000004</v>
      </c>
      <c r="H33" s="620"/>
      <c r="I33" s="2162"/>
      <c r="J33" s="1919"/>
      <c r="K33" s="2122"/>
      <c r="L33" s="217"/>
      <c r="N33" s="190"/>
    </row>
    <row r="34" spans="1:14" ht="15">
      <c r="A34" s="620">
        <v>44642</v>
      </c>
      <c r="B34" s="1124" t="s">
        <v>521</v>
      </c>
      <c r="C34" s="1124" t="s">
        <v>4017</v>
      </c>
      <c r="D34" s="620" t="s">
        <v>1779</v>
      </c>
      <c r="E34" s="696">
        <v>1676</v>
      </c>
      <c r="F34" s="694">
        <v>0</v>
      </c>
      <c r="G34" s="639">
        <v>1676</v>
      </c>
      <c r="H34" s="620">
        <v>44642</v>
      </c>
      <c r="I34" s="2162"/>
      <c r="J34" s="1919"/>
      <c r="K34" s="2122"/>
      <c r="L34" s="217"/>
      <c r="M34" s="168"/>
      <c r="N34" s="190"/>
    </row>
    <row r="35" spans="1:14" s="168" customFormat="1" ht="15">
      <c r="A35" s="620">
        <v>44642</v>
      </c>
      <c r="B35" s="1124" t="s">
        <v>521</v>
      </c>
      <c r="C35" s="1124" t="s">
        <v>4017</v>
      </c>
      <c r="D35" s="620" t="s">
        <v>1780</v>
      </c>
      <c r="E35" s="696">
        <v>1616</v>
      </c>
      <c r="F35" s="694">
        <v>0</v>
      </c>
      <c r="G35" s="639">
        <v>1616</v>
      </c>
      <c r="H35" s="620">
        <v>44642</v>
      </c>
      <c r="I35" s="2162"/>
      <c r="J35" s="1919"/>
      <c r="K35" s="2122"/>
      <c r="L35" s="217"/>
      <c r="N35" s="190"/>
    </row>
    <row r="36" spans="1:14" s="168" customFormat="1" ht="15">
      <c r="A36" s="620">
        <v>44643</v>
      </c>
      <c r="B36" s="1124" t="s">
        <v>521</v>
      </c>
      <c r="C36" s="1124" t="s">
        <v>4017</v>
      </c>
      <c r="D36" s="620" t="s">
        <v>1781</v>
      </c>
      <c r="E36" s="696">
        <v>207.6</v>
      </c>
      <c r="F36" s="694">
        <v>0</v>
      </c>
      <c r="G36" s="639">
        <v>207.6</v>
      </c>
      <c r="H36" s="620">
        <v>44643</v>
      </c>
      <c r="I36" s="2162"/>
      <c r="J36" s="1919"/>
      <c r="K36" s="2122"/>
      <c r="L36" s="167"/>
      <c r="N36" s="190"/>
    </row>
    <row r="37" spans="1:14" s="168" customFormat="1" ht="15">
      <c r="A37" s="620">
        <v>44652</v>
      </c>
      <c r="B37" s="1124" t="s">
        <v>521</v>
      </c>
      <c r="C37" s="1124" t="s">
        <v>4017</v>
      </c>
      <c r="D37" s="620" t="s">
        <v>1857</v>
      </c>
      <c r="E37" s="696">
        <v>3878</v>
      </c>
      <c r="F37" s="694">
        <v>0</v>
      </c>
      <c r="G37" s="639">
        <v>3878</v>
      </c>
      <c r="H37" s="620">
        <v>44652</v>
      </c>
      <c r="I37" s="2162"/>
      <c r="J37" s="1919"/>
      <c r="K37" s="2122"/>
      <c r="L37" s="217"/>
      <c r="N37" s="190"/>
    </row>
    <row r="38" spans="1:14" s="168" customFormat="1" ht="15">
      <c r="A38" s="620">
        <v>44655</v>
      </c>
      <c r="B38" s="1124" t="s">
        <v>521</v>
      </c>
      <c r="C38" s="1124" t="s">
        <v>4017</v>
      </c>
      <c r="D38" s="620" t="s">
        <v>1858</v>
      </c>
      <c r="E38" s="696">
        <v>80</v>
      </c>
      <c r="F38" s="694">
        <v>0</v>
      </c>
      <c r="G38" s="639">
        <v>80</v>
      </c>
      <c r="H38" s="620">
        <v>44655</v>
      </c>
      <c r="I38" s="2162"/>
      <c r="J38" s="1919"/>
      <c r="K38" s="2122"/>
      <c r="L38" s="217"/>
      <c r="N38" s="190"/>
    </row>
    <row r="39" spans="1:14" s="168" customFormat="1" ht="15">
      <c r="A39" s="620">
        <v>44657</v>
      </c>
      <c r="B39" s="1124" t="s">
        <v>521</v>
      </c>
      <c r="C39" s="1124" t="s">
        <v>4017</v>
      </c>
      <c r="D39" s="620" t="s">
        <v>1859</v>
      </c>
      <c r="E39" s="696">
        <v>2.4</v>
      </c>
      <c r="F39" s="694">
        <v>0</v>
      </c>
      <c r="G39" s="639">
        <v>2.4</v>
      </c>
      <c r="H39" s="620">
        <v>44657</v>
      </c>
      <c r="I39" s="2162"/>
      <c r="J39" s="1919"/>
      <c r="K39" s="2122"/>
      <c r="L39" s="217" t="s">
        <v>1856</v>
      </c>
      <c r="N39" s="190"/>
    </row>
    <row r="40" spans="1:14" s="168" customFormat="1" ht="15">
      <c r="A40" s="620">
        <v>44658</v>
      </c>
      <c r="B40" s="1124" t="s">
        <v>521</v>
      </c>
      <c r="C40" s="1124" t="s">
        <v>4017</v>
      </c>
      <c r="D40" s="620" t="s">
        <v>1860</v>
      </c>
      <c r="E40" s="696">
        <v>1756.4</v>
      </c>
      <c r="F40" s="694">
        <v>0</v>
      </c>
      <c r="G40" s="639">
        <v>1756.4</v>
      </c>
      <c r="H40" s="620">
        <v>44658</v>
      </c>
      <c r="I40" s="2162"/>
      <c r="J40" s="1919"/>
      <c r="K40" s="2122"/>
      <c r="L40" s="217"/>
      <c r="N40" s="190"/>
    </row>
    <row r="41" spans="1:14" s="168" customFormat="1" ht="15">
      <c r="A41" s="620">
        <v>44658</v>
      </c>
      <c r="B41" s="1124" t="s">
        <v>521</v>
      </c>
      <c r="C41" s="1124" t="s">
        <v>4017</v>
      </c>
      <c r="D41" s="620" t="s">
        <v>1861</v>
      </c>
      <c r="E41" s="696">
        <v>19.399999999999999</v>
      </c>
      <c r="F41" s="694">
        <v>0</v>
      </c>
      <c r="G41" s="639">
        <v>19.399999999999999</v>
      </c>
      <c r="H41" s="620">
        <v>44658</v>
      </c>
      <c r="I41" s="2162"/>
      <c r="J41" s="1919"/>
      <c r="K41" s="2122"/>
      <c r="L41" s="217" t="s">
        <v>1862</v>
      </c>
      <c r="N41" s="190"/>
    </row>
    <row r="42" spans="1:14" ht="15">
      <c r="A42" s="620">
        <v>44670</v>
      </c>
      <c r="B42" s="1124" t="s">
        <v>521</v>
      </c>
      <c r="C42" s="1124" t="s">
        <v>4017</v>
      </c>
      <c r="D42" s="620" t="s">
        <v>1949</v>
      </c>
      <c r="E42" s="696">
        <v>318</v>
      </c>
      <c r="F42" s="694">
        <v>0</v>
      </c>
      <c r="G42" s="639">
        <v>318</v>
      </c>
      <c r="H42" s="620">
        <v>44670</v>
      </c>
      <c r="I42" s="2162"/>
      <c r="J42" s="1919"/>
      <c r="K42" s="2122"/>
      <c r="L42" s="104"/>
      <c r="M42" s="168"/>
    </row>
    <row r="43" spans="1:14" s="168" customFormat="1" ht="15">
      <c r="A43" s="620">
        <v>44670</v>
      </c>
      <c r="B43" s="1124" t="s">
        <v>521</v>
      </c>
      <c r="C43" s="1124" t="s">
        <v>4017</v>
      </c>
      <c r="D43" s="620" t="s">
        <v>1950</v>
      </c>
      <c r="E43" s="696">
        <v>1653.13</v>
      </c>
      <c r="F43" s="694">
        <v>0</v>
      </c>
      <c r="G43" s="639">
        <v>1653.13</v>
      </c>
      <c r="H43" s="620">
        <v>44670</v>
      </c>
      <c r="I43" s="2163"/>
      <c r="J43" s="1920"/>
      <c r="K43" s="2123"/>
      <c r="L43" s="217"/>
    </row>
    <row r="44" spans="1:14" s="168" customFormat="1" ht="15">
      <c r="A44" s="620">
        <v>44679</v>
      </c>
      <c r="B44" s="1124" t="s">
        <v>521</v>
      </c>
      <c r="C44" s="1124" t="s">
        <v>4017</v>
      </c>
      <c r="D44" s="620" t="s">
        <v>1997</v>
      </c>
      <c r="E44" s="696">
        <v>670.6</v>
      </c>
      <c r="F44" s="694">
        <v>0</v>
      </c>
      <c r="G44" s="639">
        <v>670.6</v>
      </c>
      <c r="H44" s="620">
        <v>44679</v>
      </c>
      <c r="I44" s="2002">
        <v>3910</v>
      </c>
      <c r="J44" s="1918">
        <v>44729</v>
      </c>
      <c r="K44" s="2121" t="s">
        <v>2292</v>
      </c>
      <c r="L44" s="937"/>
    </row>
    <row r="45" spans="1:14" s="168" customFormat="1" ht="15">
      <c r="A45" s="620">
        <v>44684</v>
      </c>
      <c r="B45" s="1124" t="s">
        <v>521</v>
      </c>
      <c r="C45" s="1124" t="s">
        <v>4017</v>
      </c>
      <c r="D45" s="620" t="s">
        <v>2035</v>
      </c>
      <c r="E45" s="696">
        <v>1503.9</v>
      </c>
      <c r="F45" s="694">
        <v>0</v>
      </c>
      <c r="G45" s="639">
        <v>1503.9</v>
      </c>
      <c r="H45" s="620">
        <v>44684</v>
      </c>
      <c r="I45" s="2038"/>
      <c r="J45" s="1919"/>
      <c r="K45" s="2122"/>
      <c r="L45" s="937"/>
    </row>
    <row r="46" spans="1:14" s="168" customFormat="1" ht="15">
      <c r="A46" s="1918">
        <v>44691</v>
      </c>
      <c r="B46" s="1918" t="s">
        <v>521</v>
      </c>
      <c r="C46" s="1918" t="s">
        <v>4017</v>
      </c>
      <c r="D46" s="1918" t="s">
        <v>2087</v>
      </c>
      <c r="E46" s="2083">
        <v>5426.15</v>
      </c>
      <c r="F46" s="2078">
        <v>0</v>
      </c>
      <c r="G46" s="639">
        <f>5426.15-3690.65</f>
        <v>1735.4999999999995</v>
      </c>
      <c r="H46" s="620">
        <v>44691</v>
      </c>
      <c r="I46" s="2003"/>
      <c r="J46" s="1920"/>
      <c r="K46" s="2123"/>
      <c r="L46" s="937"/>
    </row>
    <row r="47" spans="1:14" s="168" customFormat="1" ht="15">
      <c r="A47" s="1920"/>
      <c r="B47" s="1920"/>
      <c r="C47" s="1920"/>
      <c r="D47" s="1920"/>
      <c r="E47" s="2085"/>
      <c r="F47" s="2080"/>
      <c r="G47" s="639">
        <v>3690.65</v>
      </c>
      <c r="H47" s="620">
        <v>44691</v>
      </c>
      <c r="I47" s="2002">
        <v>8938.85</v>
      </c>
      <c r="J47" s="1918">
        <v>44732</v>
      </c>
      <c r="K47" s="2121" t="s">
        <v>2325</v>
      </c>
      <c r="L47" s="2165" t="s">
        <v>2326</v>
      </c>
    </row>
    <row r="48" spans="1:14" s="168" customFormat="1" ht="15">
      <c r="A48" s="620">
        <v>44701</v>
      </c>
      <c r="B48" s="1124" t="s">
        <v>521</v>
      </c>
      <c r="C48" s="1124" t="s">
        <v>4017</v>
      </c>
      <c r="D48" s="620" t="s">
        <v>2127</v>
      </c>
      <c r="E48" s="696">
        <v>1341.2</v>
      </c>
      <c r="F48" s="694">
        <v>0</v>
      </c>
      <c r="G48" s="639">
        <v>1341.2</v>
      </c>
      <c r="H48" s="620">
        <v>44701</v>
      </c>
      <c r="I48" s="2038"/>
      <c r="J48" s="1919"/>
      <c r="K48" s="2122"/>
      <c r="L48" s="2166"/>
    </row>
    <row r="49" spans="1:13" s="168" customFormat="1" ht="15">
      <c r="A49" s="620">
        <v>44712</v>
      </c>
      <c r="B49" s="1124" t="s">
        <v>521</v>
      </c>
      <c r="C49" s="1124" t="s">
        <v>4017</v>
      </c>
      <c r="D49" s="620" t="s">
        <v>2223</v>
      </c>
      <c r="E49" s="696">
        <v>3621.4</v>
      </c>
      <c r="F49" s="694">
        <v>0</v>
      </c>
      <c r="G49" s="639">
        <v>3621.4</v>
      </c>
      <c r="H49" s="620">
        <v>44712</v>
      </c>
      <c r="I49" s="2038"/>
      <c r="J49" s="1919"/>
      <c r="K49" s="2122"/>
      <c r="L49" s="2166"/>
    </row>
    <row r="50" spans="1:13" s="168" customFormat="1" ht="15">
      <c r="A50" s="620">
        <v>44712</v>
      </c>
      <c r="B50" s="1124" t="s">
        <v>521</v>
      </c>
      <c r="C50" s="1124" t="s">
        <v>4017</v>
      </c>
      <c r="D50" s="620" t="s">
        <v>2224</v>
      </c>
      <c r="E50" s="696">
        <v>285.60000000000002</v>
      </c>
      <c r="F50" s="694">
        <v>0</v>
      </c>
      <c r="G50" s="639">
        <v>285.60000000000002</v>
      </c>
      <c r="H50" s="620">
        <v>44712</v>
      </c>
      <c r="I50" s="2003"/>
      <c r="J50" s="1920"/>
      <c r="K50" s="2123"/>
      <c r="L50" s="2167"/>
    </row>
    <row r="51" spans="1:13" s="168" customFormat="1" ht="15">
      <c r="A51" s="620">
        <v>44712</v>
      </c>
      <c r="B51" s="1124" t="s">
        <v>521</v>
      </c>
      <c r="C51" s="1124" t="s">
        <v>4017</v>
      </c>
      <c r="D51" s="620" t="s">
        <v>2225</v>
      </c>
      <c r="E51" s="696">
        <v>0.01</v>
      </c>
      <c r="F51" s="694">
        <v>0</v>
      </c>
      <c r="G51" s="639">
        <v>0.01</v>
      </c>
      <c r="H51" s="620">
        <v>44712</v>
      </c>
      <c r="I51" s="639">
        <v>0.01</v>
      </c>
      <c r="J51" s="620">
        <v>44712</v>
      </c>
      <c r="K51" s="401" t="s">
        <v>2227</v>
      </c>
      <c r="L51" s="92" t="s">
        <v>2228</v>
      </c>
    </row>
    <row r="52" spans="1:13" ht="15">
      <c r="A52" s="620">
        <v>44714</v>
      </c>
      <c r="B52" s="1124" t="s">
        <v>521</v>
      </c>
      <c r="C52" s="1124" t="s">
        <v>4017</v>
      </c>
      <c r="D52" s="620" t="s">
        <v>2226</v>
      </c>
      <c r="E52" s="696">
        <v>285.60000000000002</v>
      </c>
      <c r="F52" s="694">
        <v>0</v>
      </c>
      <c r="G52" s="639">
        <v>285.60000000000002</v>
      </c>
      <c r="H52" s="620">
        <v>44714</v>
      </c>
      <c r="I52" s="715">
        <v>285.60000000000002</v>
      </c>
      <c r="J52" s="620">
        <v>44732</v>
      </c>
      <c r="K52" s="426" t="s">
        <v>2325</v>
      </c>
      <c r="L52" s="92" t="s">
        <v>2326</v>
      </c>
      <c r="M52" s="168"/>
    </row>
    <row r="53" spans="1:13" s="168" customFormat="1" ht="15">
      <c r="A53" s="632">
        <v>44728</v>
      </c>
      <c r="B53" s="1124" t="s">
        <v>521</v>
      </c>
      <c r="C53" s="1124" t="s">
        <v>4017</v>
      </c>
      <c r="D53" s="632" t="s">
        <v>2291</v>
      </c>
      <c r="E53" s="696">
        <v>560.75</v>
      </c>
      <c r="F53" s="694">
        <v>0</v>
      </c>
      <c r="G53" s="611">
        <v>560.75</v>
      </c>
      <c r="H53" s="632">
        <v>44728</v>
      </c>
      <c r="I53" s="1974">
        <v>9680</v>
      </c>
      <c r="J53" s="1918">
        <v>44770</v>
      </c>
      <c r="K53" s="2121" t="s">
        <v>2582</v>
      </c>
      <c r="L53" s="937"/>
    </row>
    <row r="54" spans="1:13" s="168" customFormat="1" ht="15">
      <c r="A54" s="632">
        <v>44739</v>
      </c>
      <c r="B54" s="1124" t="s">
        <v>521</v>
      </c>
      <c r="C54" s="1124" t="s">
        <v>4017</v>
      </c>
      <c r="D54" s="632" t="s">
        <v>2362</v>
      </c>
      <c r="E54" s="696">
        <v>388.3</v>
      </c>
      <c r="F54" s="694">
        <v>0</v>
      </c>
      <c r="G54" s="611">
        <v>388.3</v>
      </c>
      <c r="H54" s="632">
        <v>44739</v>
      </c>
      <c r="I54" s="1975"/>
      <c r="J54" s="1919"/>
      <c r="K54" s="2122"/>
      <c r="L54" s="937"/>
    </row>
    <row r="55" spans="1:13" s="168" customFormat="1" ht="15">
      <c r="A55" s="632">
        <v>44755.000497685185</v>
      </c>
      <c r="B55" s="1124" t="s">
        <v>521</v>
      </c>
      <c r="C55" s="1124" t="s">
        <v>4017</v>
      </c>
      <c r="D55" s="632" t="s">
        <v>2438</v>
      </c>
      <c r="E55" s="696">
        <v>6247.73</v>
      </c>
      <c r="F55" s="694">
        <v>0</v>
      </c>
      <c r="G55" s="611">
        <v>6247.73</v>
      </c>
      <c r="H55" s="632">
        <v>44755.000497685185</v>
      </c>
      <c r="I55" s="1975"/>
      <c r="J55" s="1919"/>
      <c r="K55" s="2122"/>
      <c r="L55" s="937"/>
    </row>
    <row r="56" spans="1:13" s="168" customFormat="1" ht="15">
      <c r="A56" s="632">
        <v>44767</v>
      </c>
      <c r="B56" s="1124" t="s">
        <v>521</v>
      </c>
      <c r="C56" s="1124" t="s">
        <v>4017</v>
      </c>
      <c r="D56" s="632" t="s">
        <v>2541</v>
      </c>
      <c r="E56" s="696">
        <v>-1101.8699999999999</v>
      </c>
      <c r="F56" s="694">
        <v>0</v>
      </c>
      <c r="G56" s="611">
        <v>-1101.8699999999999</v>
      </c>
      <c r="H56" s="632"/>
      <c r="I56" s="1975"/>
      <c r="J56" s="1919"/>
      <c r="K56" s="2122"/>
      <c r="L56" s="937"/>
    </row>
    <row r="57" spans="1:13" s="168" customFormat="1" ht="15">
      <c r="A57" s="632">
        <v>44767</v>
      </c>
      <c r="B57" s="1124" t="s">
        <v>521</v>
      </c>
      <c r="C57" s="1124" t="s">
        <v>4017</v>
      </c>
      <c r="D57" s="632" t="s">
        <v>2542</v>
      </c>
      <c r="E57" s="696">
        <v>-642.6</v>
      </c>
      <c r="F57" s="694">
        <v>0</v>
      </c>
      <c r="G57" s="611">
        <v>-642.6</v>
      </c>
      <c r="H57" s="632"/>
      <c r="I57" s="1975"/>
      <c r="J57" s="1919"/>
      <c r="K57" s="2122"/>
      <c r="L57" s="937"/>
    </row>
    <row r="58" spans="1:13" s="168" customFormat="1" ht="15">
      <c r="A58" s="1903">
        <v>44769</v>
      </c>
      <c r="B58" s="1918" t="s">
        <v>521</v>
      </c>
      <c r="C58" s="1918" t="s">
        <v>4017</v>
      </c>
      <c r="D58" s="1903" t="s">
        <v>2543</v>
      </c>
      <c r="E58" s="2081">
        <v>5872.13</v>
      </c>
      <c r="F58" s="2117">
        <v>0</v>
      </c>
      <c r="G58" s="611">
        <v>4227.6899999999996</v>
      </c>
      <c r="H58" s="632">
        <v>44769</v>
      </c>
      <c r="I58" s="1976"/>
      <c r="J58" s="1920"/>
      <c r="K58" s="2123"/>
      <c r="L58" s="937"/>
    </row>
    <row r="59" spans="1:13" s="168" customFormat="1" ht="15">
      <c r="A59" s="1904"/>
      <c r="B59" s="1919"/>
      <c r="C59" s="1919"/>
      <c r="D59" s="1904"/>
      <c r="E59" s="2120"/>
      <c r="F59" s="2119"/>
      <c r="G59" s="611">
        <v>530.54</v>
      </c>
      <c r="H59" s="632">
        <v>44769</v>
      </c>
      <c r="I59" s="660">
        <v>530.54</v>
      </c>
      <c r="J59" s="632">
        <v>44775</v>
      </c>
      <c r="K59" s="499" t="s">
        <v>2631</v>
      </c>
      <c r="L59" s="217"/>
    </row>
    <row r="60" spans="1:13" s="168" customFormat="1" ht="15">
      <c r="A60" s="1905"/>
      <c r="B60" s="1920"/>
      <c r="C60" s="1920"/>
      <c r="D60" s="1905"/>
      <c r="E60" s="2082"/>
      <c r="F60" s="2118"/>
      <c r="G60" s="611">
        <f>5872.13-4227.69-530.54</f>
        <v>1113.9000000000005</v>
      </c>
      <c r="H60" s="632">
        <v>44769</v>
      </c>
      <c r="I60" s="1974">
        <v>10475.42</v>
      </c>
      <c r="J60" s="1918">
        <v>44792</v>
      </c>
      <c r="K60" s="2121" t="s">
        <v>2822</v>
      </c>
      <c r="L60" s="937"/>
    </row>
    <row r="61" spans="1:13" s="168" customFormat="1" ht="15">
      <c r="A61" s="632">
        <v>44774</v>
      </c>
      <c r="B61" s="1124" t="s">
        <v>521</v>
      </c>
      <c r="C61" s="1124" t="s">
        <v>4017</v>
      </c>
      <c r="D61" s="632" t="s">
        <v>2602</v>
      </c>
      <c r="E61" s="713">
        <v>4772</v>
      </c>
      <c r="F61" s="722">
        <v>0</v>
      </c>
      <c r="G61" s="611">
        <v>4772</v>
      </c>
      <c r="H61" s="632">
        <v>44774</v>
      </c>
      <c r="I61" s="1975"/>
      <c r="J61" s="1919"/>
      <c r="K61" s="2122"/>
      <c r="L61" s="937"/>
    </row>
    <row r="62" spans="1:13" s="168" customFormat="1" ht="15">
      <c r="A62" s="632">
        <v>44775</v>
      </c>
      <c r="B62" s="1124" t="s">
        <v>521</v>
      </c>
      <c r="C62" s="1124" t="s">
        <v>4017</v>
      </c>
      <c r="D62" s="632" t="s">
        <v>2603</v>
      </c>
      <c r="E62" s="713">
        <v>1097.19</v>
      </c>
      <c r="F62" s="722">
        <v>0</v>
      </c>
      <c r="G62" s="611">
        <v>1097.19</v>
      </c>
      <c r="H62" s="632">
        <v>44775</v>
      </c>
      <c r="I62" s="1975"/>
      <c r="J62" s="1919"/>
      <c r="K62" s="2122"/>
      <c r="L62" s="937"/>
    </row>
    <row r="63" spans="1:13" s="168" customFormat="1" ht="15">
      <c r="A63" s="1903">
        <v>44783.000497685185</v>
      </c>
      <c r="B63" s="1918" t="s">
        <v>2518</v>
      </c>
      <c r="C63" s="1918" t="s">
        <v>4017</v>
      </c>
      <c r="D63" s="1903" t="s">
        <v>2674</v>
      </c>
      <c r="E63" s="2081">
        <v>10652.92</v>
      </c>
      <c r="F63" s="2117">
        <v>0</v>
      </c>
      <c r="G63" s="611">
        <v>3492.33</v>
      </c>
      <c r="H63" s="815">
        <v>44784.000497685185</v>
      </c>
      <c r="I63" s="1976"/>
      <c r="J63" s="1920"/>
      <c r="K63" s="2123"/>
      <c r="L63" s="937"/>
    </row>
    <row r="64" spans="1:13" s="168" customFormat="1" ht="15">
      <c r="A64" s="1905"/>
      <c r="B64" s="1920"/>
      <c r="C64" s="1920"/>
      <c r="D64" s="1905"/>
      <c r="E64" s="2082"/>
      <c r="F64" s="2118"/>
      <c r="G64" s="611">
        <f>10652.92-3492.33</f>
        <v>7160.59</v>
      </c>
      <c r="H64" s="815">
        <v>44784.000497685185</v>
      </c>
      <c r="I64" s="1974">
        <v>26711.06</v>
      </c>
      <c r="J64" s="1918">
        <v>44830</v>
      </c>
      <c r="K64" s="2121" t="s">
        <v>3649</v>
      </c>
      <c r="L64" s="937"/>
    </row>
    <row r="65" spans="1:12" s="168" customFormat="1" ht="15">
      <c r="A65" s="815">
        <v>44791.000497685185</v>
      </c>
      <c r="B65" s="1124" t="s">
        <v>2518</v>
      </c>
      <c r="C65" s="1124" t="s">
        <v>4017</v>
      </c>
      <c r="D65" s="815" t="s">
        <v>2771</v>
      </c>
      <c r="E65" s="824">
        <v>-766.05</v>
      </c>
      <c r="F65" s="722">
        <v>0</v>
      </c>
      <c r="G65" s="611">
        <v>-766.05</v>
      </c>
      <c r="H65" s="815" t="s">
        <v>1529</v>
      </c>
      <c r="I65" s="1975"/>
      <c r="J65" s="1919"/>
      <c r="K65" s="2122"/>
      <c r="L65" s="937"/>
    </row>
    <row r="66" spans="1:12" s="168" customFormat="1" ht="15">
      <c r="A66" s="815">
        <v>44791.000497685185</v>
      </c>
      <c r="B66" s="1124" t="s">
        <v>2518</v>
      </c>
      <c r="C66" s="1124" t="s">
        <v>4017</v>
      </c>
      <c r="D66" s="815" t="s">
        <v>2772</v>
      </c>
      <c r="E66" s="824">
        <v>3521</v>
      </c>
      <c r="F66" s="722">
        <v>0</v>
      </c>
      <c r="G66" s="611">
        <v>3521</v>
      </c>
      <c r="H66" s="815">
        <v>44792.000497685185</v>
      </c>
      <c r="I66" s="1975"/>
      <c r="J66" s="1919"/>
      <c r="K66" s="2122"/>
      <c r="L66" s="937"/>
    </row>
    <row r="67" spans="1:12" s="168" customFormat="1" ht="15">
      <c r="A67" s="815">
        <v>44792.000497685185</v>
      </c>
      <c r="B67" s="1124" t="s">
        <v>2518</v>
      </c>
      <c r="C67" s="1124" t="s">
        <v>4017</v>
      </c>
      <c r="D67" s="815" t="s">
        <v>2773</v>
      </c>
      <c r="E67" s="824">
        <v>4612.37</v>
      </c>
      <c r="F67" s="722">
        <v>0</v>
      </c>
      <c r="G67" s="611">
        <v>4612.37</v>
      </c>
      <c r="H67" s="815">
        <v>44793.000497685185</v>
      </c>
      <c r="I67" s="1975"/>
      <c r="J67" s="1919"/>
      <c r="K67" s="2122"/>
      <c r="L67" s="937"/>
    </row>
    <row r="68" spans="1:12" s="168" customFormat="1" ht="15">
      <c r="A68" s="815">
        <v>44798</v>
      </c>
      <c r="B68" s="1124" t="s">
        <v>2518</v>
      </c>
      <c r="C68" s="1124" t="s">
        <v>4017</v>
      </c>
      <c r="D68" s="815" t="s">
        <v>2841</v>
      </c>
      <c r="E68" s="824">
        <v>2015</v>
      </c>
      <c r="F68" s="722">
        <v>0</v>
      </c>
      <c r="G68" s="611">
        <v>2015</v>
      </c>
      <c r="H68" s="815">
        <v>44799</v>
      </c>
      <c r="I68" s="1975"/>
      <c r="J68" s="1919"/>
      <c r="K68" s="2122"/>
      <c r="L68" s="937"/>
    </row>
    <row r="69" spans="1:12" s="168" customFormat="1" ht="15">
      <c r="A69" s="815">
        <v>44799</v>
      </c>
      <c r="B69" s="1124" t="s">
        <v>2518</v>
      </c>
      <c r="C69" s="1124" t="s">
        <v>4017</v>
      </c>
      <c r="D69" s="815" t="s">
        <v>2842</v>
      </c>
      <c r="E69" s="824">
        <v>3199.58</v>
      </c>
      <c r="F69" s="722">
        <v>0</v>
      </c>
      <c r="G69" s="611">
        <v>3199.58</v>
      </c>
      <c r="H69" s="815">
        <v>44800</v>
      </c>
      <c r="I69" s="1975"/>
      <c r="J69" s="1919"/>
      <c r="K69" s="2122"/>
      <c r="L69" s="937"/>
    </row>
    <row r="70" spans="1:12" s="168" customFormat="1" ht="15">
      <c r="A70" s="815">
        <v>44806</v>
      </c>
      <c r="B70" s="1124" t="s">
        <v>2518</v>
      </c>
      <c r="C70" s="1124" t="s">
        <v>4017</v>
      </c>
      <c r="D70" s="815" t="s">
        <v>2910</v>
      </c>
      <c r="E70" s="824">
        <v>6968.57</v>
      </c>
      <c r="F70" s="722">
        <v>0</v>
      </c>
      <c r="G70" s="611">
        <v>6968.57</v>
      </c>
      <c r="H70" s="815">
        <v>44807</v>
      </c>
      <c r="I70" s="1976"/>
      <c r="J70" s="1920"/>
      <c r="K70" s="2123"/>
      <c r="L70" s="937"/>
    </row>
    <row r="71" spans="1:12" s="168" customFormat="1" ht="15">
      <c r="A71" s="847">
        <v>44818</v>
      </c>
      <c r="B71" s="1124" t="s">
        <v>2518</v>
      </c>
      <c r="C71" s="1124" t="s">
        <v>4017</v>
      </c>
      <c r="D71" s="847" t="s">
        <v>3001</v>
      </c>
      <c r="E71" s="850">
        <v>4499.8</v>
      </c>
      <c r="F71" s="722">
        <v>0</v>
      </c>
      <c r="G71" s="611">
        <v>4499.8</v>
      </c>
      <c r="H71" s="847">
        <v>44819</v>
      </c>
      <c r="I71" s="1974">
        <v>10000</v>
      </c>
      <c r="J71" s="1918">
        <v>44851</v>
      </c>
      <c r="K71" s="2121" t="s">
        <v>3331</v>
      </c>
      <c r="L71" s="937"/>
    </row>
    <row r="72" spans="1:12" s="168" customFormat="1" ht="15">
      <c r="A72" s="1903">
        <v>44818</v>
      </c>
      <c r="B72" s="1918" t="s">
        <v>2518</v>
      </c>
      <c r="C72" s="1918" t="s">
        <v>4017</v>
      </c>
      <c r="D72" s="1903" t="s">
        <v>3002</v>
      </c>
      <c r="E72" s="2081">
        <v>8927.2000000000007</v>
      </c>
      <c r="F72" s="2117">
        <v>0</v>
      </c>
      <c r="G72" s="611">
        <v>5500.2</v>
      </c>
      <c r="H72" s="847">
        <v>44819</v>
      </c>
      <c r="I72" s="1976"/>
      <c r="J72" s="1920"/>
      <c r="K72" s="2123"/>
      <c r="L72" s="937"/>
    </row>
    <row r="73" spans="1:12" s="168" customFormat="1" ht="15">
      <c r="A73" s="1905"/>
      <c r="B73" s="1920"/>
      <c r="C73" s="1920"/>
      <c r="D73" s="1905"/>
      <c r="E73" s="2082"/>
      <c r="F73" s="2118"/>
      <c r="G73" s="611">
        <f>8927.2-5500.2</f>
        <v>3427.0000000000009</v>
      </c>
      <c r="H73" s="931">
        <v>44819</v>
      </c>
      <c r="I73" s="1974">
        <v>15000</v>
      </c>
      <c r="J73" s="1918">
        <v>44893</v>
      </c>
      <c r="K73" s="2121" t="s">
        <v>3639</v>
      </c>
      <c r="L73" s="937"/>
    </row>
    <row r="74" spans="1:12" s="168" customFormat="1" ht="15">
      <c r="A74" s="931">
        <v>44826</v>
      </c>
      <c r="B74" s="1124" t="s">
        <v>2518</v>
      </c>
      <c r="C74" s="1124" t="s">
        <v>4017</v>
      </c>
      <c r="D74" s="931" t="s">
        <v>3056</v>
      </c>
      <c r="E74" s="957">
        <v>4994.24</v>
      </c>
      <c r="F74" s="722">
        <v>0</v>
      </c>
      <c r="G74" s="611">
        <v>4994.24</v>
      </c>
      <c r="H74" s="931">
        <v>44827</v>
      </c>
      <c r="I74" s="1975"/>
      <c r="J74" s="1919"/>
      <c r="K74" s="2122"/>
      <c r="L74" s="937"/>
    </row>
    <row r="75" spans="1:12" s="168" customFormat="1" ht="15">
      <c r="A75" s="931">
        <v>44834</v>
      </c>
      <c r="B75" s="1124" t="s">
        <v>2518</v>
      </c>
      <c r="C75" s="1124" t="s">
        <v>4017</v>
      </c>
      <c r="D75" s="931" t="s">
        <v>3172</v>
      </c>
      <c r="E75" s="957">
        <v>214.8</v>
      </c>
      <c r="F75" s="722">
        <v>0</v>
      </c>
      <c r="G75" s="611">
        <v>214.8</v>
      </c>
      <c r="H75" s="931">
        <v>44835.000497685185</v>
      </c>
      <c r="I75" s="1975"/>
      <c r="J75" s="1919"/>
      <c r="K75" s="2122"/>
      <c r="L75" s="937"/>
    </row>
    <row r="76" spans="1:12" s="168" customFormat="1" ht="15">
      <c r="A76" s="1903">
        <v>44834</v>
      </c>
      <c r="B76" s="1918" t="s">
        <v>2518</v>
      </c>
      <c r="C76" s="1918" t="s">
        <v>4017</v>
      </c>
      <c r="D76" s="1903" t="s">
        <v>3173</v>
      </c>
      <c r="E76" s="2081">
        <v>6463</v>
      </c>
      <c r="F76" s="2117">
        <v>0</v>
      </c>
      <c r="G76" s="611">
        <v>6363.96</v>
      </c>
      <c r="H76" s="931">
        <v>44835.000497685185</v>
      </c>
      <c r="I76" s="1976"/>
      <c r="J76" s="1920"/>
      <c r="K76" s="2123"/>
      <c r="L76" s="937"/>
    </row>
    <row r="77" spans="1:12" s="168" customFormat="1" ht="15">
      <c r="A77" s="1905"/>
      <c r="B77" s="1920"/>
      <c r="C77" s="1920"/>
      <c r="D77" s="1905"/>
      <c r="E77" s="2082"/>
      <c r="F77" s="2118"/>
      <c r="G77" s="748">
        <f>6463-6363.96</f>
        <v>99.039999999999964</v>
      </c>
      <c r="H77" s="1003">
        <v>44835.000497685185</v>
      </c>
      <c r="I77" s="1974">
        <v>928.24</v>
      </c>
      <c r="J77" s="1918">
        <v>44914</v>
      </c>
      <c r="K77" s="2121" t="s">
        <v>3807</v>
      </c>
      <c r="L77" s="2165" t="s">
        <v>3808</v>
      </c>
    </row>
    <row r="78" spans="1:12" s="168" customFormat="1" ht="15">
      <c r="A78" s="1003">
        <v>44859</v>
      </c>
      <c r="B78" s="1124" t="s">
        <v>2518</v>
      </c>
      <c r="C78" s="1124" t="s">
        <v>4017</v>
      </c>
      <c r="D78" s="1003" t="s">
        <v>3352</v>
      </c>
      <c r="E78" s="1009">
        <v>829.2</v>
      </c>
      <c r="F78" s="722">
        <v>0</v>
      </c>
      <c r="G78" s="748">
        <v>829.2</v>
      </c>
      <c r="H78" s="1003">
        <v>44860</v>
      </c>
      <c r="I78" s="1976"/>
      <c r="J78" s="1920"/>
      <c r="K78" s="2123"/>
      <c r="L78" s="2167"/>
    </row>
    <row r="79" spans="1:12" s="168" customFormat="1" ht="42.75">
      <c r="A79" s="1903">
        <v>44860</v>
      </c>
      <c r="B79" s="1903" t="s">
        <v>2518</v>
      </c>
      <c r="C79" s="1903" t="s">
        <v>4017</v>
      </c>
      <c r="D79" s="1903" t="s">
        <v>3353</v>
      </c>
      <c r="E79" s="2081">
        <v>33465.75</v>
      </c>
      <c r="F79" s="2117">
        <v>0</v>
      </c>
      <c r="G79" s="748">
        <v>15973.28</v>
      </c>
      <c r="H79" s="1215">
        <v>44861</v>
      </c>
      <c r="I79" s="656">
        <v>15973.28</v>
      </c>
      <c r="J79" s="1213">
        <v>44944</v>
      </c>
      <c r="K79" s="1086" t="s">
        <v>4001</v>
      </c>
      <c r="L79" s="217"/>
    </row>
    <row r="80" spans="1:12" s="168" customFormat="1" ht="15">
      <c r="A80" s="1904"/>
      <c r="B80" s="1904"/>
      <c r="C80" s="1904"/>
      <c r="D80" s="1904"/>
      <c r="E80" s="2120"/>
      <c r="F80" s="2119"/>
      <c r="G80" s="748">
        <v>10000</v>
      </c>
      <c r="H80" s="1215">
        <v>44861</v>
      </c>
      <c r="I80" s="1093">
        <v>10000</v>
      </c>
      <c r="J80" s="1211">
        <v>44979</v>
      </c>
      <c r="K80" s="1178" t="s">
        <v>1752</v>
      </c>
      <c r="L80" s="1094"/>
    </row>
    <row r="81" spans="1:12" s="168" customFormat="1" ht="28.5">
      <c r="A81" s="1905"/>
      <c r="B81" s="1905"/>
      <c r="C81" s="1905"/>
      <c r="D81" s="1905"/>
      <c r="E81" s="2082"/>
      <c r="F81" s="2118"/>
      <c r="G81" s="748">
        <f>33465.75-15973.28-10000</f>
        <v>7492.4700000000012</v>
      </c>
      <c r="H81" s="1215">
        <v>44861</v>
      </c>
      <c r="I81" s="1093">
        <v>7492.4700000000012</v>
      </c>
      <c r="J81" s="1211">
        <v>44993</v>
      </c>
      <c r="K81" s="1217" t="s">
        <v>4476</v>
      </c>
      <c r="L81" s="1094"/>
    </row>
    <row r="82" spans="1:12" s="168" customFormat="1" ht="15">
      <c r="A82" s="871">
        <v>44860</v>
      </c>
      <c r="B82" s="1124" t="s">
        <v>2518</v>
      </c>
      <c r="C82" s="1124" t="s">
        <v>4017</v>
      </c>
      <c r="D82" s="871" t="s">
        <v>3394</v>
      </c>
      <c r="E82" s="874">
        <v>0.06</v>
      </c>
      <c r="F82" s="722">
        <v>0</v>
      </c>
      <c r="G82" s="748">
        <v>0.06</v>
      </c>
      <c r="H82" s="871">
        <v>44861.000497685185</v>
      </c>
      <c r="I82" s="1981">
        <v>1.1499999999999999</v>
      </c>
      <c r="J82" s="1903">
        <v>44865</v>
      </c>
      <c r="K82" s="2133" t="s">
        <v>3402</v>
      </c>
      <c r="L82" s="2155" t="s">
        <v>3401</v>
      </c>
    </row>
    <row r="83" spans="1:12" s="168" customFormat="1" ht="15">
      <c r="A83" s="871">
        <v>44860</v>
      </c>
      <c r="B83" s="1124" t="s">
        <v>2518</v>
      </c>
      <c r="C83" s="1124" t="s">
        <v>4017</v>
      </c>
      <c r="D83" s="871" t="s">
        <v>3395</v>
      </c>
      <c r="E83" s="874">
        <v>0.2</v>
      </c>
      <c r="F83" s="722">
        <v>0</v>
      </c>
      <c r="G83" s="748">
        <v>0.2</v>
      </c>
      <c r="H83" s="871">
        <v>44861.000497685185</v>
      </c>
      <c r="I83" s="2168"/>
      <c r="J83" s="1904"/>
      <c r="K83" s="2128"/>
      <c r="L83" s="2156"/>
    </row>
    <row r="84" spans="1:12" s="168" customFormat="1" ht="15">
      <c r="A84" s="871">
        <v>44860</v>
      </c>
      <c r="B84" s="1124" t="s">
        <v>2518</v>
      </c>
      <c r="C84" s="1124" t="s">
        <v>4017</v>
      </c>
      <c r="D84" s="871" t="s">
        <v>3396</v>
      </c>
      <c r="E84" s="874">
        <v>0.24</v>
      </c>
      <c r="F84" s="722">
        <v>0</v>
      </c>
      <c r="G84" s="748">
        <v>0.24</v>
      </c>
      <c r="H84" s="871">
        <v>44861.000497685185</v>
      </c>
      <c r="I84" s="2168"/>
      <c r="J84" s="1904"/>
      <c r="K84" s="2128"/>
      <c r="L84" s="2156"/>
    </row>
    <row r="85" spans="1:12" s="168" customFormat="1" ht="15">
      <c r="A85" s="871">
        <v>44860</v>
      </c>
      <c r="B85" s="1124" t="s">
        <v>2518</v>
      </c>
      <c r="C85" s="1124" t="s">
        <v>4017</v>
      </c>
      <c r="D85" s="871" t="s">
        <v>3397</v>
      </c>
      <c r="E85" s="874">
        <v>0.2</v>
      </c>
      <c r="F85" s="722">
        <v>0</v>
      </c>
      <c r="G85" s="748">
        <v>0.2</v>
      </c>
      <c r="H85" s="871">
        <v>44861.000497685185</v>
      </c>
      <c r="I85" s="2168"/>
      <c r="J85" s="1904"/>
      <c r="K85" s="2128"/>
      <c r="L85" s="2156"/>
    </row>
    <row r="86" spans="1:12" s="168" customFormat="1" ht="15">
      <c r="A86" s="871">
        <v>44860</v>
      </c>
      <c r="B86" s="1124" t="s">
        <v>2518</v>
      </c>
      <c r="C86" s="1124" t="s">
        <v>4017</v>
      </c>
      <c r="D86" s="871" t="s">
        <v>3398</v>
      </c>
      <c r="E86" s="874">
        <v>0.12</v>
      </c>
      <c r="F86" s="722">
        <v>0</v>
      </c>
      <c r="G86" s="748">
        <v>0.12</v>
      </c>
      <c r="H86" s="871">
        <v>44861.000497685185</v>
      </c>
      <c r="I86" s="2168"/>
      <c r="J86" s="1904"/>
      <c r="K86" s="2128"/>
      <c r="L86" s="2156"/>
    </row>
    <row r="87" spans="1:12" s="168" customFormat="1" ht="15">
      <c r="A87" s="871">
        <v>44860</v>
      </c>
      <c r="B87" s="1124" t="s">
        <v>2518</v>
      </c>
      <c r="C87" s="1124" t="s">
        <v>4017</v>
      </c>
      <c r="D87" s="871" t="s">
        <v>3399</v>
      </c>
      <c r="E87" s="874">
        <v>0.19</v>
      </c>
      <c r="F87" s="722">
        <v>0</v>
      </c>
      <c r="G87" s="748">
        <v>0.19</v>
      </c>
      <c r="H87" s="871">
        <v>44861.000497685185</v>
      </c>
      <c r="I87" s="2168"/>
      <c r="J87" s="1904"/>
      <c r="K87" s="2128"/>
      <c r="L87" s="2156"/>
    </row>
    <row r="88" spans="1:12" s="168" customFormat="1" ht="15">
      <c r="A88" s="871">
        <v>44860</v>
      </c>
      <c r="B88" s="1124" t="s">
        <v>2518</v>
      </c>
      <c r="C88" s="1124" t="s">
        <v>4017</v>
      </c>
      <c r="D88" s="871" t="s">
        <v>3400</v>
      </c>
      <c r="E88" s="874">
        <v>0.14000000000000001</v>
      </c>
      <c r="F88" s="722">
        <v>0</v>
      </c>
      <c r="G88" s="748">
        <v>0.14000000000000001</v>
      </c>
      <c r="H88" s="871">
        <v>44861.000497685185</v>
      </c>
      <c r="I88" s="1982"/>
      <c r="J88" s="1905"/>
      <c r="K88" s="2129"/>
      <c r="L88" s="2157"/>
    </row>
    <row r="89" spans="1:12" s="168" customFormat="1" ht="15">
      <c r="A89" s="1215">
        <v>44862</v>
      </c>
      <c r="B89" s="1215" t="s">
        <v>2518</v>
      </c>
      <c r="C89" s="1215" t="s">
        <v>4017</v>
      </c>
      <c r="D89" s="1215" t="s">
        <v>3354</v>
      </c>
      <c r="E89" s="1223">
        <v>1584</v>
      </c>
      <c r="F89" s="722">
        <v>0</v>
      </c>
      <c r="G89" s="748">
        <v>1584</v>
      </c>
      <c r="H89" s="1215">
        <v>44863</v>
      </c>
      <c r="I89" s="1981">
        <v>15173.099999999999</v>
      </c>
      <c r="J89" s="1918">
        <v>44914</v>
      </c>
      <c r="K89" s="2121" t="s">
        <v>3807</v>
      </c>
      <c r="L89" s="2165" t="s">
        <v>3808</v>
      </c>
    </row>
    <row r="90" spans="1:12" s="168" customFormat="1" ht="15">
      <c r="A90" s="1215">
        <v>44862</v>
      </c>
      <c r="B90" s="1215" t="s">
        <v>2518</v>
      </c>
      <c r="C90" s="1215" t="s">
        <v>4017</v>
      </c>
      <c r="D90" s="1215" t="s">
        <v>3355</v>
      </c>
      <c r="E90" s="1223">
        <v>700</v>
      </c>
      <c r="F90" s="722">
        <v>0</v>
      </c>
      <c r="G90" s="748">
        <v>700</v>
      </c>
      <c r="H90" s="1215">
        <v>44863</v>
      </c>
      <c r="I90" s="2168"/>
      <c r="J90" s="1919"/>
      <c r="K90" s="2122"/>
      <c r="L90" s="2166"/>
    </row>
    <row r="91" spans="1:12" s="168" customFormat="1" ht="15">
      <c r="A91" s="1215">
        <v>44865</v>
      </c>
      <c r="B91" s="1215" t="s">
        <v>2518</v>
      </c>
      <c r="C91" s="1215" t="s">
        <v>4017</v>
      </c>
      <c r="D91" s="1215" t="s">
        <v>3356</v>
      </c>
      <c r="E91" s="1223">
        <v>6676.32</v>
      </c>
      <c r="F91" s="722">
        <v>0</v>
      </c>
      <c r="G91" s="748">
        <v>6676.32</v>
      </c>
      <c r="H91" s="1215">
        <v>44866</v>
      </c>
      <c r="I91" s="2168"/>
      <c r="J91" s="1919"/>
      <c r="K91" s="2122"/>
      <c r="L91" s="2166"/>
    </row>
    <row r="92" spans="1:12" s="168" customFormat="1" ht="15">
      <c r="A92" s="1215">
        <v>44889</v>
      </c>
      <c r="B92" s="1215" t="s">
        <v>2518</v>
      </c>
      <c r="C92" s="1215" t="s">
        <v>4017</v>
      </c>
      <c r="D92" s="1215" t="s">
        <v>3527</v>
      </c>
      <c r="E92" s="1223">
        <v>6212.78</v>
      </c>
      <c r="F92" s="722">
        <v>0</v>
      </c>
      <c r="G92" s="748">
        <v>6212.78</v>
      </c>
      <c r="H92" s="1215">
        <v>44890</v>
      </c>
      <c r="I92" s="1982"/>
      <c r="J92" s="1920"/>
      <c r="K92" s="2123"/>
      <c r="L92" s="2167"/>
    </row>
    <row r="93" spans="1:12" s="168" customFormat="1" ht="28.5">
      <c r="A93" s="1215">
        <v>44890</v>
      </c>
      <c r="B93" s="1215" t="s">
        <v>2518</v>
      </c>
      <c r="C93" s="1215" t="s">
        <v>4017</v>
      </c>
      <c r="D93" s="1215" t="s">
        <v>3528</v>
      </c>
      <c r="E93" s="1223">
        <v>0.2</v>
      </c>
      <c r="F93" s="722">
        <v>0</v>
      </c>
      <c r="G93" s="748">
        <v>0.2</v>
      </c>
      <c r="H93" s="1215">
        <v>44891</v>
      </c>
      <c r="I93" s="716">
        <v>0.2</v>
      </c>
      <c r="J93" s="1213">
        <v>44993</v>
      </c>
      <c r="K93" s="1228" t="s">
        <v>4476</v>
      </c>
      <c r="L93" s="217" t="s">
        <v>3529</v>
      </c>
    </row>
    <row r="94" spans="1:12" s="168" customFormat="1" ht="15">
      <c r="A94" s="1065">
        <v>44893</v>
      </c>
      <c r="B94" s="1124" t="s">
        <v>2518</v>
      </c>
      <c r="C94" s="1124" t="s">
        <v>4017</v>
      </c>
      <c r="D94" s="1065" t="s">
        <v>3607</v>
      </c>
      <c r="E94" s="1084">
        <v>936</v>
      </c>
      <c r="F94" s="722">
        <v>0</v>
      </c>
      <c r="G94" s="748">
        <v>936</v>
      </c>
      <c r="H94" s="1065">
        <v>44894</v>
      </c>
      <c r="I94" s="1981">
        <v>5753.66</v>
      </c>
      <c r="J94" s="1918">
        <v>44914</v>
      </c>
      <c r="K94" s="2121" t="s">
        <v>3807</v>
      </c>
      <c r="L94" s="2165" t="s">
        <v>3808</v>
      </c>
    </row>
    <row r="95" spans="1:12" s="168" customFormat="1" ht="15">
      <c r="A95" s="1903">
        <v>44893</v>
      </c>
      <c r="B95" s="1918" t="s">
        <v>2518</v>
      </c>
      <c r="C95" s="1918" t="s">
        <v>4017</v>
      </c>
      <c r="D95" s="1903" t="s">
        <v>3608</v>
      </c>
      <c r="E95" s="2081">
        <v>4998</v>
      </c>
      <c r="F95" s="2117">
        <v>0</v>
      </c>
      <c r="G95" s="748">
        <v>4817.66</v>
      </c>
      <c r="H95" s="1065">
        <v>44894</v>
      </c>
      <c r="I95" s="1982"/>
      <c r="J95" s="1920"/>
      <c r="K95" s="2123"/>
      <c r="L95" s="2167"/>
    </row>
    <row r="96" spans="1:12" s="168" customFormat="1" ht="15">
      <c r="A96" s="1905"/>
      <c r="B96" s="1920"/>
      <c r="C96" s="1920"/>
      <c r="D96" s="1905"/>
      <c r="E96" s="2082"/>
      <c r="F96" s="2118"/>
      <c r="G96" s="748">
        <f>4998-4817.66</f>
        <v>180.34000000000015</v>
      </c>
      <c r="H96" s="1065">
        <v>44894</v>
      </c>
      <c r="I96" s="1923">
        <v>-793.27999999999952</v>
      </c>
      <c r="J96" s="1918">
        <v>44944</v>
      </c>
      <c r="K96" s="2164" t="s">
        <v>4001</v>
      </c>
      <c r="L96" s="217"/>
    </row>
    <row r="97" spans="1:12" s="168" customFormat="1" ht="15">
      <c r="A97" s="1065">
        <v>44914</v>
      </c>
      <c r="B97" s="1124" t="s">
        <v>2518</v>
      </c>
      <c r="C97" s="1124" t="s">
        <v>4017</v>
      </c>
      <c r="D97" s="1065" t="s">
        <v>3771</v>
      </c>
      <c r="E97" s="1084">
        <v>-1270.08</v>
      </c>
      <c r="F97" s="722">
        <v>0</v>
      </c>
      <c r="G97" s="611">
        <v>-1270.08</v>
      </c>
      <c r="H97" s="1065"/>
      <c r="I97" s="1961"/>
      <c r="J97" s="1919"/>
      <c r="K97" s="2122"/>
      <c r="L97" s="217"/>
    </row>
    <row r="98" spans="1:12" s="168" customFormat="1" ht="15">
      <c r="A98" s="1065">
        <v>44914</v>
      </c>
      <c r="B98" s="1124" t="s">
        <v>2518</v>
      </c>
      <c r="C98" s="1124" t="s">
        <v>4017</v>
      </c>
      <c r="D98" s="1065" t="s">
        <v>3772</v>
      </c>
      <c r="E98" s="1084">
        <v>-2884.33</v>
      </c>
      <c r="F98" s="722">
        <v>0</v>
      </c>
      <c r="G98" s="611">
        <v>-2884.33</v>
      </c>
      <c r="H98" s="1065"/>
      <c r="I98" s="1961"/>
      <c r="J98" s="1919"/>
      <c r="K98" s="2122"/>
      <c r="L98" s="217"/>
    </row>
    <row r="99" spans="1:12" s="168" customFormat="1" ht="15">
      <c r="A99" s="1065">
        <v>44915</v>
      </c>
      <c r="B99" s="1124" t="s">
        <v>2518</v>
      </c>
      <c r="C99" s="1124" t="s">
        <v>4017</v>
      </c>
      <c r="D99" s="1065" t="s">
        <v>3773</v>
      </c>
      <c r="E99" s="1084">
        <v>-147</v>
      </c>
      <c r="F99" s="722">
        <v>0</v>
      </c>
      <c r="G99" s="611">
        <v>-147</v>
      </c>
      <c r="H99" s="1065"/>
      <c r="I99" s="1961"/>
      <c r="J99" s="1919"/>
      <c r="K99" s="2122"/>
      <c r="L99" s="217"/>
    </row>
    <row r="100" spans="1:12" s="168" customFormat="1" ht="15">
      <c r="A100" s="1065">
        <v>44915</v>
      </c>
      <c r="B100" s="1124" t="s">
        <v>2518</v>
      </c>
      <c r="C100" s="1124" t="s">
        <v>4017</v>
      </c>
      <c r="D100" s="1065" t="s">
        <v>3774</v>
      </c>
      <c r="E100" s="1084">
        <v>3407.88</v>
      </c>
      <c r="F100" s="722">
        <v>0</v>
      </c>
      <c r="G100" s="611">
        <v>3407.88</v>
      </c>
      <c r="H100" s="1065">
        <v>44916</v>
      </c>
      <c r="I100" s="1961"/>
      <c r="J100" s="1919"/>
      <c r="K100" s="2122"/>
      <c r="L100" s="217"/>
    </row>
    <row r="101" spans="1:12" s="168" customFormat="1" ht="28.5">
      <c r="A101" s="1065">
        <v>44917</v>
      </c>
      <c r="B101" s="1124" t="s">
        <v>2518</v>
      </c>
      <c r="C101" s="1124" t="s">
        <v>4017</v>
      </c>
      <c r="D101" s="1065" t="s">
        <v>3775</v>
      </c>
      <c r="E101" s="1084">
        <v>-1673.29</v>
      </c>
      <c r="F101" s="722">
        <v>0</v>
      </c>
      <c r="G101" s="611">
        <v>-1673.29</v>
      </c>
      <c r="H101" s="1065">
        <v>44918</v>
      </c>
      <c r="I101" s="1961"/>
      <c r="J101" s="1919"/>
      <c r="K101" s="2122"/>
      <c r="L101" s="1011" t="s">
        <v>3776</v>
      </c>
    </row>
    <row r="102" spans="1:12" s="168" customFormat="1" ht="15">
      <c r="A102" s="1065">
        <v>44925</v>
      </c>
      <c r="B102" s="1124" t="s">
        <v>2518</v>
      </c>
      <c r="C102" s="1124" t="s">
        <v>4017</v>
      </c>
      <c r="D102" s="1065" t="s">
        <v>3818</v>
      </c>
      <c r="E102" s="1084">
        <v>1593.2</v>
      </c>
      <c r="F102" s="722">
        <v>0</v>
      </c>
      <c r="G102" s="611">
        <v>1593.2</v>
      </c>
      <c r="H102" s="1065">
        <v>44926</v>
      </c>
      <c r="I102" s="1924"/>
      <c r="J102" s="1920"/>
      <c r="K102" s="2123"/>
      <c r="L102" s="217"/>
    </row>
    <row r="103" spans="1:12" s="168" customFormat="1" ht="28.5">
      <c r="A103" s="1903">
        <v>44943</v>
      </c>
      <c r="B103" s="1903" t="s">
        <v>2518</v>
      </c>
      <c r="C103" s="1903" t="s">
        <v>4017</v>
      </c>
      <c r="D103" s="1903" t="s">
        <v>3955</v>
      </c>
      <c r="E103" s="2081">
        <v>11479.51</v>
      </c>
      <c r="F103" s="2117">
        <v>0</v>
      </c>
      <c r="G103" s="611">
        <v>2507.33</v>
      </c>
      <c r="H103" s="1440">
        <v>45033</v>
      </c>
      <c r="I103" s="660">
        <v>2507.33</v>
      </c>
      <c r="J103" s="1440">
        <v>44993</v>
      </c>
      <c r="K103" s="1450" t="s">
        <v>4476</v>
      </c>
      <c r="L103" s="217"/>
    </row>
    <row r="104" spans="1:12" s="168" customFormat="1" ht="15">
      <c r="A104" s="1905"/>
      <c r="B104" s="1905"/>
      <c r="C104" s="1905"/>
      <c r="D104" s="1905"/>
      <c r="E104" s="2082"/>
      <c r="F104" s="2118"/>
      <c r="G104" s="611">
        <f>11479.51-2507.33</f>
        <v>8972.18</v>
      </c>
      <c r="H104" s="1440">
        <v>45033</v>
      </c>
      <c r="I104" s="2130">
        <v>30000</v>
      </c>
      <c r="J104" s="1903">
        <v>45040</v>
      </c>
      <c r="K104" s="2127" t="s">
        <v>5458</v>
      </c>
      <c r="L104" s="217"/>
    </row>
    <row r="105" spans="1:12" s="168" customFormat="1" ht="15">
      <c r="A105" s="1440">
        <v>44977</v>
      </c>
      <c r="B105" s="1440" t="s">
        <v>2518</v>
      </c>
      <c r="C105" s="1440" t="s">
        <v>4017</v>
      </c>
      <c r="D105" s="1440" t="s">
        <v>4214</v>
      </c>
      <c r="E105" s="1449">
        <v>5592.3</v>
      </c>
      <c r="F105" s="722">
        <v>0</v>
      </c>
      <c r="G105" s="611">
        <v>5592.3</v>
      </c>
      <c r="H105" s="1440">
        <v>45067</v>
      </c>
      <c r="I105" s="2131"/>
      <c r="J105" s="1904"/>
      <c r="K105" s="2128"/>
      <c r="L105" s="217"/>
    </row>
    <row r="106" spans="1:12" s="168" customFormat="1" ht="15">
      <c r="A106" s="1440">
        <v>44977</v>
      </c>
      <c r="B106" s="1440" t="s">
        <v>2518</v>
      </c>
      <c r="C106" s="1440" t="s">
        <v>4017</v>
      </c>
      <c r="D106" s="1440" t="s">
        <v>4215</v>
      </c>
      <c r="E106" s="1449">
        <v>1993.6</v>
      </c>
      <c r="F106" s="722">
        <v>0</v>
      </c>
      <c r="G106" s="611">
        <v>1993.6</v>
      </c>
      <c r="H106" s="1440">
        <v>44978</v>
      </c>
      <c r="I106" s="2131"/>
      <c r="J106" s="1904"/>
      <c r="K106" s="2128"/>
      <c r="L106" s="217"/>
    </row>
    <row r="107" spans="1:12" s="168" customFormat="1" ht="15">
      <c r="A107" s="1440">
        <v>44981</v>
      </c>
      <c r="B107" s="1440" t="s">
        <v>2518</v>
      </c>
      <c r="C107" s="1440" t="s">
        <v>4017</v>
      </c>
      <c r="D107" s="1440" t="s">
        <v>4216</v>
      </c>
      <c r="E107" s="1449">
        <v>3722.95</v>
      </c>
      <c r="F107" s="722">
        <v>0</v>
      </c>
      <c r="G107" s="611">
        <v>3722.95</v>
      </c>
      <c r="H107" s="1440">
        <v>45071</v>
      </c>
      <c r="I107" s="2131"/>
      <c r="J107" s="1904"/>
      <c r="K107" s="2128"/>
      <c r="L107" s="217"/>
    </row>
    <row r="108" spans="1:12" s="168" customFormat="1" ht="15">
      <c r="A108" s="1440">
        <v>44984</v>
      </c>
      <c r="B108" s="1440" t="s">
        <v>2518</v>
      </c>
      <c r="C108" s="1440" t="s">
        <v>4017</v>
      </c>
      <c r="D108" s="1440" t="s">
        <v>4360</v>
      </c>
      <c r="E108" s="1449">
        <v>-700</v>
      </c>
      <c r="F108" s="722">
        <v>0</v>
      </c>
      <c r="G108" s="611">
        <v>-700</v>
      </c>
      <c r="H108" s="1440">
        <v>44985</v>
      </c>
      <c r="I108" s="2131"/>
      <c r="J108" s="1904"/>
      <c r="K108" s="2128"/>
      <c r="L108" s="217" t="s">
        <v>4363</v>
      </c>
    </row>
    <row r="109" spans="1:12" s="168" customFormat="1" ht="15">
      <c r="A109" s="1440">
        <v>44987</v>
      </c>
      <c r="B109" s="1440" t="s">
        <v>2518</v>
      </c>
      <c r="C109" s="1440" t="s">
        <v>4017</v>
      </c>
      <c r="D109" s="1440" t="s">
        <v>4361</v>
      </c>
      <c r="E109" s="1449">
        <v>4977</v>
      </c>
      <c r="F109" s="722">
        <v>0</v>
      </c>
      <c r="G109" s="611">
        <v>4977</v>
      </c>
      <c r="H109" s="1440">
        <v>45047</v>
      </c>
      <c r="I109" s="2131"/>
      <c r="J109" s="1904"/>
      <c r="K109" s="2128"/>
      <c r="L109" s="217"/>
    </row>
    <row r="110" spans="1:12" s="168" customFormat="1" ht="15">
      <c r="A110" s="1440">
        <v>44987</v>
      </c>
      <c r="B110" s="1440" t="s">
        <v>2518</v>
      </c>
      <c r="C110" s="1440" t="s">
        <v>4017</v>
      </c>
      <c r="D110" s="1440" t="s">
        <v>4362</v>
      </c>
      <c r="E110" s="1449">
        <v>3664.5</v>
      </c>
      <c r="F110" s="722">
        <v>0</v>
      </c>
      <c r="G110" s="611">
        <v>3664.5</v>
      </c>
      <c r="H110" s="1440">
        <v>44988</v>
      </c>
      <c r="I110" s="2131"/>
      <c r="J110" s="1904"/>
      <c r="K110" s="2128"/>
      <c r="L110" s="217"/>
    </row>
    <row r="111" spans="1:12" s="168" customFormat="1" ht="15">
      <c r="A111" s="1440">
        <v>44991</v>
      </c>
      <c r="B111" s="1440" t="s">
        <v>2518</v>
      </c>
      <c r="C111" s="1440" t="s">
        <v>4017</v>
      </c>
      <c r="D111" s="1440" t="s">
        <v>4432</v>
      </c>
      <c r="E111" s="1449">
        <v>-49.63</v>
      </c>
      <c r="F111" s="722">
        <v>0</v>
      </c>
      <c r="G111" s="611">
        <v>-49.63</v>
      </c>
      <c r="H111" s="1440">
        <v>44991</v>
      </c>
      <c r="I111" s="2131"/>
      <c r="J111" s="1904"/>
      <c r="K111" s="2128"/>
      <c r="L111" s="217"/>
    </row>
    <row r="112" spans="1:12" s="168" customFormat="1" ht="15">
      <c r="A112" s="1440">
        <v>44993</v>
      </c>
      <c r="B112" s="1440" t="s">
        <v>2518</v>
      </c>
      <c r="C112" s="1440" t="s">
        <v>4017</v>
      </c>
      <c r="D112" s="1440" t="s">
        <v>4433</v>
      </c>
      <c r="E112" s="1449">
        <v>-134.4</v>
      </c>
      <c r="F112" s="722">
        <v>0</v>
      </c>
      <c r="G112" s="611">
        <v>-134.4</v>
      </c>
      <c r="H112" s="1440">
        <v>44993</v>
      </c>
      <c r="I112" s="2131"/>
      <c r="J112" s="1904"/>
      <c r="K112" s="2128"/>
      <c r="L112" s="217"/>
    </row>
    <row r="113" spans="1:12" s="168" customFormat="1" ht="15">
      <c r="A113" s="1440">
        <v>44993</v>
      </c>
      <c r="B113" s="1440" t="s">
        <v>2518</v>
      </c>
      <c r="C113" s="1440" t="s">
        <v>4017</v>
      </c>
      <c r="D113" s="1440" t="s">
        <v>4434</v>
      </c>
      <c r="E113" s="1449">
        <v>-981.6</v>
      </c>
      <c r="F113" s="722">
        <v>0</v>
      </c>
      <c r="G113" s="611">
        <v>-981.61</v>
      </c>
      <c r="H113" s="1440">
        <v>44993</v>
      </c>
      <c r="I113" s="2131"/>
      <c r="J113" s="1904"/>
      <c r="K113" s="2128"/>
      <c r="L113" s="217"/>
    </row>
    <row r="114" spans="1:12" s="168" customFormat="1" ht="15">
      <c r="A114" s="1440">
        <v>45009</v>
      </c>
      <c r="B114" s="1440" t="s">
        <v>2518</v>
      </c>
      <c r="C114" s="1440" t="s">
        <v>4017</v>
      </c>
      <c r="D114" s="1440" t="s">
        <v>4548</v>
      </c>
      <c r="E114" s="1449">
        <v>367.5</v>
      </c>
      <c r="F114" s="722">
        <v>0</v>
      </c>
      <c r="G114" s="611">
        <v>367.5</v>
      </c>
      <c r="H114" s="1440">
        <v>45069</v>
      </c>
      <c r="I114" s="2131"/>
      <c r="J114" s="1904"/>
      <c r="K114" s="2128"/>
      <c r="L114" s="217"/>
    </row>
    <row r="115" spans="1:12" s="168" customFormat="1" ht="15">
      <c r="A115" s="1440">
        <v>45012</v>
      </c>
      <c r="B115" s="1440" t="s">
        <v>2518</v>
      </c>
      <c r="C115" s="1440" t="s">
        <v>4017</v>
      </c>
      <c r="D115" s="1440" t="s">
        <v>4628</v>
      </c>
      <c r="E115" s="1449">
        <v>-33.18</v>
      </c>
      <c r="F115" s="722">
        <v>0</v>
      </c>
      <c r="G115" s="611">
        <v>-33.18</v>
      </c>
      <c r="H115" s="1440"/>
      <c r="I115" s="2131"/>
      <c r="J115" s="1904"/>
      <c r="K115" s="2128"/>
      <c r="L115" s="217"/>
    </row>
    <row r="116" spans="1:12" s="168" customFormat="1" ht="15">
      <c r="A116" s="1440">
        <v>45016</v>
      </c>
      <c r="B116" s="1440" t="s">
        <v>2518</v>
      </c>
      <c r="C116" s="1440" t="s">
        <v>4017</v>
      </c>
      <c r="D116" s="1440" t="s">
        <v>4630</v>
      </c>
      <c r="E116" s="1449">
        <v>-195</v>
      </c>
      <c r="F116" s="722">
        <v>0</v>
      </c>
      <c r="G116" s="611">
        <v>-195</v>
      </c>
      <c r="H116" s="1440">
        <v>45017</v>
      </c>
      <c r="I116" s="2131"/>
      <c r="J116" s="1904"/>
      <c r="K116" s="2128"/>
      <c r="L116" s="217" t="s">
        <v>4631</v>
      </c>
    </row>
    <row r="117" spans="1:12" s="168" customFormat="1" ht="15">
      <c r="A117" s="1440">
        <v>45019</v>
      </c>
      <c r="B117" s="1440" t="s">
        <v>2518</v>
      </c>
      <c r="C117" s="1440" t="s">
        <v>4017</v>
      </c>
      <c r="D117" s="1440" t="s">
        <v>4674</v>
      </c>
      <c r="E117" s="1449">
        <v>-149.31</v>
      </c>
      <c r="F117" s="722">
        <v>0</v>
      </c>
      <c r="G117" s="611">
        <v>-149.31</v>
      </c>
      <c r="H117" s="1440"/>
      <c r="I117" s="2131"/>
      <c r="J117" s="1904"/>
      <c r="K117" s="2128"/>
      <c r="L117" s="217"/>
    </row>
    <row r="118" spans="1:12" s="168" customFormat="1" ht="15">
      <c r="A118" s="1440">
        <v>45020</v>
      </c>
      <c r="B118" s="1440" t="s">
        <v>2518</v>
      </c>
      <c r="C118" s="1440" t="s">
        <v>4017</v>
      </c>
      <c r="D118" s="1440" t="s">
        <v>4675</v>
      </c>
      <c r="E118" s="1449">
        <v>912.45</v>
      </c>
      <c r="F118" s="722">
        <v>0</v>
      </c>
      <c r="G118" s="611">
        <v>912.45</v>
      </c>
      <c r="H118" s="1440">
        <v>45110</v>
      </c>
      <c r="I118" s="2131"/>
      <c r="J118" s="1904"/>
      <c r="K118" s="2128"/>
      <c r="L118" s="217"/>
    </row>
    <row r="119" spans="1:12" s="168" customFormat="1" ht="15">
      <c r="A119" s="1440">
        <v>45021</v>
      </c>
      <c r="B119" s="1440" t="s">
        <v>2518</v>
      </c>
      <c r="C119" s="1440" t="s">
        <v>4017</v>
      </c>
      <c r="D119" s="1440" t="s">
        <v>4676</v>
      </c>
      <c r="E119" s="1449">
        <v>-207.24</v>
      </c>
      <c r="F119" s="722">
        <v>0</v>
      </c>
      <c r="G119" s="611">
        <v>-207.24</v>
      </c>
      <c r="H119" s="1440"/>
      <c r="I119" s="2131"/>
      <c r="J119" s="1904"/>
      <c r="K119" s="2128"/>
      <c r="L119" s="217"/>
    </row>
    <row r="120" spans="1:12" s="168" customFormat="1" ht="15">
      <c r="A120" s="1440">
        <v>45021</v>
      </c>
      <c r="B120" s="1440" t="s">
        <v>2518</v>
      </c>
      <c r="C120" s="1440" t="s">
        <v>4017</v>
      </c>
      <c r="D120" s="1440" t="s">
        <v>4677</v>
      </c>
      <c r="E120" s="1449">
        <v>-245.77</v>
      </c>
      <c r="F120" s="722">
        <v>0</v>
      </c>
      <c r="G120" s="611">
        <v>-245.77</v>
      </c>
      <c r="H120" s="1440"/>
      <c r="I120" s="2131"/>
      <c r="J120" s="1904"/>
      <c r="K120" s="2128"/>
      <c r="L120" s="217"/>
    </row>
    <row r="121" spans="1:12" s="168" customFormat="1" ht="15">
      <c r="A121" s="1440">
        <v>45021</v>
      </c>
      <c r="B121" s="1440" t="s">
        <v>2518</v>
      </c>
      <c r="C121" s="1440" t="s">
        <v>4017</v>
      </c>
      <c r="D121" s="1440" t="s">
        <v>4678</v>
      </c>
      <c r="E121" s="1449">
        <v>-1110.3</v>
      </c>
      <c r="F121" s="722">
        <v>0</v>
      </c>
      <c r="G121" s="611">
        <v>-1110.31</v>
      </c>
      <c r="H121" s="1440"/>
      <c r="I121" s="2131"/>
      <c r="J121" s="1904"/>
      <c r="K121" s="2128"/>
      <c r="L121" s="217"/>
    </row>
    <row r="122" spans="1:12" s="168" customFormat="1" ht="15">
      <c r="A122" s="1440">
        <v>45021</v>
      </c>
      <c r="B122" s="1440" t="s">
        <v>2518</v>
      </c>
      <c r="C122" s="1440" t="s">
        <v>4017</v>
      </c>
      <c r="D122" s="1440" t="s">
        <v>4679</v>
      </c>
      <c r="E122" s="1449">
        <v>-23.85</v>
      </c>
      <c r="F122" s="722">
        <v>0</v>
      </c>
      <c r="G122" s="611">
        <v>-23.85</v>
      </c>
      <c r="H122" s="1440">
        <v>45026</v>
      </c>
      <c r="I122" s="2131"/>
      <c r="J122" s="1904"/>
      <c r="K122" s="2128"/>
      <c r="L122" s="217" t="s">
        <v>4680</v>
      </c>
    </row>
    <row r="123" spans="1:12" s="168" customFormat="1" ht="15">
      <c r="A123" s="1903">
        <v>45013</v>
      </c>
      <c r="B123" s="1903" t="s">
        <v>2518</v>
      </c>
      <c r="C123" s="1903" t="s">
        <v>4017</v>
      </c>
      <c r="D123" s="1903" t="s">
        <v>4629</v>
      </c>
      <c r="E123" s="2081">
        <v>17339.439999999999</v>
      </c>
      <c r="F123" s="2117">
        <v>0</v>
      </c>
      <c r="G123" s="611">
        <v>3627.82</v>
      </c>
      <c r="H123" s="1440">
        <v>45073</v>
      </c>
      <c r="I123" s="2132"/>
      <c r="J123" s="1905"/>
      <c r="K123" s="2129"/>
      <c r="L123" s="217"/>
    </row>
    <row r="124" spans="1:12" s="168" customFormat="1" ht="15">
      <c r="A124" s="1905"/>
      <c r="B124" s="1905"/>
      <c r="C124" s="1905"/>
      <c r="D124" s="1905"/>
      <c r="E124" s="2082"/>
      <c r="F124" s="2118"/>
      <c r="G124" s="611">
        <f>17339.44-3627.82</f>
        <v>13711.619999999999</v>
      </c>
      <c r="H124" s="1440">
        <v>45073</v>
      </c>
      <c r="I124" s="660">
        <v>13711.62</v>
      </c>
      <c r="J124" s="1440">
        <v>45075</v>
      </c>
      <c r="K124" s="1444" t="s">
        <v>5294</v>
      </c>
      <c r="L124" s="217"/>
    </row>
    <row r="125" spans="1:12" s="168" customFormat="1" ht="15">
      <c r="A125" s="1903">
        <v>45037</v>
      </c>
      <c r="B125" s="1903" t="s">
        <v>2518</v>
      </c>
      <c r="C125" s="1903" t="s">
        <v>4017</v>
      </c>
      <c r="D125" s="1903" t="s">
        <v>4807</v>
      </c>
      <c r="E125" s="2081">
        <v>6828.34</v>
      </c>
      <c r="F125" s="2117">
        <v>0</v>
      </c>
      <c r="G125" s="611">
        <v>1788.38</v>
      </c>
      <c r="H125" s="1440">
        <v>45127</v>
      </c>
      <c r="I125" s="660">
        <v>1788.38</v>
      </c>
      <c r="J125" s="1440">
        <v>45075</v>
      </c>
      <c r="K125" s="1444" t="s">
        <v>5294</v>
      </c>
      <c r="L125" s="217"/>
    </row>
    <row r="126" spans="1:12" s="168" customFormat="1" ht="15">
      <c r="A126" s="1905"/>
      <c r="B126" s="1905"/>
      <c r="C126" s="1905"/>
      <c r="D126" s="1905"/>
      <c r="E126" s="2082"/>
      <c r="F126" s="2118"/>
      <c r="G126" s="611">
        <f>6828.34-1788.38</f>
        <v>5039.96</v>
      </c>
      <c r="H126" s="1484">
        <v>45127</v>
      </c>
      <c r="I126" s="2130">
        <v>10000</v>
      </c>
      <c r="J126" s="1903">
        <v>45096</v>
      </c>
      <c r="K126" s="2127" t="s">
        <v>5458</v>
      </c>
      <c r="L126" s="217"/>
    </row>
    <row r="127" spans="1:12" s="168" customFormat="1" ht="15">
      <c r="A127" s="1484">
        <v>45049</v>
      </c>
      <c r="B127" s="1484" t="s">
        <v>2518</v>
      </c>
      <c r="C127" s="1484" t="s">
        <v>4017</v>
      </c>
      <c r="D127" s="1484" t="s">
        <v>4913</v>
      </c>
      <c r="E127" s="1490">
        <v>2267.86</v>
      </c>
      <c r="F127" s="722">
        <v>0</v>
      </c>
      <c r="G127" s="611">
        <v>2267.86</v>
      </c>
      <c r="H127" s="1484">
        <v>45139</v>
      </c>
      <c r="I127" s="2131"/>
      <c r="J127" s="1904"/>
      <c r="K127" s="2128"/>
      <c r="L127" s="217"/>
    </row>
    <row r="128" spans="1:12" s="168" customFormat="1" ht="15">
      <c r="A128" s="1484">
        <v>45051</v>
      </c>
      <c r="B128" s="1484" t="s">
        <v>2518</v>
      </c>
      <c r="C128" s="1484" t="s">
        <v>4017</v>
      </c>
      <c r="D128" s="1484" t="s">
        <v>4914</v>
      </c>
      <c r="E128" s="1490">
        <v>-2.4500000000000002</v>
      </c>
      <c r="F128" s="722">
        <v>0</v>
      </c>
      <c r="G128" s="611">
        <v>-2.4500000000000002</v>
      </c>
      <c r="H128" s="1484"/>
      <c r="I128" s="2131"/>
      <c r="J128" s="1904"/>
      <c r="K128" s="2128"/>
      <c r="L128" s="217" t="s">
        <v>4915</v>
      </c>
    </row>
    <row r="129" spans="1:12" s="168" customFormat="1" ht="15">
      <c r="A129" s="1903">
        <v>45058</v>
      </c>
      <c r="B129" s="1903" t="s">
        <v>2518</v>
      </c>
      <c r="C129" s="1903" t="s">
        <v>4017</v>
      </c>
      <c r="D129" s="1903" t="s">
        <v>4979</v>
      </c>
      <c r="E129" s="2081">
        <v>5775</v>
      </c>
      <c r="F129" s="2117">
        <v>0</v>
      </c>
      <c r="G129" s="611">
        <v>2694.63</v>
      </c>
      <c r="H129" s="1484">
        <v>45148</v>
      </c>
      <c r="I129" s="2132"/>
      <c r="J129" s="1905"/>
      <c r="K129" s="2129"/>
      <c r="L129" s="217"/>
    </row>
    <row r="130" spans="1:12" s="168" customFormat="1" ht="15">
      <c r="A130" s="1905"/>
      <c r="B130" s="1905"/>
      <c r="C130" s="1905"/>
      <c r="D130" s="1905"/>
      <c r="E130" s="2082"/>
      <c r="F130" s="2118"/>
      <c r="G130" s="611">
        <f>5775-2694.63</f>
        <v>3080.37</v>
      </c>
      <c r="H130" s="1549">
        <v>45148</v>
      </c>
      <c r="I130" s="2169">
        <v>10000</v>
      </c>
      <c r="J130" s="1918">
        <v>45125</v>
      </c>
      <c r="K130" s="2164" t="s">
        <v>5931</v>
      </c>
      <c r="L130" s="217"/>
    </row>
    <row r="131" spans="1:12" s="168" customFormat="1" ht="15">
      <c r="A131" s="1903">
        <v>45064</v>
      </c>
      <c r="B131" s="1903" t="s">
        <v>2518</v>
      </c>
      <c r="C131" s="1903" t="s">
        <v>4017</v>
      </c>
      <c r="D131" s="1903" t="s">
        <v>5105</v>
      </c>
      <c r="E131" s="2081">
        <v>9706.76</v>
      </c>
      <c r="F131" s="2117">
        <v>0</v>
      </c>
      <c r="G131" s="611">
        <v>6919.63</v>
      </c>
      <c r="H131" s="1549">
        <v>45154</v>
      </c>
      <c r="I131" s="2170"/>
      <c r="J131" s="1920"/>
      <c r="K131" s="2123"/>
      <c r="L131" s="217"/>
    </row>
    <row r="132" spans="1:12" s="168" customFormat="1" ht="15">
      <c r="A132" s="1905"/>
      <c r="B132" s="1905"/>
      <c r="C132" s="1905"/>
      <c r="D132" s="1905"/>
      <c r="E132" s="2082"/>
      <c r="F132" s="2118"/>
      <c r="G132" s="611">
        <f>9706.76-6919.63</f>
        <v>2787.13</v>
      </c>
      <c r="H132" s="1645">
        <v>45154</v>
      </c>
      <c r="I132" s="2130">
        <v>10000</v>
      </c>
      <c r="J132" s="1903">
        <v>45162</v>
      </c>
      <c r="K132" s="2127" t="s">
        <v>6273</v>
      </c>
      <c r="L132" s="217"/>
    </row>
    <row r="133" spans="1:12" s="168" customFormat="1" ht="15">
      <c r="A133" s="1645">
        <v>45065</v>
      </c>
      <c r="B133" s="1645" t="s">
        <v>2518</v>
      </c>
      <c r="C133" s="1645" t="s">
        <v>4017</v>
      </c>
      <c r="D133" s="1645" t="s">
        <v>5106</v>
      </c>
      <c r="E133" s="1651">
        <v>355.04</v>
      </c>
      <c r="F133" s="722">
        <v>0</v>
      </c>
      <c r="G133" s="611">
        <v>355.04</v>
      </c>
      <c r="H133" s="1645">
        <v>45155</v>
      </c>
      <c r="I133" s="2131"/>
      <c r="J133" s="1904"/>
      <c r="K133" s="2128"/>
      <c r="L133" s="217"/>
    </row>
    <row r="134" spans="1:12" s="168" customFormat="1" ht="15">
      <c r="A134" s="1738">
        <v>45083</v>
      </c>
      <c r="B134" s="1738" t="s">
        <v>2518</v>
      </c>
      <c r="C134" s="1738" t="s">
        <v>4017</v>
      </c>
      <c r="D134" s="1738" t="s">
        <v>5327</v>
      </c>
      <c r="E134" s="1747">
        <v>1455.3</v>
      </c>
      <c r="F134" s="722">
        <v>0</v>
      </c>
      <c r="G134" s="611">
        <v>1455.3</v>
      </c>
      <c r="H134" s="1738">
        <v>45173</v>
      </c>
      <c r="I134" s="2131"/>
      <c r="J134" s="1904"/>
      <c r="K134" s="2128"/>
      <c r="L134" s="217"/>
    </row>
    <row r="135" spans="1:12" s="168" customFormat="1" ht="15">
      <c r="A135" s="1738">
        <v>45119</v>
      </c>
      <c r="B135" s="1738" t="s">
        <v>2518</v>
      </c>
      <c r="C135" s="1738" t="s">
        <v>4017</v>
      </c>
      <c r="D135" s="1738" t="s">
        <v>5585</v>
      </c>
      <c r="E135" s="1747">
        <v>-16.07</v>
      </c>
      <c r="F135" s="722">
        <v>0</v>
      </c>
      <c r="G135" s="611">
        <v>-16.07</v>
      </c>
      <c r="H135" s="1738"/>
      <c r="I135" s="2131"/>
      <c r="J135" s="1904"/>
      <c r="K135" s="2128"/>
      <c r="L135" s="217"/>
    </row>
    <row r="136" spans="1:12" s="168" customFormat="1" ht="15">
      <c r="A136" s="1738">
        <v>45119</v>
      </c>
      <c r="B136" s="1738" t="s">
        <v>2518</v>
      </c>
      <c r="C136" s="1738" t="s">
        <v>4017</v>
      </c>
      <c r="D136" s="1738" t="s">
        <v>5586</v>
      </c>
      <c r="E136" s="1747">
        <v>-16.59</v>
      </c>
      <c r="F136" s="722">
        <v>0</v>
      </c>
      <c r="G136" s="611">
        <v>-16.59</v>
      </c>
      <c r="H136" s="1738"/>
      <c r="I136" s="2131"/>
      <c r="J136" s="1904"/>
      <c r="K136" s="2128"/>
      <c r="L136" s="217"/>
    </row>
    <row r="137" spans="1:12" s="168" customFormat="1" ht="15">
      <c r="A137" s="1903">
        <v>45083</v>
      </c>
      <c r="B137" s="1903" t="s">
        <v>2518</v>
      </c>
      <c r="C137" s="1903" t="s">
        <v>4017</v>
      </c>
      <c r="D137" s="1903" t="s">
        <v>5328</v>
      </c>
      <c r="E137" s="2081">
        <v>7350</v>
      </c>
      <c r="F137" s="2117">
        <v>0</v>
      </c>
      <c r="G137" s="611">
        <v>5435.19</v>
      </c>
      <c r="H137" s="1738">
        <v>45173</v>
      </c>
      <c r="I137" s="2132"/>
      <c r="J137" s="1905"/>
      <c r="K137" s="2129"/>
      <c r="L137" s="217"/>
    </row>
    <row r="138" spans="1:12" s="168" customFormat="1" ht="15">
      <c r="A138" s="1905"/>
      <c r="B138" s="1905"/>
      <c r="C138" s="1905"/>
      <c r="D138" s="1905"/>
      <c r="E138" s="2082"/>
      <c r="F138" s="2118"/>
      <c r="G138" s="611">
        <f>7350-5435.19</f>
        <v>1914.8100000000004</v>
      </c>
      <c r="H138" s="1738">
        <v>45173</v>
      </c>
      <c r="I138" s="2169">
        <v>20000</v>
      </c>
      <c r="J138" s="1918">
        <v>45196</v>
      </c>
      <c r="K138" s="2164" t="s">
        <v>6443</v>
      </c>
      <c r="L138" s="217"/>
    </row>
    <row r="139" spans="1:12" s="168" customFormat="1" ht="15">
      <c r="A139" s="1738">
        <v>45091</v>
      </c>
      <c r="B139" s="1738" t="s">
        <v>2518</v>
      </c>
      <c r="C139" s="1738" t="s">
        <v>4017</v>
      </c>
      <c r="D139" s="1738" t="s">
        <v>5376</v>
      </c>
      <c r="E139" s="1747">
        <v>10347.209999999999</v>
      </c>
      <c r="F139" s="722">
        <v>0</v>
      </c>
      <c r="G139" s="611">
        <v>10347.209999999999</v>
      </c>
      <c r="H139" s="1738">
        <v>45181</v>
      </c>
      <c r="I139" s="2171"/>
      <c r="J139" s="1919"/>
      <c r="K139" s="2122"/>
      <c r="L139" s="217"/>
    </row>
    <row r="140" spans="1:12" s="168" customFormat="1" ht="15">
      <c r="A140" s="1738">
        <v>45092</v>
      </c>
      <c r="B140" s="1738" t="s">
        <v>2518</v>
      </c>
      <c r="C140" s="1738" t="s">
        <v>4017</v>
      </c>
      <c r="D140" s="1738" t="s">
        <v>5377</v>
      </c>
      <c r="E140" s="1747">
        <v>896</v>
      </c>
      <c r="F140" s="722">
        <v>0</v>
      </c>
      <c r="G140" s="611">
        <v>896</v>
      </c>
      <c r="H140" s="1738">
        <v>45182</v>
      </c>
      <c r="I140" s="2171"/>
      <c r="J140" s="1919"/>
      <c r="K140" s="2122"/>
      <c r="L140" s="217"/>
    </row>
    <row r="141" spans="1:12" s="168" customFormat="1" ht="15">
      <c r="A141" s="1738">
        <v>45103</v>
      </c>
      <c r="B141" s="1738" t="s">
        <v>2518</v>
      </c>
      <c r="C141" s="1738" t="s">
        <v>4017</v>
      </c>
      <c r="D141" s="1738" t="s">
        <v>5486</v>
      </c>
      <c r="E141" s="1747">
        <v>1927.8</v>
      </c>
      <c r="F141" s="722">
        <v>0</v>
      </c>
      <c r="G141" s="611">
        <v>1927.8</v>
      </c>
      <c r="H141" s="1738">
        <v>45193</v>
      </c>
      <c r="I141" s="2171"/>
      <c r="J141" s="1919"/>
      <c r="K141" s="2122"/>
      <c r="L141" s="217"/>
    </row>
    <row r="142" spans="1:12" s="168" customFormat="1" ht="15">
      <c r="A142" s="1738">
        <v>45125</v>
      </c>
      <c r="B142" s="1738" t="s">
        <v>2518</v>
      </c>
      <c r="C142" s="1738" t="s">
        <v>4017</v>
      </c>
      <c r="D142" s="1738" t="s">
        <v>5632</v>
      </c>
      <c r="E142" s="1747">
        <v>1200</v>
      </c>
      <c r="F142" s="722">
        <v>0</v>
      </c>
      <c r="G142" s="611">
        <v>1200</v>
      </c>
      <c r="H142" s="1738">
        <v>45215</v>
      </c>
      <c r="I142" s="2171"/>
      <c r="J142" s="1919"/>
      <c r="K142" s="2122"/>
      <c r="L142" s="217"/>
    </row>
    <row r="143" spans="1:12" s="168" customFormat="1" ht="15">
      <c r="A143" s="1738">
        <v>45125</v>
      </c>
      <c r="B143" s="1738" t="s">
        <v>2518</v>
      </c>
      <c r="C143" s="1738" t="s">
        <v>4017</v>
      </c>
      <c r="D143" s="1738" t="s">
        <v>5633</v>
      </c>
      <c r="E143" s="1747">
        <v>9472.14</v>
      </c>
      <c r="F143" s="722">
        <v>0</v>
      </c>
      <c r="G143" s="611">
        <v>9472.14</v>
      </c>
      <c r="H143" s="1738">
        <v>45215</v>
      </c>
      <c r="I143" s="2171"/>
      <c r="J143" s="1919"/>
      <c r="K143" s="2122"/>
      <c r="L143" s="217"/>
    </row>
    <row r="144" spans="1:12" s="168" customFormat="1" ht="15">
      <c r="A144" s="1738">
        <v>45131</v>
      </c>
      <c r="B144" s="1738" t="s">
        <v>2518</v>
      </c>
      <c r="C144" s="1738" t="s">
        <v>4017</v>
      </c>
      <c r="D144" s="1738" t="s">
        <v>5685</v>
      </c>
      <c r="E144" s="1747">
        <v>546</v>
      </c>
      <c r="F144" s="722">
        <v>0</v>
      </c>
      <c r="G144" s="611">
        <v>546</v>
      </c>
      <c r="H144" s="1738">
        <v>45221</v>
      </c>
      <c r="I144" s="2171"/>
      <c r="J144" s="1919"/>
      <c r="K144" s="2122"/>
      <c r="L144" s="217"/>
    </row>
    <row r="145" spans="1:12" s="168" customFormat="1" ht="15">
      <c r="A145" s="1738">
        <v>45149</v>
      </c>
      <c r="B145" s="1738" t="s">
        <v>2518</v>
      </c>
      <c r="C145" s="1738" t="s">
        <v>4017</v>
      </c>
      <c r="D145" s="1738" t="s">
        <v>5862</v>
      </c>
      <c r="E145" s="1747">
        <v>1448.44</v>
      </c>
      <c r="F145" s="722">
        <v>0</v>
      </c>
      <c r="G145" s="611">
        <v>1448.44</v>
      </c>
      <c r="H145" s="1738">
        <v>45238</v>
      </c>
      <c r="I145" s="2171"/>
      <c r="J145" s="1919"/>
      <c r="K145" s="2122"/>
      <c r="L145" s="217"/>
    </row>
    <row r="146" spans="1:12" s="168" customFormat="1" ht="15">
      <c r="A146" s="1738">
        <v>45160</v>
      </c>
      <c r="B146" s="1738" t="s">
        <v>2518</v>
      </c>
      <c r="C146" s="1738" t="s">
        <v>4017</v>
      </c>
      <c r="D146" s="1738" t="s">
        <v>5910</v>
      </c>
      <c r="E146" s="1747">
        <v>-3794.67</v>
      </c>
      <c r="F146" s="722">
        <v>0</v>
      </c>
      <c r="G146" s="611">
        <v>-3794.67</v>
      </c>
      <c r="H146" s="1738"/>
      <c r="I146" s="2171"/>
      <c r="J146" s="1919"/>
      <c r="K146" s="2122"/>
      <c r="L146" s="217"/>
    </row>
    <row r="147" spans="1:12" s="168" customFormat="1" ht="15">
      <c r="A147" s="1738">
        <v>45160</v>
      </c>
      <c r="B147" s="1738" t="s">
        <v>2518</v>
      </c>
      <c r="C147" s="1738" t="s">
        <v>4017</v>
      </c>
      <c r="D147" s="1738" t="s">
        <v>5911</v>
      </c>
      <c r="E147" s="1747">
        <v>-1218.53</v>
      </c>
      <c r="F147" s="722">
        <v>0</v>
      </c>
      <c r="G147" s="611">
        <v>-1218.53</v>
      </c>
      <c r="H147" s="1738"/>
      <c r="I147" s="2171"/>
      <c r="J147" s="1919"/>
      <c r="K147" s="2122"/>
      <c r="L147" s="217"/>
    </row>
    <row r="148" spans="1:12" s="168" customFormat="1" ht="15">
      <c r="A148" s="1738">
        <v>45162</v>
      </c>
      <c r="B148" s="1738" t="s">
        <v>2518</v>
      </c>
      <c r="C148" s="1738" t="s">
        <v>4017</v>
      </c>
      <c r="D148" s="1738" t="s">
        <v>5912</v>
      </c>
      <c r="E148" s="1747">
        <v>3900</v>
      </c>
      <c r="F148" s="722">
        <v>0</v>
      </c>
      <c r="G148" s="611">
        <v>3900</v>
      </c>
      <c r="H148" s="1738">
        <v>45251</v>
      </c>
      <c r="I148" s="2171"/>
      <c r="J148" s="1919"/>
      <c r="K148" s="2122"/>
      <c r="L148" s="217"/>
    </row>
    <row r="149" spans="1:12" s="168" customFormat="1" ht="15">
      <c r="A149" s="1738">
        <v>45191</v>
      </c>
      <c r="B149" s="1738" t="s">
        <v>2518</v>
      </c>
      <c r="C149" s="1738" t="s">
        <v>4017</v>
      </c>
      <c r="D149" s="1738" t="s">
        <v>6089</v>
      </c>
      <c r="E149" s="1747">
        <v>-1327.2</v>
      </c>
      <c r="F149" s="722">
        <v>0</v>
      </c>
      <c r="G149" s="611">
        <v>-1327.2</v>
      </c>
      <c r="H149" s="1738"/>
      <c r="I149" s="2171"/>
      <c r="J149" s="1919"/>
      <c r="K149" s="2122"/>
      <c r="L149" s="217"/>
    </row>
    <row r="150" spans="1:12" s="168" customFormat="1" ht="15">
      <c r="A150" s="1738">
        <v>45191</v>
      </c>
      <c r="B150" s="1738" t="s">
        <v>2518</v>
      </c>
      <c r="C150" s="1738" t="s">
        <v>4017</v>
      </c>
      <c r="D150" s="1738" t="s">
        <v>6090</v>
      </c>
      <c r="E150" s="1747">
        <v>-1327.2</v>
      </c>
      <c r="F150" s="722">
        <v>0</v>
      </c>
      <c r="G150" s="611">
        <v>-1327.2</v>
      </c>
      <c r="H150" s="1738"/>
      <c r="I150" s="2171"/>
      <c r="J150" s="1919"/>
      <c r="K150" s="2122"/>
      <c r="L150" s="217"/>
    </row>
    <row r="151" spans="1:12" s="168" customFormat="1" ht="15">
      <c r="A151" s="1738">
        <v>45191</v>
      </c>
      <c r="B151" s="1738" t="s">
        <v>2518</v>
      </c>
      <c r="C151" s="1738" t="s">
        <v>4017</v>
      </c>
      <c r="D151" s="1738" t="s">
        <v>6091</v>
      </c>
      <c r="E151" s="1747">
        <v>-517.34</v>
      </c>
      <c r="F151" s="722">
        <v>0</v>
      </c>
      <c r="G151" s="611">
        <v>-517.34</v>
      </c>
      <c r="H151" s="1738"/>
      <c r="I151" s="2171"/>
      <c r="J151" s="1919"/>
      <c r="K151" s="2122"/>
      <c r="L151" s="217"/>
    </row>
    <row r="152" spans="1:12" s="168" customFormat="1" ht="15">
      <c r="A152" s="1738">
        <v>45191</v>
      </c>
      <c r="B152" s="1738" t="s">
        <v>2518</v>
      </c>
      <c r="C152" s="1738" t="s">
        <v>4017</v>
      </c>
      <c r="D152" s="1738" t="s">
        <v>6092</v>
      </c>
      <c r="E152" s="1747">
        <v>-676.87</v>
      </c>
      <c r="F152" s="722">
        <v>0</v>
      </c>
      <c r="G152" s="611">
        <v>-676.87</v>
      </c>
      <c r="H152" s="1738"/>
      <c r="I152" s="2171"/>
      <c r="J152" s="1919"/>
      <c r="K152" s="2122"/>
      <c r="L152" s="217"/>
    </row>
    <row r="153" spans="1:12" s="168" customFormat="1" ht="15">
      <c r="A153" s="1738">
        <v>45191</v>
      </c>
      <c r="B153" s="1738" t="s">
        <v>2518</v>
      </c>
      <c r="C153" s="1738" t="s">
        <v>4017</v>
      </c>
      <c r="D153" s="1738" t="s">
        <v>6093</v>
      </c>
      <c r="E153" s="1747">
        <v>-1845.34</v>
      </c>
      <c r="F153" s="722">
        <v>0</v>
      </c>
      <c r="G153" s="611">
        <v>-1845.34</v>
      </c>
      <c r="H153" s="1738"/>
      <c r="I153" s="2171"/>
      <c r="J153" s="1919"/>
      <c r="K153" s="2122"/>
      <c r="L153" s="217"/>
    </row>
    <row r="154" spans="1:12" s="168" customFormat="1" ht="15">
      <c r="A154" s="1738">
        <v>45191</v>
      </c>
      <c r="B154" s="1738" t="s">
        <v>2518</v>
      </c>
      <c r="C154" s="1738" t="s">
        <v>4017</v>
      </c>
      <c r="D154" s="1738" t="s">
        <v>6094</v>
      </c>
      <c r="E154" s="1747">
        <v>-1285.8</v>
      </c>
      <c r="F154" s="722">
        <v>0</v>
      </c>
      <c r="G154" s="611">
        <v>-1285.8</v>
      </c>
      <c r="H154" s="1738"/>
      <c r="I154" s="2171"/>
      <c r="J154" s="1919"/>
      <c r="K154" s="2122"/>
      <c r="L154" s="217"/>
    </row>
    <row r="155" spans="1:12" s="168" customFormat="1" ht="15">
      <c r="A155" s="1738">
        <v>45191</v>
      </c>
      <c r="B155" s="1738" t="s">
        <v>2518</v>
      </c>
      <c r="C155" s="1738" t="s">
        <v>4017</v>
      </c>
      <c r="D155" s="1738" t="s">
        <v>6095</v>
      </c>
      <c r="E155" s="1747">
        <v>-1909.6</v>
      </c>
      <c r="F155" s="722">
        <v>0</v>
      </c>
      <c r="G155" s="611">
        <v>-1909.6</v>
      </c>
      <c r="H155" s="1738"/>
      <c r="I155" s="2171"/>
      <c r="J155" s="1919"/>
      <c r="K155" s="2122"/>
      <c r="L155" s="217"/>
    </row>
    <row r="156" spans="1:12" s="168" customFormat="1" ht="15">
      <c r="A156" s="1903">
        <v>45162</v>
      </c>
      <c r="B156" s="1903" t="s">
        <v>2518</v>
      </c>
      <c r="C156" s="1903" t="s">
        <v>4017</v>
      </c>
      <c r="D156" s="1903" t="s">
        <v>5913</v>
      </c>
      <c r="E156" s="2081">
        <v>4403.42</v>
      </c>
      <c r="F156" s="2117">
        <v>0</v>
      </c>
      <c r="G156" s="611">
        <f>4403.42-2153.27</f>
        <v>2250.15</v>
      </c>
      <c r="H156" s="1738">
        <v>45251</v>
      </c>
      <c r="I156" s="2170"/>
      <c r="J156" s="1920"/>
      <c r="K156" s="2123"/>
      <c r="L156" s="217"/>
    </row>
    <row r="157" spans="1:12" s="168" customFormat="1" ht="15">
      <c r="A157" s="1905"/>
      <c r="B157" s="1905"/>
      <c r="C157" s="1905"/>
      <c r="D157" s="1905"/>
      <c r="E157" s="2082"/>
      <c r="F157" s="2118"/>
      <c r="G157" s="611">
        <v>2153.27</v>
      </c>
      <c r="H157" s="1738">
        <v>45251</v>
      </c>
      <c r="I157" s="1958">
        <v>8088.02</v>
      </c>
      <c r="J157" s="1918">
        <v>45195</v>
      </c>
      <c r="K157" s="2121" t="s">
        <v>6271</v>
      </c>
      <c r="L157" s="217"/>
    </row>
    <row r="158" spans="1:12" s="168" customFormat="1" ht="15">
      <c r="A158" s="1738">
        <v>45176</v>
      </c>
      <c r="B158" s="1738" t="s">
        <v>2518</v>
      </c>
      <c r="C158" s="1738" t="s">
        <v>4017</v>
      </c>
      <c r="D158" s="1738" t="s">
        <v>5997</v>
      </c>
      <c r="E158" s="1747">
        <v>5278</v>
      </c>
      <c r="F158" s="722">
        <v>0</v>
      </c>
      <c r="G158" s="611">
        <v>5278</v>
      </c>
      <c r="H158" s="1738">
        <v>45265</v>
      </c>
      <c r="I158" s="1966"/>
      <c r="J158" s="1919"/>
      <c r="K158" s="2122"/>
      <c r="L158" s="217"/>
    </row>
    <row r="159" spans="1:12" s="168" customFormat="1" ht="15">
      <c r="A159" s="1941">
        <v>45180</v>
      </c>
      <c r="B159" s="1941" t="s">
        <v>2518</v>
      </c>
      <c r="C159" s="1941" t="s">
        <v>4017</v>
      </c>
      <c r="D159" s="1941" t="s">
        <v>6035</v>
      </c>
      <c r="E159" s="2108">
        <v>12200.5</v>
      </c>
      <c r="F159" s="2111">
        <v>0</v>
      </c>
      <c r="G159" s="611">
        <v>656.75</v>
      </c>
      <c r="H159" s="1738">
        <v>45269.000497685185</v>
      </c>
      <c r="I159" s="1959"/>
      <c r="J159" s="1920"/>
      <c r="K159" s="2123"/>
      <c r="L159" s="217"/>
    </row>
    <row r="160" spans="1:12" s="168" customFormat="1" ht="28.5">
      <c r="A160" s="1967"/>
      <c r="B160" s="1967"/>
      <c r="C160" s="1967"/>
      <c r="D160" s="1967"/>
      <c r="E160" s="2109"/>
      <c r="F160" s="2112"/>
      <c r="G160" s="611">
        <v>10000</v>
      </c>
      <c r="H160" s="1798">
        <v>45269.000497685185</v>
      </c>
      <c r="I160" s="1797">
        <v>10000</v>
      </c>
      <c r="J160" s="1795">
        <v>45229</v>
      </c>
      <c r="K160" s="1827" t="s">
        <v>6444</v>
      </c>
      <c r="L160" s="217"/>
    </row>
    <row r="161" spans="1:12" s="168" customFormat="1" ht="15">
      <c r="A161" s="1942"/>
      <c r="B161" s="1942"/>
      <c r="C161" s="1942"/>
      <c r="D161" s="1942"/>
      <c r="E161" s="2110"/>
      <c r="F161" s="2113"/>
      <c r="G161" s="605">
        <f>12200.5-656.75-10000</f>
        <v>1543.75</v>
      </c>
      <c r="H161" s="623">
        <v>45269.000497685185</v>
      </c>
      <c r="I161" s="639"/>
      <c r="J161" s="1733"/>
      <c r="K161" s="1743"/>
      <c r="L161" s="217"/>
    </row>
    <row r="162" spans="1:12" s="168" customFormat="1" ht="15">
      <c r="A162" s="623">
        <v>45181</v>
      </c>
      <c r="B162" s="623" t="s">
        <v>2518</v>
      </c>
      <c r="C162" s="623" t="s">
        <v>4017</v>
      </c>
      <c r="D162" s="623" t="s">
        <v>6036</v>
      </c>
      <c r="E162" s="699">
        <v>834.34</v>
      </c>
      <c r="F162" s="700">
        <v>0</v>
      </c>
      <c r="G162" s="605">
        <v>834.34</v>
      </c>
      <c r="H162" s="623">
        <v>45270.000497685185</v>
      </c>
      <c r="I162" s="639"/>
      <c r="J162" s="1641"/>
      <c r="K162" s="1649"/>
      <c r="L162" s="217"/>
    </row>
    <row r="163" spans="1:12" s="168" customFormat="1" ht="15">
      <c r="A163" s="623">
        <v>45188</v>
      </c>
      <c r="B163" s="623" t="s">
        <v>2518</v>
      </c>
      <c r="C163" s="623" t="s">
        <v>4017</v>
      </c>
      <c r="D163" s="623" t="s">
        <v>6088</v>
      </c>
      <c r="E163" s="699">
        <v>4558.13</v>
      </c>
      <c r="F163" s="700">
        <v>0</v>
      </c>
      <c r="G163" s="605">
        <v>4558.13</v>
      </c>
      <c r="H163" s="623">
        <v>45277</v>
      </c>
      <c r="I163" s="639"/>
      <c r="J163" s="1713"/>
      <c r="K163" s="1721"/>
      <c r="L163" s="217"/>
    </row>
    <row r="164" spans="1:12" s="168" customFormat="1" ht="15">
      <c r="A164" s="623">
        <v>45201</v>
      </c>
      <c r="B164" s="623" t="s">
        <v>2518</v>
      </c>
      <c r="C164" s="623" t="s">
        <v>4017</v>
      </c>
      <c r="D164" s="623" t="s">
        <v>6193</v>
      </c>
      <c r="E164" s="699">
        <v>920</v>
      </c>
      <c r="F164" s="700">
        <v>0</v>
      </c>
      <c r="G164" s="605">
        <v>920</v>
      </c>
      <c r="H164" s="623">
        <v>45290</v>
      </c>
      <c r="I164" s="639"/>
      <c r="J164" s="1713"/>
      <c r="K164" s="1721"/>
      <c r="L164" s="217"/>
    </row>
    <row r="165" spans="1:12" s="168" customFormat="1" ht="15">
      <c r="A165" s="623">
        <v>45201</v>
      </c>
      <c r="B165" s="623" t="s">
        <v>2518</v>
      </c>
      <c r="C165" s="623" t="s">
        <v>4017</v>
      </c>
      <c r="D165" s="623" t="s">
        <v>6194</v>
      </c>
      <c r="E165" s="699">
        <v>6105.06</v>
      </c>
      <c r="F165" s="700">
        <v>0</v>
      </c>
      <c r="G165" s="605">
        <v>6105.06</v>
      </c>
      <c r="H165" s="623">
        <v>45290</v>
      </c>
      <c r="I165" s="639"/>
      <c r="J165" s="1713"/>
      <c r="K165" s="1721"/>
      <c r="L165" s="217"/>
    </row>
    <row r="166" spans="1:12" s="168" customFormat="1" ht="15">
      <c r="A166" s="623">
        <v>45212</v>
      </c>
      <c r="B166" s="623" t="s">
        <v>2518</v>
      </c>
      <c r="C166" s="623" t="s">
        <v>4017</v>
      </c>
      <c r="D166" s="623" t="s">
        <v>6317</v>
      </c>
      <c r="E166" s="699">
        <v>17624.75</v>
      </c>
      <c r="F166" s="700">
        <v>0</v>
      </c>
      <c r="G166" s="605">
        <v>17624.75</v>
      </c>
      <c r="H166" s="623">
        <v>45301</v>
      </c>
      <c r="I166" s="639"/>
      <c r="J166" s="1713"/>
      <c r="K166" s="1721"/>
      <c r="L166" s="217"/>
    </row>
    <row r="167" spans="1:12" s="168" customFormat="1" ht="15">
      <c r="A167" s="623">
        <v>45224</v>
      </c>
      <c r="B167" s="623" t="s">
        <v>2518</v>
      </c>
      <c r="C167" s="623" t="s">
        <v>4017</v>
      </c>
      <c r="D167" s="623" t="s">
        <v>6415</v>
      </c>
      <c r="E167" s="699">
        <v>7573.04</v>
      </c>
      <c r="F167" s="700">
        <v>0</v>
      </c>
      <c r="G167" s="605">
        <v>7573.04</v>
      </c>
      <c r="H167" s="623">
        <v>45313</v>
      </c>
      <c r="I167" s="656"/>
      <c r="J167" s="1713"/>
      <c r="K167" s="1721"/>
      <c r="L167" s="217"/>
    </row>
    <row r="168" spans="1:12" s="168" customFormat="1" ht="15">
      <c r="A168" s="623">
        <v>45236</v>
      </c>
      <c r="B168" s="623" t="s">
        <v>2518</v>
      </c>
      <c r="C168" s="623" t="s">
        <v>4017</v>
      </c>
      <c r="D168" s="623" t="s">
        <v>6521</v>
      </c>
      <c r="E168" s="699">
        <v>-429</v>
      </c>
      <c r="F168" s="700">
        <v>0</v>
      </c>
      <c r="G168" s="605">
        <v>-429</v>
      </c>
      <c r="H168" s="623"/>
      <c r="I168" s="656"/>
      <c r="J168" s="1641"/>
      <c r="K168" s="1649"/>
      <c r="L168" s="217"/>
    </row>
    <row r="169" spans="1:12" s="168" customFormat="1" ht="15">
      <c r="A169" s="623">
        <v>45236</v>
      </c>
      <c r="B169" s="623" t="s">
        <v>2518</v>
      </c>
      <c r="C169" s="623" t="s">
        <v>4017</v>
      </c>
      <c r="D169" s="623" t="s">
        <v>6522</v>
      </c>
      <c r="E169" s="699">
        <v>-626.92999999999995</v>
      </c>
      <c r="F169" s="700">
        <v>0</v>
      </c>
      <c r="G169" s="605">
        <v>-626.92999999999995</v>
      </c>
      <c r="H169" s="623"/>
      <c r="I169" s="656"/>
      <c r="J169" s="1641"/>
      <c r="K169" s="1649"/>
      <c r="L169" s="217"/>
    </row>
    <row r="170" spans="1:12" s="168" customFormat="1" ht="15">
      <c r="A170" s="623">
        <v>45243</v>
      </c>
      <c r="B170" s="623" t="s">
        <v>2518</v>
      </c>
      <c r="C170" s="623" t="s">
        <v>4017</v>
      </c>
      <c r="D170" s="623" t="s">
        <v>6565</v>
      </c>
      <c r="E170" s="699">
        <v>-6994.59</v>
      </c>
      <c r="F170" s="700">
        <v>0</v>
      </c>
      <c r="G170" s="605">
        <v>-6994.59</v>
      </c>
      <c r="H170" s="623"/>
      <c r="I170" s="656"/>
      <c r="J170" s="1641"/>
      <c r="K170" s="1649"/>
      <c r="L170" s="217"/>
    </row>
    <row r="171" spans="1:12" s="168" customFormat="1" ht="15">
      <c r="A171" s="623">
        <v>45243</v>
      </c>
      <c r="B171" s="623" t="s">
        <v>2518</v>
      </c>
      <c r="C171" s="623" t="s">
        <v>4017</v>
      </c>
      <c r="D171" s="623" t="s">
        <v>6566</v>
      </c>
      <c r="E171" s="699">
        <v>-1580.57</v>
      </c>
      <c r="F171" s="700">
        <v>0</v>
      </c>
      <c r="G171" s="605">
        <v>-1580.57</v>
      </c>
      <c r="H171" s="623"/>
      <c r="I171" s="656"/>
      <c r="J171" s="1641"/>
      <c r="K171" s="1649"/>
      <c r="L171" s="217"/>
    </row>
    <row r="172" spans="1:12" s="168" customFormat="1" ht="15">
      <c r="A172" s="623">
        <v>45245</v>
      </c>
      <c r="B172" s="623" t="s">
        <v>2518</v>
      </c>
      <c r="C172" s="623" t="s">
        <v>4017</v>
      </c>
      <c r="D172" s="623" t="s">
        <v>6567</v>
      </c>
      <c r="E172" s="699">
        <v>423.5</v>
      </c>
      <c r="F172" s="700">
        <v>0</v>
      </c>
      <c r="G172" s="605">
        <v>423.5</v>
      </c>
      <c r="H172" s="623">
        <v>45335</v>
      </c>
      <c r="I172" s="656"/>
      <c r="J172" s="1641"/>
      <c r="K172" s="1649"/>
      <c r="L172" s="217"/>
    </row>
    <row r="173" spans="1:12" s="168" customFormat="1" ht="15">
      <c r="A173" s="623"/>
      <c r="B173" s="623"/>
      <c r="C173" s="623"/>
      <c r="D173" s="623"/>
      <c r="E173" s="699"/>
      <c r="F173" s="700"/>
      <c r="G173" s="605"/>
      <c r="H173" s="623"/>
      <c r="I173" s="656"/>
      <c r="J173" s="1479"/>
      <c r="K173" s="1342"/>
      <c r="L173" s="217"/>
    </row>
    <row r="174" spans="1:12" s="168" customFormat="1" ht="15">
      <c r="A174" s="623"/>
      <c r="B174" s="623"/>
      <c r="C174" s="623"/>
      <c r="D174" s="623"/>
      <c r="E174" s="699"/>
      <c r="F174" s="700"/>
      <c r="G174" s="605"/>
      <c r="H174" s="623"/>
      <c r="I174" s="656"/>
      <c r="J174" s="1850"/>
      <c r="K174" s="1859"/>
      <c r="L174" s="217"/>
    </row>
    <row r="175" spans="1:12" s="168" customFormat="1" ht="15">
      <c r="A175" s="623"/>
      <c r="B175" s="623"/>
      <c r="C175" s="623"/>
      <c r="D175" s="623"/>
      <c r="E175" s="699"/>
      <c r="F175" s="700"/>
      <c r="G175" s="605"/>
      <c r="H175" s="623"/>
      <c r="I175" s="656"/>
      <c r="J175" s="1850"/>
      <c r="K175" s="1859"/>
      <c r="L175" s="217"/>
    </row>
    <row r="176" spans="1:12" s="168" customFormat="1" ht="15">
      <c r="A176" s="623"/>
      <c r="B176" s="623"/>
      <c r="C176" s="623"/>
      <c r="D176" s="623"/>
      <c r="E176" s="699"/>
      <c r="F176" s="700"/>
      <c r="G176" s="605"/>
      <c r="H176" s="623"/>
      <c r="I176" s="656"/>
      <c r="J176" s="1850"/>
      <c r="K176" s="1859"/>
      <c r="L176" s="217"/>
    </row>
    <row r="177" spans="1:13" s="168" customFormat="1" ht="15">
      <c r="A177" s="623"/>
      <c r="B177" s="623"/>
      <c r="C177" s="623"/>
      <c r="D177" s="623"/>
      <c r="E177" s="699"/>
      <c r="F177" s="700"/>
      <c r="G177" s="605"/>
      <c r="H177" s="623"/>
      <c r="I177" s="656"/>
      <c r="J177" s="1479"/>
      <c r="K177" s="1342"/>
      <c r="L177" s="217"/>
    </row>
    <row r="178" spans="1:13" s="168" customFormat="1" ht="15">
      <c r="A178" s="623"/>
      <c r="B178" s="623"/>
      <c r="C178" s="623"/>
      <c r="D178" s="623"/>
      <c r="E178" s="699"/>
      <c r="F178" s="700"/>
      <c r="G178" s="605"/>
      <c r="H178" s="623"/>
      <c r="I178" s="656"/>
      <c r="J178" s="1479"/>
      <c r="K178" s="1342"/>
      <c r="L178" s="217"/>
    </row>
    <row r="179" spans="1:13" ht="15">
      <c r="A179" s="620"/>
      <c r="B179" s="1124"/>
      <c r="C179" s="1124"/>
      <c r="D179" s="619"/>
      <c r="E179" s="619"/>
      <c r="F179" s="1144" t="s">
        <v>545</v>
      </c>
      <c r="G179" s="657">
        <f>SUM(G19:G178)-SUM(I19:I178)</f>
        <v>29951.480000000098</v>
      </c>
      <c r="H179" s="620"/>
      <c r="I179" s="656"/>
      <c r="J179" s="1480"/>
      <c r="K179" s="1334"/>
      <c r="L179" s="226"/>
      <c r="M179" s="168"/>
    </row>
    <row r="180" spans="1:13">
      <c r="J180" s="237"/>
      <c r="K180" s="237"/>
    </row>
    <row r="181" spans="1:13">
      <c r="J181" s="134"/>
      <c r="K181" s="237"/>
    </row>
    <row r="182" spans="1:13">
      <c r="J182" s="134"/>
    </row>
    <row r="186" spans="1:13">
      <c r="G186" s="297"/>
    </row>
    <row r="187" spans="1:13">
      <c r="I187" s="297"/>
    </row>
  </sheetData>
  <mergeCells count="195">
    <mergeCell ref="K157:K159"/>
    <mergeCell ref="J157:J159"/>
    <mergeCell ref="I157:I159"/>
    <mergeCell ref="I138:I156"/>
    <mergeCell ref="K138:K156"/>
    <mergeCell ref="J138:J156"/>
    <mergeCell ref="A159:A161"/>
    <mergeCell ref="B159:B161"/>
    <mergeCell ref="C159:C161"/>
    <mergeCell ref="D159:D161"/>
    <mergeCell ref="E159:E161"/>
    <mergeCell ref="F159:F161"/>
    <mergeCell ref="A156:A157"/>
    <mergeCell ref="B156:B157"/>
    <mergeCell ref="C156:C157"/>
    <mergeCell ref="D156:D157"/>
    <mergeCell ref="E156:E157"/>
    <mergeCell ref="F156:F157"/>
    <mergeCell ref="F137:F138"/>
    <mergeCell ref="E137:E138"/>
    <mergeCell ref="D137:D138"/>
    <mergeCell ref="C137:C138"/>
    <mergeCell ref="B137:B138"/>
    <mergeCell ref="A137:A138"/>
    <mergeCell ref="K132:K137"/>
    <mergeCell ref="J132:J137"/>
    <mergeCell ref="I132:I137"/>
    <mergeCell ref="F131:F132"/>
    <mergeCell ref="E131:E132"/>
    <mergeCell ref="D131:D132"/>
    <mergeCell ref="C131:C132"/>
    <mergeCell ref="B131:B132"/>
    <mergeCell ref="A131:A132"/>
    <mergeCell ref="K130:K131"/>
    <mergeCell ref="J130:J131"/>
    <mergeCell ref="I130:I131"/>
    <mergeCell ref="F129:F130"/>
    <mergeCell ref="E129:E130"/>
    <mergeCell ref="D129:D130"/>
    <mergeCell ref="C129:C130"/>
    <mergeCell ref="B129:B130"/>
    <mergeCell ref="A129:A130"/>
    <mergeCell ref="K126:K129"/>
    <mergeCell ref="J126:J129"/>
    <mergeCell ref="I126:I129"/>
    <mergeCell ref="F125:F126"/>
    <mergeCell ref="E125:E126"/>
    <mergeCell ref="D125:D126"/>
    <mergeCell ref="C125:C126"/>
    <mergeCell ref="B125:B126"/>
    <mergeCell ref="A125:A126"/>
    <mergeCell ref="F29:F30"/>
    <mergeCell ref="E29:E30"/>
    <mergeCell ref="F27:F28"/>
    <mergeCell ref="F95:F96"/>
    <mergeCell ref="E95:E96"/>
    <mergeCell ref="D95:D96"/>
    <mergeCell ref="A95:A96"/>
    <mergeCell ref="F76:F77"/>
    <mergeCell ref="E76:E77"/>
    <mergeCell ref="D76:D77"/>
    <mergeCell ref="A76:A77"/>
    <mergeCell ref="F72:F73"/>
    <mergeCell ref="E72:E73"/>
    <mergeCell ref="D72:D73"/>
    <mergeCell ref="A72:A73"/>
    <mergeCell ref="D79:D81"/>
    <mergeCell ref="A79:A81"/>
    <mergeCell ref="F123:F124"/>
    <mergeCell ref="E123:E124"/>
    <mergeCell ref="D123:D124"/>
    <mergeCell ref="C123:C124"/>
    <mergeCell ref="C22:C23"/>
    <mergeCell ref="B22:B23"/>
    <mergeCell ref="C95:C96"/>
    <mergeCell ref="B95:B96"/>
    <mergeCell ref="C72:C73"/>
    <mergeCell ref="B72:B73"/>
    <mergeCell ref="B63:B64"/>
    <mergeCell ref="C63:C64"/>
    <mergeCell ref="C58:C60"/>
    <mergeCell ref="B58:B60"/>
    <mergeCell ref="C46:C47"/>
    <mergeCell ref="B46:B47"/>
    <mergeCell ref="B76:B77"/>
    <mergeCell ref="C76:C77"/>
    <mergeCell ref="C79:C81"/>
    <mergeCell ref="B79:B81"/>
    <mergeCell ref="C29:C30"/>
    <mergeCell ref="B29:B30"/>
    <mergeCell ref="C27:C28"/>
    <mergeCell ref="B27:B28"/>
    <mergeCell ref="K96:K102"/>
    <mergeCell ref="J96:J102"/>
    <mergeCell ref="I96:I102"/>
    <mergeCell ref="L47:L50"/>
    <mergeCell ref="I44:I46"/>
    <mergeCell ref="K44:K46"/>
    <mergeCell ref="J44:J46"/>
    <mergeCell ref="J47:J50"/>
    <mergeCell ref="K47:K50"/>
    <mergeCell ref="I94:I95"/>
    <mergeCell ref="K71:K72"/>
    <mergeCell ref="J71:J72"/>
    <mergeCell ref="I71:I72"/>
    <mergeCell ref="K73:K76"/>
    <mergeCell ref="J73:J76"/>
    <mergeCell ref="K82:K88"/>
    <mergeCell ref="J82:J88"/>
    <mergeCell ref="I82:I88"/>
    <mergeCell ref="I73:I76"/>
    <mergeCell ref="L77:L78"/>
    <mergeCell ref="L89:L92"/>
    <mergeCell ref="L94:L95"/>
    <mergeCell ref="I89:I92"/>
    <mergeCell ref="I77:I78"/>
    <mergeCell ref="K30:K43"/>
    <mergeCell ref="J30:J43"/>
    <mergeCell ref="I30:I43"/>
    <mergeCell ref="I47:I50"/>
    <mergeCell ref="K25:K27"/>
    <mergeCell ref="J25:J27"/>
    <mergeCell ref="I25:I27"/>
    <mergeCell ref="K20:K22"/>
    <mergeCell ref="K23:K24"/>
    <mergeCell ref="I23:I24"/>
    <mergeCell ref="J23:J24"/>
    <mergeCell ref="L5:L7"/>
    <mergeCell ref="K2:K4"/>
    <mergeCell ref="K5:K7"/>
    <mergeCell ref="K11:K13"/>
    <mergeCell ref="K14:K18"/>
    <mergeCell ref="I2:I4"/>
    <mergeCell ref="I5:I7"/>
    <mergeCell ref="A63:A64"/>
    <mergeCell ref="I60:I63"/>
    <mergeCell ref="A58:A60"/>
    <mergeCell ref="I53:I58"/>
    <mergeCell ref="I11:I13"/>
    <mergeCell ref="I14:I18"/>
    <mergeCell ref="I20:I22"/>
    <mergeCell ref="J2:J4"/>
    <mergeCell ref="J5:J7"/>
    <mergeCell ref="J11:J13"/>
    <mergeCell ref="J14:J18"/>
    <mergeCell ref="J20:J22"/>
    <mergeCell ref="E27:E28"/>
    <mergeCell ref="F22:F23"/>
    <mergeCell ref="E22:E23"/>
    <mergeCell ref="F46:F47"/>
    <mergeCell ref="E46:E47"/>
    <mergeCell ref="A22:A23"/>
    <mergeCell ref="D22:D23"/>
    <mergeCell ref="A27:A28"/>
    <mergeCell ref="D27:D28"/>
    <mergeCell ref="K53:K58"/>
    <mergeCell ref="J53:J58"/>
    <mergeCell ref="D58:D60"/>
    <mergeCell ref="F58:F60"/>
    <mergeCell ref="E58:E60"/>
    <mergeCell ref="K60:K63"/>
    <mergeCell ref="J60:J63"/>
    <mergeCell ref="F63:F64"/>
    <mergeCell ref="E63:E64"/>
    <mergeCell ref="D63:D64"/>
    <mergeCell ref="I64:I70"/>
    <mergeCell ref="K64:K70"/>
    <mergeCell ref="J64:J70"/>
    <mergeCell ref="I28:I29"/>
    <mergeCell ref="J28:J29"/>
    <mergeCell ref="K28:K29"/>
    <mergeCell ref="A29:A30"/>
    <mergeCell ref="D29:D30"/>
    <mergeCell ref="A46:A47"/>
    <mergeCell ref="D46:D47"/>
    <mergeCell ref="K94:K95"/>
    <mergeCell ref="J94:J95"/>
    <mergeCell ref="K89:K92"/>
    <mergeCell ref="J89:J92"/>
    <mergeCell ref="K77:K78"/>
    <mergeCell ref="J77:J78"/>
    <mergeCell ref="L82:L88"/>
    <mergeCell ref="F79:F81"/>
    <mergeCell ref="E79:E81"/>
    <mergeCell ref="B123:B124"/>
    <mergeCell ref="A123:A124"/>
    <mergeCell ref="K104:K123"/>
    <mergeCell ref="J104:J123"/>
    <mergeCell ref="I104:I123"/>
    <mergeCell ref="F103:F104"/>
    <mergeCell ref="E103:E104"/>
    <mergeCell ref="D103:D104"/>
    <mergeCell ref="C103:C104"/>
    <mergeCell ref="B103:B104"/>
    <mergeCell ref="A103:A104"/>
  </mergeCells>
  <phoneticPr fontId="15" type="noConversion"/>
  <hyperlinks>
    <hyperlink ref="F179" location="汇总!A1" display="剩余欠款"/>
  </hyperlink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M124"/>
  <sheetViews>
    <sheetView zoomScaleSheetLayoutView="100" workbookViewId="0">
      <pane ySplit="1" topLeftCell="A96" activePane="bottomLeft" state="frozen"/>
      <selection activeCell="C33" sqref="C33"/>
      <selection pane="bottomLeft" activeCell="F124" sqref="F124"/>
    </sheetView>
  </sheetViews>
  <sheetFormatPr defaultRowHeight="13.5"/>
  <cols>
    <col min="1" max="1" width="17.875" style="130" bestFit="1" customWidth="1"/>
    <col min="2" max="2" width="9" style="178" bestFit="1" customWidth="1"/>
    <col min="3" max="3" width="27.875" style="178" bestFit="1" customWidth="1"/>
    <col min="4" max="4" width="20.125" style="302" customWidth="1"/>
    <col min="5" max="6" width="11.875" style="302" customWidth="1"/>
    <col min="7" max="7" width="13.25" style="130" customWidth="1"/>
    <col min="8" max="8" width="16.625" style="178" bestFit="1" customWidth="1"/>
    <col min="9" max="9" width="14" style="131" bestFit="1" customWidth="1"/>
    <col min="10" max="10" width="13.375" style="130" customWidth="1"/>
    <col min="11" max="11" width="13.25" style="130" customWidth="1"/>
    <col min="12" max="12" width="53.5" style="130" bestFit="1" customWidth="1"/>
    <col min="13" max="13" width="13.5" style="130" bestFit="1" customWidth="1"/>
    <col min="14" max="16384" width="9" style="130"/>
  </cols>
  <sheetData>
    <row r="1" spans="1:12" s="96" customFormat="1" ht="18.75">
      <c r="A1" s="298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6" t="s">
        <v>542</v>
      </c>
    </row>
    <row r="2" spans="1:12" ht="14.25" hidden="1">
      <c r="A2" s="300">
        <v>43632</v>
      </c>
      <c r="B2" s="300"/>
      <c r="C2" s="300"/>
      <c r="D2" s="253" t="s">
        <v>42</v>
      </c>
      <c r="E2" s="535"/>
      <c r="F2" s="535"/>
      <c r="G2" s="231">
        <v>2938.53</v>
      </c>
      <c r="H2" s="253"/>
      <c r="I2" s="2177">
        <v>5397.3</v>
      </c>
      <c r="J2" s="2178">
        <v>43759</v>
      </c>
      <c r="K2" s="2176" t="s">
        <v>841</v>
      </c>
      <c r="L2" s="221" t="s">
        <v>842</v>
      </c>
    </row>
    <row r="3" spans="1:12" ht="14.25" hidden="1">
      <c r="A3" s="300">
        <v>43707</v>
      </c>
      <c r="B3" s="300"/>
      <c r="C3" s="300"/>
      <c r="D3" s="253" t="s">
        <v>45</v>
      </c>
      <c r="E3" s="535"/>
      <c r="F3" s="535"/>
      <c r="G3" s="231">
        <v>2458.77</v>
      </c>
      <c r="H3" s="253"/>
      <c r="I3" s="2177"/>
      <c r="J3" s="2176"/>
      <c r="K3" s="2176"/>
      <c r="L3" s="221" t="s">
        <v>843</v>
      </c>
    </row>
    <row r="4" spans="1:12" ht="14.25" hidden="1">
      <c r="A4" s="300">
        <v>43759</v>
      </c>
      <c r="B4" s="300"/>
      <c r="C4" s="300"/>
      <c r="D4" s="253" t="s">
        <v>48</v>
      </c>
      <c r="E4" s="535"/>
      <c r="F4" s="535"/>
      <c r="G4" s="231">
        <v>898.65</v>
      </c>
      <c r="H4" s="253"/>
      <c r="I4" s="304">
        <v>898.65</v>
      </c>
      <c r="J4" s="177">
        <v>43865</v>
      </c>
      <c r="K4" s="253" t="s">
        <v>522</v>
      </c>
      <c r="L4" s="221" t="s">
        <v>469</v>
      </c>
    </row>
    <row r="5" spans="1:12" ht="14.25" hidden="1">
      <c r="A5" s="300">
        <v>43865</v>
      </c>
      <c r="B5" s="300"/>
      <c r="C5" s="300"/>
      <c r="D5" s="253" t="s">
        <v>55</v>
      </c>
      <c r="E5" s="535"/>
      <c r="F5" s="535"/>
      <c r="G5" s="231">
        <v>1909.83</v>
      </c>
      <c r="H5" s="300"/>
      <c r="I5" s="2177">
        <v>797.11</v>
      </c>
      <c r="J5" s="2178">
        <v>44132</v>
      </c>
      <c r="K5" s="2179" t="s">
        <v>844</v>
      </c>
      <c r="L5" s="221" t="s">
        <v>469</v>
      </c>
    </row>
    <row r="6" spans="1:12" ht="14.25" hidden="1">
      <c r="A6" s="300">
        <v>43902</v>
      </c>
      <c r="B6" s="300"/>
      <c r="C6" s="300"/>
      <c r="D6" s="253" t="s">
        <v>845</v>
      </c>
      <c r="E6" s="535"/>
      <c r="F6" s="535"/>
      <c r="G6" s="231">
        <v>-898.49</v>
      </c>
      <c r="H6" s="300" t="s">
        <v>1529</v>
      </c>
      <c r="I6" s="2177"/>
      <c r="J6" s="2176"/>
      <c r="K6" s="2179"/>
      <c r="L6" s="221"/>
    </row>
    <row r="7" spans="1:12" ht="14.25" hidden="1">
      <c r="A7" s="300">
        <v>43902</v>
      </c>
      <c r="B7" s="300"/>
      <c r="C7" s="300"/>
      <c r="D7" s="253" t="s">
        <v>846</v>
      </c>
      <c r="E7" s="535"/>
      <c r="F7" s="535"/>
      <c r="G7" s="231">
        <v>-113.4</v>
      </c>
      <c r="H7" s="300"/>
      <c r="I7" s="2177"/>
      <c r="J7" s="2176"/>
      <c r="K7" s="2179"/>
      <c r="L7" s="221" t="s">
        <v>847</v>
      </c>
    </row>
    <row r="8" spans="1:12" ht="14.25" hidden="1">
      <c r="A8" s="299"/>
      <c r="B8" s="299"/>
      <c r="C8" s="299"/>
      <c r="D8" s="253"/>
      <c r="E8" s="535"/>
      <c r="F8" s="535"/>
      <c r="G8" s="231">
        <v>-100</v>
      </c>
      <c r="H8" s="300"/>
      <c r="I8" s="2177"/>
      <c r="J8" s="2176"/>
      <c r="K8" s="2179"/>
      <c r="L8" s="221"/>
    </row>
    <row r="9" spans="1:12" ht="27" hidden="1">
      <c r="A9" s="300">
        <v>44060</v>
      </c>
      <c r="B9" s="300"/>
      <c r="C9" s="300"/>
      <c r="D9" s="253" t="s">
        <v>848</v>
      </c>
      <c r="E9" s="535"/>
      <c r="F9" s="535"/>
      <c r="G9" s="231">
        <v>1777.7</v>
      </c>
      <c r="H9" s="300"/>
      <c r="I9" s="304">
        <v>1699</v>
      </c>
      <c r="J9" s="177">
        <v>44132</v>
      </c>
      <c r="K9" s="254" t="s">
        <v>844</v>
      </c>
      <c r="L9" s="221" t="s">
        <v>849</v>
      </c>
    </row>
    <row r="10" spans="1:12" ht="14.25" hidden="1">
      <c r="A10" s="300">
        <v>44104</v>
      </c>
      <c r="B10" s="300"/>
      <c r="C10" s="300"/>
      <c r="D10" s="253" t="s">
        <v>850</v>
      </c>
      <c r="E10" s="535"/>
      <c r="F10" s="535"/>
      <c r="G10" s="231">
        <v>1004.58</v>
      </c>
      <c r="H10" s="300">
        <v>44134</v>
      </c>
      <c r="I10" s="304">
        <v>1004.59</v>
      </c>
      <c r="J10" s="177">
        <v>44279</v>
      </c>
      <c r="K10" s="253" t="s">
        <v>851</v>
      </c>
      <c r="L10" s="221" t="s">
        <v>852</v>
      </c>
    </row>
    <row r="11" spans="1:12" ht="14.25" hidden="1">
      <c r="A11" s="133"/>
      <c r="B11" s="133"/>
      <c r="C11" s="133"/>
      <c r="D11" s="240" t="s">
        <v>545</v>
      </c>
      <c r="E11" s="240"/>
      <c r="F11" s="240"/>
      <c r="G11" s="231">
        <v>79.53</v>
      </c>
      <c r="H11" s="300"/>
      <c r="I11" s="304"/>
      <c r="J11" s="177">
        <v>44328</v>
      </c>
      <c r="K11" s="253" t="s">
        <v>809</v>
      </c>
      <c r="L11" s="221"/>
    </row>
    <row r="12" spans="1:12" ht="14.25" hidden="1">
      <c r="A12" s="303">
        <v>44285</v>
      </c>
      <c r="B12" s="303"/>
      <c r="C12" s="303"/>
      <c r="D12" s="241" t="s">
        <v>853</v>
      </c>
      <c r="E12" s="241"/>
      <c r="F12" s="241"/>
      <c r="G12" s="231">
        <v>46.8</v>
      </c>
      <c r="H12" s="300"/>
      <c r="I12" s="2177">
        <v>2600</v>
      </c>
      <c r="J12" s="2178">
        <v>44342</v>
      </c>
      <c r="K12" s="2176" t="s">
        <v>550</v>
      </c>
      <c r="L12" s="301" t="s">
        <v>854</v>
      </c>
    </row>
    <row r="13" spans="1:12" ht="14.25" hidden="1">
      <c r="A13" s="303">
        <v>44285</v>
      </c>
      <c r="B13" s="303"/>
      <c r="C13" s="303"/>
      <c r="D13" s="241" t="s">
        <v>855</v>
      </c>
      <c r="E13" s="241"/>
      <c r="F13" s="241"/>
      <c r="G13" s="231">
        <v>3366.07</v>
      </c>
      <c r="H13" s="300">
        <v>44286</v>
      </c>
      <c r="I13" s="2177"/>
      <c r="J13" s="2176"/>
      <c r="K13" s="2176"/>
      <c r="L13" s="221" t="s">
        <v>753</v>
      </c>
    </row>
    <row r="14" spans="1:12" ht="14.25" hidden="1">
      <c r="A14" s="303">
        <v>44286</v>
      </c>
      <c r="B14" s="303"/>
      <c r="C14" s="303"/>
      <c r="D14" s="241" t="s">
        <v>856</v>
      </c>
      <c r="E14" s="241"/>
      <c r="F14" s="241"/>
      <c r="G14" s="231">
        <v>-164.25</v>
      </c>
      <c r="H14" s="300" t="s">
        <v>1529</v>
      </c>
      <c r="I14" s="2177"/>
      <c r="J14" s="2176"/>
      <c r="K14" s="2176"/>
      <c r="L14" s="221" t="s">
        <v>389</v>
      </c>
    </row>
    <row r="15" spans="1:12" ht="14.25" hidden="1">
      <c r="A15" s="303">
        <v>44286</v>
      </c>
      <c r="B15" s="303"/>
      <c r="C15" s="303"/>
      <c r="D15" s="241" t="s">
        <v>857</v>
      </c>
      <c r="E15" s="241"/>
      <c r="F15" s="241"/>
      <c r="G15" s="231">
        <v>-647.77</v>
      </c>
      <c r="H15" s="300" t="s">
        <v>1529</v>
      </c>
      <c r="I15" s="2177"/>
      <c r="J15" s="2176"/>
      <c r="K15" s="2176"/>
      <c r="L15" s="221" t="s">
        <v>389</v>
      </c>
    </row>
    <row r="16" spans="1:12" ht="14.25" hidden="1">
      <c r="A16" s="300">
        <v>44302</v>
      </c>
      <c r="B16" s="300"/>
      <c r="C16" s="300"/>
      <c r="D16" s="253" t="s">
        <v>858</v>
      </c>
      <c r="E16" s="535"/>
      <c r="F16" s="535"/>
      <c r="G16" s="231">
        <v>1486.35</v>
      </c>
      <c r="H16" s="300">
        <v>44303</v>
      </c>
      <c r="I16" s="2177">
        <v>5057.6499999999996</v>
      </c>
      <c r="J16" s="2178">
        <v>44399</v>
      </c>
      <c r="K16" s="2176" t="s">
        <v>550</v>
      </c>
      <c r="L16" s="221"/>
    </row>
    <row r="17" spans="1:12" ht="14.25" hidden="1">
      <c r="A17" s="300">
        <v>44321</v>
      </c>
      <c r="B17" s="300"/>
      <c r="C17" s="300"/>
      <c r="D17" s="253" t="s">
        <v>859</v>
      </c>
      <c r="E17" s="535"/>
      <c r="F17" s="535"/>
      <c r="G17" s="231">
        <v>497.03</v>
      </c>
      <c r="H17" s="300">
        <v>44322</v>
      </c>
      <c r="I17" s="2177"/>
      <c r="J17" s="2176"/>
      <c r="K17" s="2176"/>
      <c r="L17" s="221"/>
    </row>
    <row r="18" spans="1:12" ht="14.25" hidden="1">
      <c r="A18" s="300">
        <v>44338</v>
      </c>
      <c r="B18" s="300"/>
      <c r="C18" s="300"/>
      <c r="D18" s="253" t="s">
        <v>860</v>
      </c>
      <c r="E18" s="535"/>
      <c r="F18" s="535"/>
      <c r="G18" s="231">
        <v>435.9</v>
      </c>
      <c r="H18" s="300">
        <v>44339</v>
      </c>
      <c r="I18" s="2177"/>
      <c r="J18" s="2176"/>
      <c r="K18" s="2176"/>
      <c r="L18" s="253"/>
    </row>
    <row r="19" spans="1:12" ht="14.25" hidden="1">
      <c r="A19" s="300">
        <v>44344</v>
      </c>
      <c r="B19" s="300"/>
      <c r="C19" s="300"/>
      <c r="D19" s="253" t="s">
        <v>861</v>
      </c>
      <c r="E19" s="535"/>
      <c r="F19" s="535"/>
      <c r="G19" s="231">
        <v>-114.36</v>
      </c>
      <c r="H19" s="300">
        <v>44345</v>
      </c>
      <c r="I19" s="2177"/>
      <c r="J19" s="2176"/>
      <c r="K19" s="2176"/>
      <c r="L19" s="253"/>
    </row>
    <row r="20" spans="1:12" ht="14.25" hidden="1">
      <c r="A20" s="300">
        <v>44348</v>
      </c>
      <c r="B20" s="300"/>
      <c r="C20" s="300"/>
      <c r="D20" s="253" t="s">
        <v>862</v>
      </c>
      <c r="E20" s="535"/>
      <c r="F20" s="535"/>
      <c r="G20" s="231">
        <v>597</v>
      </c>
      <c r="H20" s="300">
        <v>44349</v>
      </c>
      <c r="I20" s="2177"/>
      <c r="J20" s="2176"/>
      <c r="K20" s="2176"/>
      <c r="L20" s="253"/>
    </row>
    <row r="21" spans="1:12" ht="14.25" hidden="1">
      <c r="A21" s="300">
        <v>44349</v>
      </c>
      <c r="B21" s="300"/>
      <c r="C21" s="300"/>
      <c r="D21" s="253" t="s">
        <v>863</v>
      </c>
      <c r="E21" s="535"/>
      <c r="F21" s="535"/>
      <c r="G21" s="231">
        <v>341.78</v>
      </c>
      <c r="H21" s="300">
        <v>44350</v>
      </c>
      <c r="I21" s="2177"/>
      <c r="J21" s="2176"/>
      <c r="K21" s="2176"/>
      <c r="L21" s="253"/>
    </row>
    <row r="22" spans="1:12" ht="14.25" hidden="1">
      <c r="A22" s="300">
        <v>44369</v>
      </c>
      <c r="B22" s="300"/>
      <c r="C22" s="300"/>
      <c r="D22" s="253" t="s">
        <v>864</v>
      </c>
      <c r="E22" s="535"/>
      <c r="F22" s="535"/>
      <c r="G22" s="231">
        <v>1188.97</v>
      </c>
      <c r="H22" s="300">
        <v>44370</v>
      </c>
      <c r="I22" s="2177"/>
      <c r="J22" s="2176"/>
      <c r="K22" s="2176"/>
      <c r="L22" s="253"/>
    </row>
    <row r="23" spans="1:12" ht="14.25" hidden="1">
      <c r="A23" s="300">
        <v>44379</v>
      </c>
      <c r="B23" s="300"/>
      <c r="C23" s="300"/>
      <c r="D23" s="253" t="s">
        <v>865</v>
      </c>
      <c r="E23" s="535"/>
      <c r="F23" s="535"/>
      <c r="G23" s="231">
        <v>624.98</v>
      </c>
      <c r="H23" s="300">
        <v>44380</v>
      </c>
      <c r="I23" s="2177"/>
      <c r="J23" s="2176"/>
      <c r="K23" s="2176"/>
      <c r="L23" s="253"/>
    </row>
    <row r="24" spans="1:12" ht="14.25" hidden="1">
      <c r="A24" s="300">
        <v>44398</v>
      </c>
      <c r="B24" s="300"/>
      <c r="C24" s="300"/>
      <c r="D24" s="253" t="s">
        <v>866</v>
      </c>
      <c r="E24" s="535"/>
      <c r="F24" s="535"/>
      <c r="G24" s="231">
        <v>744.05</v>
      </c>
      <c r="H24" s="300">
        <v>44399</v>
      </c>
      <c r="I24" s="2177">
        <v>2967.75</v>
      </c>
      <c r="J24" s="2178">
        <v>44440</v>
      </c>
      <c r="K24" s="2176" t="s">
        <v>550</v>
      </c>
      <c r="L24" s="253"/>
    </row>
    <row r="25" spans="1:12" ht="14.25" hidden="1">
      <c r="A25" s="300">
        <v>44411</v>
      </c>
      <c r="B25" s="300"/>
      <c r="C25" s="300"/>
      <c r="D25" s="253" t="s">
        <v>867</v>
      </c>
      <c r="E25" s="535"/>
      <c r="F25" s="535"/>
      <c r="G25" s="231">
        <v>900.55</v>
      </c>
      <c r="H25" s="300">
        <v>44412</v>
      </c>
      <c r="I25" s="2177"/>
      <c r="J25" s="2176"/>
      <c r="K25" s="2176"/>
      <c r="L25" s="253"/>
    </row>
    <row r="26" spans="1:12" ht="14.25" hidden="1">
      <c r="A26" s="300">
        <v>44436</v>
      </c>
      <c r="B26" s="300"/>
      <c r="C26" s="300"/>
      <c r="D26" s="253" t="s">
        <v>868</v>
      </c>
      <c r="E26" s="535"/>
      <c r="F26" s="535"/>
      <c r="G26" s="231">
        <v>1323.13</v>
      </c>
      <c r="H26" s="300">
        <v>44436</v>
      </c>
      <c r="I26" s="2177"/>
      <c r="J26" s="2176"/>
      <c r="K26" s="2176"/>
      <c r="L26" s="253"/>
    </row>
    <row r="27" spans="1:12" ht="14.25" hidden="1">
      <c r="A27" s="300">
        <v>44441</v>
      </c>
      <c r="B27" s="300"/>
      <c r="C27" s="300"/>
      <c r="D27" s="253" t="s">
        <v>869</v>
      </c>
      <c r="E27" s="535"/>
      <c r="F27" s="535"/>
      <c r="G27" s="231">
        <v>1129.25</v>
      </c>
      <c r="H27" s="300">
        <v>44442</v>
      </c>
      <c r="I27" s="2177">
        <v>3169.8</v>
      </c>
      <c r="J27" s="2178">
        <v>44489</v>
      </c>
      <c r="K27" s="2176" t="s">
        <v>550</v>
      </c>
      <c r="L27" s="253"/>
    </row>
    <row r="28" spans="1:12" ht="14.25" hidden="1">
      <c r="A28" s="300">
        <v>44441</v>
      </c>
      <c r="B28" s="300"/>
      <c r="C28" s="300"/>
      <c r="D28" s="253" t="s">
        <v>870</v>
      </c>
      <c r="E28" s="535"/>
      <c r="F28" s="535"/>
      <c r="G28" s="231">
        <v>658.6</v>
      </c>
      <c r="H28" s="300">
        <v>44442</v>
      </c>
      <c r="I28" s="2177"/>
      <c r="J28" s="2176"/>
      <c r="K28" s="2176"/>
      <c r="L28" s="253"/>
    </row>
    <row r="29" spans="1:12" ht="14.25" hidden="1">
      <c r="A29" s="300">
        <v>44441</v>
      </c>
      <c r="B29" s="300"/>
      <c r="C29" s="300"/>
      <c r="D29" s="253" t="s">
        <v>871</v>
      </c>
      <c r="E29" s="535"/>
      <c r="F29" s="535"/>
      <c r="G29" s="231">
        <v>317.55</v>
      </c>
      <c r="H29" s="300">
        <v>44442</v>
      </c>
      <c r="I29" s="2177"/>
      <c r="J29" s="2176"/>
      <c r="K29" s="2176"/>
      <c r="L29" s="253"/>
    </row>
    <row r="30" spans="1:12" ht="14.25" hidden="1">
      <c r="A30" s="300">
        <v>44461</v>
      </c>
      <c r="B30" s="300"/>
      <c r="C30" s="300"/>
      <c r="D30" s="253" t="s">
        <v>872</v>
      </c>
      <c r="E30" s="535"/>
      <c r="F30" s="535"/>
      <c r="G30" s="231">
        <v>1064.4000000000001</v>
      </c>
      <c r="H30" s="300">
        <v>44462</v>
      </c>
      <c r="I30" s="2177"/>
      <c r="J30" s="2176"/>
      <c r="K30" s="2176"/>
      <c r="L30" s="253"/>
    </row>
    <row r="31" spans="1:12" ht="14.25" hidden="1">
      <c r="A31" s="300">
        <v>44489</v>
      </c>
      <c r="B31" s="300"/>
      <c r="C31" s="300"/>
      <c r="D31" s="253" t="s">
        <v>873</v>
      </c>
      <c r="E31" s="535"/>
      <c r="F31" s="535"/>
      <c r="G31" s="231">
        <v>1444.33</v>
      </c>
      <c r="H31" s="300">
        <v>44490</v>
      </c>
      <c r="I31" s="2177">
        <v>2476.38</v>
      </c>
      <c r="J31" s="2178">
        <v>44529</v>
      </c>
      <c r="K31" s="2176" t="s">
        <v>550</v>
      </c>
      <c r="L31" s="253"/>
    </row>
    <row r="32" spans="1:12" ht="14.25" hidden="1">
      <c r="A32" s="300">
        <v>44510</v>
      </c>
      <c r="B32" s="300"/>
      <c r="C32" s="300"/>
      <c r="D32" s="253" t="s">
        <v>874</v>
      </c>
      <c r="E32" s="535"/>
      <c r="F32" s="535"/>
      <c r="G32" s="231">
        <v>1032.05</v>
      </c>
      <c r="H32" s="300">
        <v>44511</v>
      </c>
      <c r="I32" s="2177"/>
      <c r="J32" s="2176"/>
      <c r="K32" s="2176"/>
      <c r="L32" s="253"/>
    </row>
    <row r="33" spans="1:13" ht="15">
      <c r="A33" s="723" t="s">
        <v>3100</v>
      </c>
      <c r="B33" s="1124"/>
      <c r="C33" s="1124"/>
      <c r="D33" s="621" t="s">
        <v>3098</v>
      </c>
      <c r="E33" s="621"/>
      <c r="F33" s="621"/>
      <c r="G33" s="611">
        <f>SUM(G31:G32)-I31</f>
        <v>0</v>
      </c>
      <c r="H33" s="723"/>
      <c r="I33" s="613"/>
      <c r="J33" s="621"/>
      <c r="K33" s="253"/>
      <c r="L33" s="253"/>
    </row>
    <row r="34" spans="1:13" ht="15">
      <c r="A34" s="723">
        <v>44537</v>
      </c>
      <c r="B34" s="1124" t="s">
        <v>522</v>
      </c>
      <c r="C34" s="1258" t="s">
        <v>4607</v>
      </c>
      <c r="D34" s="621" t="s">
        <v>875</v>
      </c>
      <c r="E34" s="609">
        <v>1301.1500000000001</v>
      </c>
      <c r="F34" s="731">
        <v>0</v>
      </c>
      <c r="G34" s="611">
        <v>1301.1500000000001</v>
      </c>
      <c r="H34" s="723">
        <v>44538</v>
      </c>
      <c r="I34" s="2036">
        <v>4756.6099999999997</v>
      </c>
      <c r="J34" s="1948">
        <v>44620</v>
      </c>
      <c r="K34" s="2176" t="s">
        <v>550</v>
      </c>
      <c r="L34" s="253"/>
      <c r="M34" s="178"/>
    </row>
    <row r="35" spans="1:13" ht="15">
      <c r="A35" s="723">
        <v>44547</v>
      </c>
      <c r="B35" s="1124" t="s">
        <v>522</v>
      </c>
      <c r="C35" s="1258" t="s">
        <v>4607</v>
      </c>
      <c r="D35" s="621" t="s">
        <v>876</v>
      </c>
      <c r="E35" s="609">
        <v>459.39</v>
      </c>
      <c r="F35" s="731">
        <v>0</v>
      </c>
      <c r="G35" s="611">
        <v>459.39</v>
      </c>
      <c r="H35" s="723">
        <v>44548</v>
      </c>
      <c r="I35" s="2036"/>
      <c r="J35" s="1949"/>
      <c r="K35" s="2176"/>
      <c r="L35" s="253"/>
      <c r="M35" s="178"/>
    </row>
    <row r="36" spans="1:13" ht="15">
      <c r="A36" s="723">
        <v>44560</v>
      </c>
      <c r="B36" s="1124" t="s">
        <v>522</v>
      </c>
      <c r="C36" s="1258" t="s">
        <v>4607</v>
      </c>
      <c r="D36" s="621" t="s">
        <v>878</v>
      </c>
      <c r="E36" s="609">
        <v>618.37</v>
      </c>
      <c r="F36" s="731">
        <v>0</v>
      </c>
      <c r="G36" s="611">
        <v>618.37</v>
      </c>
      <c r="H36" s="723">
        <v>44561</v>
      </c>
      <c r="I36" s="2036"/>
      <c r="J36" s="1949"/>
      <c r="K36" s="2176"/>
      <c r="L36" s="253"/>
      <c r="M36" s="178"/>
    </row>
    <row r="37" spans="1:13" ht="15">
      <c r="A37" s="725">
        <v>44586</v>
      </c>
      <c r="B37" s="1124" t="s">
        <v>522</v>
      </c>
      <c r="C37" s="1258" t="s">
        <v>4607</v>
      </c>
      <c r="D37" s="621" t="s">
        <v>879</v>
      </c>
      <c r="E37" s="609">
        <v>1245.07</v>
      </c>
      <c r="F37" s="731">
        <v>0</v>
      </c>
      <c r="G37" s="611">
        <v>1245.07</v>
      </c>
      <c r="H37" s="723">
        <v>44587</v>
      </c>
      <c r="I37" s="2036"/>
      <c r="J37" s="1949"/>
      <c r="K37" s="2176"/>
      <c r="L37" s="253"/>
      <c r="M37" s="178"/>
    </row>
    <row r="38" spans="1:13" ht="15">
      <c r="A38" s="723">
        <v>44576</v>
      </c>
      <c r="B38" s="1124" t="s">
        <v>521</v>
      </c>
      <c r="C38" s="1258" t="s">
        <v>4607</v>
      </c>
      <c r="D38" s="621" t="s">
        <v>880</v>
      </c>
      <c r="E38" s="609">
        <v>1132.6300000000001</v>
      </c>
      <c r="F38" s="731">
        <v>0</v>
      </c>
      <c r="G38" s="611">
        <v>1132.6300000000001</v>
      </c>
      <c r="H38" s="723">
        <v>44608</v>
      </c>
      <c r="I38" s="2036"/>
      <c r="J38" s="1949"/>
      <c r="K38" s="2176"/>
      <c r="L38" s="253"/>
      <c r="M38" s="178"/>
    </row>
    <row r="39" spans="1:13" ht="15">
      <c r="A39" s="723">
        <v>44620</v>
      </c>
      <c r="B39" s="1124" t="s">
        <v>521</v>
      </c>
      <c r="C39" s="1258" t="s">
        <v>4607</v>
      </c>
      <c r="D39" s="621" t="s">
        <v>881</v>
      </c>
      <c r="E39" s="609">
        <v>595.58000000000004</v>
      </c>
      <c r="F39" s="731">
        <v>0</v>
      </c>
      <c r="G39" s="611">
        <v>595.58000000000004</v>
      </c>
      <c r="H39" s="723">
        <v>44621</v>
      </c>
      <c r="I39" s="611">
        <v>595.58000000000004</v>
      </c>
      <c r="J39" s="723">
        <v>44684</v>
      </c>
      <c r="K39" s="253" t="s">
        <v>2027</v>
      </c>
      <c r="L39" s="253"/>
      <c r="M39" s="178"/>
    </row>
    <row r="40" spans="1:13" ht="15">
      <c r="A40" s="723">
        <v>44622</v>
      </c>
      <c r="B40" s="1124" t="s">
        <v>521</v>
      </c>
      <c r="C40" s="1258" t="s">
        <v>4607</v>
      </c>
      <c r="D40" s="621" t="s">
        <v>882</v>
      </c>
      <c r="E40" s="609">
        <v>737.73</v>
      </c>
      <c r="F40" s="731">
        <v>0</v>
      </c>
      <c r="G40" s="611">
        <v>737.73</v>
      </c>
      <c r="H40" s="723">
        <v>44623</v>
      </c>
      <c r="I40" s="611">
        <v>737.73</v>
      </c>
      <c r="J40" s="723">
        <v>44684</v>
      </c>
      <c r="K40" s="253" t="s">
        <v>2027</v>
      </c>
      <c r="L40" s="253"/>
      <c r="M40" s="178"/>
    </row>
    <row r="41" spans="1:13" ht="15">
      <c r="A41" s="1918">
        <v>44642</v>
      </c>
      <c r="B41" s="1918" t="s">
        <v>521</v>
      </c>
      <c r="C41" s="1903" t="s">
        <v>4607</v>
      </c>
      <c r="D41" s="1929" t="s">
        <v>1782</v>
      </c>
      <c r="E41" s="1923">
        <v>786.35</v>
      </c>
      <c r="F41" s="1927">
        <v>0</v>
      </c>
      <c r="G41" s="611">
        <v>666.69</v>
      </c>
      <c r="H41" s="723">
        <v>44643</v>
      </c>
      <c r="I41" s="611">
        <v>666.69</v>
      </c>
      <c r="J41" s="723">
        <v>44684</v>
      </c>
      <c r="K41" s="253" t="s">
        <v>2027</v>
      </c>
      <c r="L41" s="253"/>
      <c r="M41" s="178"/>
    </row>
    <row r="42" spans="1:13" s="178" customFormat="1" ht="15">
      <c r="A42" s="1920"/>
      <c r="B42" s="1920"/>
      <c r="C42" s="1920"/>
      <c r="D42" s="1930"/>
      <c r="E42" s="1924"/>
      <c r="F42" s="1928"/>
      <c r="G42" s="611">
        <v>119.65999999999985</v>
      </c>
      <c r="H42" s="723">
        <v>44643</v>
      </c>
      <c r="I42" s="611">
        <v>119.66</v>
      </c>
      <c r="J42" s="723">
        <v>44708</v>
      </c>
      <c r="K42" s="398" t="s">
        <v>2027</v>
      </c>
      <c r="L42" s="371"/>
    </row>
    <row r="43" spans="1:13" ht="15">
      <c r="A43" s="723">
        <v>44657</v>
      </c>
      <c r="B43" s="1124" t="s">
        <v>521</v>
      </c>
      <c r="C43" s="1258" t="s">
        <v>4607</v>
      </c>
      <c r="D43" s="621" t="s">
        <v>1864</v>
      </c>
      <c r="E43" s="609">
        <v>918.9</v>
      </c>
      <c r="F43" s="731">
        <v>0</v>
      </c>
      <c r="G43" s="611">
        <v>918.9</v>
      </c>
      <c r="H43" s="723">
        <v>44658</v>
      </c>
      <c r="I43" s="611">
        <v>918.9</v>
      </c>
      <c r="J43" s="723">
        <v>44708</v>
      </c>
      <c r="K43" s="398" t="s">
        <v>2027</v>
      </c>
      <c r="L43" s="253"/>
      <c r="M43" s="178"/>
    </row>
    <row r="44" spans="1:13" ht="15">
      <c r="A44" s="723">
        <v>44677</v>
      </c>
      <c r="B44" s="1124" t="s">
        <v>521</v>
      </c>
      <c r="C44" s="1258" t="s">
        <v>4607</v>
      </c>
      <c r="D44" s="621" t="s">
        <v>1998</v>
      </c>
      <c r="E44" s="609">
        <v>1010.58</v>
      </c>
      <c r="F44" s="731">
        <v>0</v>
      </c>
      <c r="G44" s="611">
        <v>1010.58</v>
      </c>
      <c r="H44" s="723">
        <v>44678</v>
      </c>
      <c r="I44" s="611">
        <v>1010.58</v>
      </c>
      <c r="J44" s="723">
        <v>44708</v>
      </c>
      <c r="K44" s="398" t="s">
        <v>2027</v>
      </c>
      <c r="L44" s="253"/>
      <c r="M44" s="178"/>
    </row>
    <row r="45" spans="1:13" ht="15">
      <c r="A45" s="723">
        <v>44684</v>
      </c>
      <c r="B45" s="1124" t="s">
        <v>521</v>
      </c>
      <c r="C45" s="1258" t="s">
        <v>4607</v>
      </c>
      <c r="D45" s="621" t="s">
        <v>2036</v>
      </c>
      <c r="E45" s="609">
        <v>964.45</v>
      </c>
      <c r="F45" s="731">
        <v>0</v>
      </c>
      <c r="G45" s="611">
        <v>964.45</v>
      </c>
      <c r="H45" s="723">
        <v>44685</v>
      </c>
      <c r="I45" s="611">
        <v>964.45</v>
      </c>
      <c r="J45" s="723">
        <v>44708</v>
      </c>
      <c r="K45" s="398" t="s">
        <v>2027</v>
      </c>
      <c r="L45" s="253"/>
      <c r="M45" s="178"/>
    </row>
    <row r="46" spans="1:13" ht="15">
      <c r="A46" s="723">
        <v>44692</v>
      </c>
      <c r="B46" s="1124" t="s">
        <v>521</v>
      </c>
      <c r="C46" s="1258" t="s">
        <v>4607</v>
      </c>
      <c r="D46" s="621" t="s">
        <v>2088</v>
      </c>
      <c r="E46" s="611">
        <v>849.05</v>
      </c>
      <c r="F46" s="731">
        <v>0</v>
      </c>
      <c r="G46" s="611">
        <v>849.05</v>
      </c>
      <c r="H46" s="723">
        <v>44693</v>
      </c>
      <c r="I46" s="611">
        <v>849.05</v>
      </c>
      <c r="J46" s="723">
        <v>44708</v>
      </c>
      <c r="K46" s="398" t="s">
        <v>2027</v>
      </c>
      <c r="L46" s="253"/>
      <c r="M46" s="178"/>
    </row>
    <row r="47" spans="1:13" ht="15">
      <c r="A47" s="726">
        <v>44701</v>
      </c>
      <c r="B47" s="1124" t="s">
        <v>521</v>
      </c>
      <c r="C47" s="1258" t="s">
        <v>4607</v>
      </c>
      <c r="D47" s="615" t="s">
        <v>2128</v>
      </c>
      <c r="E47" s="611">
        <v>1533.75</v>
      </c>
      <c r="F47" s="731">
        <v>0</v>
      </c>
      <c r="G47" s="611">
        <v>1533.75</v>
      </c>
      <c r="H47" s="726">
        <v>44702</v>
      </c>
      <c r="I47" s="611">
        <v>1533.75</v>
      </c>
      <c r="J47" s="723">
        <v>44753</v>
      </c>
      <c r="K47" s="449" t="s">
        <v>1752</v>
      </c>
      <c r="L47" s="221" t="s">
        <v>2723</v>
      </c>
      <c r="M47" s="178"/>
    </row>
    <row r="48" spans="1:13" s="178" customFormat="1" ht="15">
      <c r="A48" s="726">
        <v>44705</v>
      </c>
      <c r="B48" s="1124" t="s">
        <v>521</v>
      </c>
      <c r="C48" s="1258" t="s">
        <v>4607</v>
      </c>
      <c r="D48" s="615" t="s">
        <v>2170</v>
      </c>
      <c r="E48" s="611">
        <v>113.85</v>
      </c>
      <c r="F48" s="731">
        <v>0</v>
      </c>
      <c r="G48" s="611">
        <v>113.85</v>
      </c>
      <c r="H48" s="726">
        <v>44706</v>
      </c>
      <c r="I48" s="611">
        <v>113.85</v>
      </c>
      <c r="J48" s="723">
        <v>44753</v>
      </c>
      <c r="K48" s="449" t="s">
        <v>1752</v>
      </c>
      <c r="L48" s="221" t="s">
        <v>2723</v>
      </c>
    </row>
    <row r="49" spans="1:12" s="178" customFormat="1" ht="15">
      <c r="A49" s="726">
        <v>44706</v>
      </c>
      <c r="B49" s="1124" t="s">
        <v>521</v>
      </c>
      <c r="C49" s="1258" t="s">
        <v>4607</v>
      </c>
      <c r="D49" s="615" t="s">
        <v>2171</v>
      </c>
      <c r="E49" s="611">
        <v>848</v>
      </c>
      <c r="F49" s="731">
        <v>0</v>
      </c>
      <c r="G49" s="611">
        <v>848</v>
      </c>
      <c r="H49" s="726">
        <v>44707</v>
      </c>
      <c r="I49" s="611">
        <v>848</v>
      </c>
      <c r="J49" s="723">
        <v>44753</v>
      </c>
      <c r="K49" s="449" t="s">
        <v>1752</v>
      </c>
      <c r="L49" s="221" t="s">
        <v>2723</v>
      </c>
    </row>
    <row r="50" spans="1:12" s="178" customFormat="1" ht="15">
      <c r="A50" s="726">
        <v>44712</v>
      </c>
      <c r="B50" s="1124" t="s">
        <v>521</v>
      </c>
      <c r="C50" s="1258" t="s">
        <v>4607</v>
      </c>
      <c r="D50" s="615" t="s">
        <v>2229</v>
      </c>
      <c r="E50" s="611">
        <v>1340.28</v>
      </c>
      <c r="F50" s="731">
        <v>0</v>
      </c>
      <c r="G50" s="611">
        <v>1340.28</v>
      </c>
      <c r="H50" s="726">
        <v>44713</v>
      </c>
      <c r="I50" s="611">
        <v>1340.28</v>
      </c>
      <c r="J50" s="723">
        <v>44753</v>
      </c>
      <c r="K50" s="449" t="s">
        <v>1752</v>
      </c>
      <c r="L50" s="221" t="s">
        <v>2723</v>
      </c>
    </row>
    <row r="51" spans="1:12" s="178" customFormat="1" ht="15">
      <c r="A51" s="726">
        <v>44720</v>
      </c>
      <c r="B51" s="1124" t="s">
        <v>521</v>
      </c>
      <c r="C51" s="1258" t="s">
        <v>4607</v>
      </c>
      <c r="D51" s="615" t="s">
        <v>2261</v>
      </c>
      <c r="E51" s="611">
        <v>731.95</v>
      </c>
      <c r="F51" s="731">
        <v>0</v>
      </c>
      <c r="G51" s="611">
        <v>731.95</v>
      </c>
      <c r="H51" s="726">
        <v>44721</v>
      </c>
      <c r="I51" s="1923">
        <v>2908.43</v>
      </c>
      <c r="J51" s="1918">
        <v>44754</v>
      </c>
      <c r="K51" s="2175" t="s">
        <v>2424</v>
      </c>
      <c r="L51" s="398"/>
    </row>
    <row r="52" spans="1:12" s="178" customFormat="1" ht="15">
      <c r="A52" s="726">
        <v>44729</v>
      </c>
      <c r="B52" s="1124" t="s">
        <v>521</v>
      </c>
      <c r="C52" s="1258" t="s">
        <v>4607</v>
      </c>
      <c r="D52" s="615" t="s">
        <v>2293</v>
      </c>
      <c r="E52" s="611">
        <v>847.48</v>
      </c>
      <c r="F52" s="731">
        <v>0</v>
      </c>
      <c r="G52" s="611">
        <v>847.48</v>
      </c>
      <c r="H52" s="726">
        <v>44730</v>
      </c>
      <c r="I52" s="1961"/>
      <c r="J52" s="1919"/>
      <c r="K52" s="2173"/>
      <c r="L52" s="398"/>
    </row>
    <row r="53" spans="1:12" s="178" customFormat="1" ht="15">
      <c r="A53" s="726">
        <v>44732</v>
      </c>
      <c r="B53" s="1124" t="s">
        <v>521</v>
      </c>
      <c r="C53" s="1258" t="s">
        <v>4607</v>
      </c>
      <c r="D53" s="615" t="s">
        <v>2327</v>
      </c>
      <c r="E53" s="611">
        <v>1329</v>
      </c>
      <c r="F53" s="731">
        <v>0</v>
      </c>
      <c r="G53" s="611">
        <v>1329</v>
      </c>
      <c r="H53" s="726">
        <v>44733</v>
      </c>
      <c r="I53" s="1924"/>
      <c r="J53" s="1920"/>
      <c r="K53" s="2174"/>
      <c r="L53" s="398"/>
    </row>
    <row r="54" spans="1:12" s="178" customFormat="1" ht="15">
      <c r="A54" s="726">
        <v>44755.000497685185</v>
      </c>
      <c r="B54" s="1124" t="s">
        <v>521</v>
      </c>
      <c r="C54" s="1258" t="s">
        <v>4607</v>
      </c>
      <c r="D54" s="615" t="s">
        <v>2435</v>
      </c>
      <c r="E54" s="611">
        <v>1329.93</v>
      </c>
      <c r="F54" s="731">
        <v>0</v>
      </c>
      <c r="G54" s="611">
        <v>1329.93</v>
      </c>
      <c r="H54" s="726">
        <v>44756.000497685185</v>
      </c>
      <c r="I54" s="1923">
        <v>12456.3</v>
      </c>
      <c r="J54" s="1918">
        <v>44809</v>
      </c>
      <c r="K54" s="2172" t="s">
        <v>2981</v>
      </c>
      <c r="L54" s="473"/>
    </row>
    <row r="55" spans="1:12" s="178" customFormat="1" ht="15">
      <c r="A55" s="726">
        <v>44763.000497685185</v>
      </c>
      <c r="B55" s="1124" t="s">
        <v>521</v>
      </c>
      <c r="C55" s="1258" t="s">
        <v>4607</v>
      </c>
      <c r="D55" s="615" t="s">
        <v>2476</v>
      </c>
      <c r="E55" s="611">
        <v>972</v>
      </c>
      <c r="F55" s="731">
        <v>0</v>
      </c>
      <c r="G55" s="611">
        <v>972</v>
      </c>
      <c r="H55" s="726">
        <v>44764</v>
      </c>
      <c r="I55" s="1961"/>
      <c r="J55" s="1919"/>
      <c r="K55" s="2173"/>
      <c r="L55" s="473"/>
    </row>
    <row r="56" spans="1:12" s="178" customFormat="1" ht="15">
      <c r="A56" s="726">
        <v>44768</v>
      </c>
      <c r="B56" s="1124" t="s">
        <v>521</v>
      </c>
      <c r="C56" s="1258" t="s">
        <v>4607</v>
      </c>
      <c r="D56" s="615" t="s">
        <v>2544</v>
      </c>
      <c r="E56" s="611">
        <v>2276.3000000000002</v>
      </c>
      <c r="F56" s="731">
        <v>0</v>
      </c>
      <c r="G56" s="611">
        <v>2276.3000000000002</v>
      </c>
      <c r="H56" s="726">
        <v>44769</v>
      </c>
      <c r="I56" s="1961"/>
      <c r="J56" s="1919"/>
      <c r="K56" s="2173"/>
      <c r="L56" s="484"/>
    </row>
    <row r="57" spans="1:12" s="178" customFormat="1" ht="15">
      <c r="A57" s="726">
        <v>44768</v>
      </c>
      <c r="B57" s="1124" t="s">
        <v>521</v>
      </c>
      <c r="C57" s="1258" t="s">
        <v>4607</v>
      </c>
      <c r="D57" s="615" t="s">
        <v>2545</v>
      </c>
      <c r="E57" s="611">
        <v>873</v>
      </c>
      <c r="F57" s="731">
        <v>0</v>
      </c>
      <c r="G57" s="611">
        <v>873</v>
      </c>
      <c r="H57" s="726">
        <v>44769</v>
      </c>
      <c r="I57" s="1961"/>
      <c r="J57" s="1919"/>
      <c r="K57" s="2173"/>
      <c r="L57" s="484"/>
    </row>
    <row r="58" spans="1:12" s="178" customFormat="1" ht="15">
      <c r="A58" s="726">
        <v>44775</v>
      </c>
      <c r="B58" s="1124" t="s">
        <v>521</v>
      </c>
      <c r="C58" s="1258" t="s">
        <v>4607</v>
      </c>
      <c r="D58" s="615" t="s">
        <v>2604</v>
      </c>
      <c r="E58" s="611">
        <v>729.25</v>
      </c>
      <c r="F58" s="731">
        <v>0</v>
      </c>
      <c r="G58" s="611">
        <v>729.25</v>
      </c>
      <c r="H58" s="726">
        <v>44776</v>
      </c>
      <c r="I58" s="1961"/>
      <c r="J58" s="1919"/>
      <c r="K58" s="2173"/>
      <c r="L58" s="489"/>
    </row>
    <row r="59" spans="1:12" s="178" customFormat="1" ht="15">
      <c r="A59" s="726">
        <v>44775</v>
      </c>
      <c r="B59" s="1124" t="s">
        <v>521</v>
      </c>
      <c r="C59" s="1258" t="s">
        <v>4607</v>
      </c>
      <c r="D59" s="615" t="s">
        <v>2605</v>
      </c>
      <c r="E59" s="611">
        <v>848.49</v>
      </c>
      <c r="F59" s="731">
        <v>0</v>
      </c>
      <c r="G59" s="611">
        <v>848.49</v>
      </c>
      <c r="H59" s="726">
        <v>44776</v>
      </c>
      <c r="I59" s="1961"/>
      <c r="J59" s="1919"/>
      <c r="K59" s="2173"/>
      <c r="L59" s="489"/>
    </row>
    <row r="60" spans="1:12" s="178" customFormat="1" ht="15">
      <c r="A60" s="726">
        <v>44778</v>
      </c>
      <c r="B60" s="1124" t="s">
        <v>2518</v>
      </c>
      <c r="C60" s="1258" t="s">
        <v>4607</v>
      </c>
      <c r="D60" s="615" t="s">
        <v>2606</v>
      </c>
      <c r="E60" s="611">
        <v>1926</v>
      </c>
      <c r="F60" s="731">
        <v>0</v>
      </c>
      <c r="G60" s="611">
        <v>1926</v>
      </c>
      <c r="H60" s="726">
        <v>44779</v>
      </c>
      <c r="I60" s="1961"/>
      <c r="J60" s="1919"/>
      <c r="K60" s="2173"/>
      <c r="L60" s="489"/>
    </row>
    <row r="61" spans="1:12" s="178" customFormat="1" ht="15">
      <c r="A61" s="726">
        <v>44784.000497685185</v>
      </c>
      <c r="B61" s="1124" t="s">
        <v>2518</v>
      </c>
      <c r="C61" s="1258" t="s">
        <v>4607</v>
      </c>
      <c r="D61" s="615" t="s">
        <v>2676</v>
      </c>
      <c r="E61" s="611">
        <v>0.01</v>
      </c>
      <c r="F61" s="731">
        <v>0</v>
      </c>
      <c r="G61" s="611">
        <v>0.01</v>
      </c>
      <c r="H61" s="726">
        <v>44785.000497685185</v>
      </c>
      <c r="I61" s="1961"/>
      <c r="J61" s="1919"/>
      <c r="K61" s="2173"/>
      <c r="L61" s="584" t="s">
        <v>2570</v>
      </c>
    </row>
    <row r="62" spans="1:12" s="178" customFormat="1" ht="15">
      <c r="A62" s="726">
        <v>44785.000497685185</v>
      </c>
      <c r="B62" s="1124" t="s">
        <v>2518</v>
      </c>
      <c r="C62" s="1258" t="s">
        <v>4607</v>
      </c>
      <c r="D62" s="615" t="s">
        <v>2677</v>
      </c>
      <c r="E62" s="611">
        <v>481.5</v>
      </c>
      <c r="F62" s="731">
        <v>0</v>
      </c>
      <c r="G62" s="611">
        <v>481.5</v>
      </c>
      <c r="H62" s="726">
        <v>44786.000497685185</v>
      </c>
      <c r="I62" s="1961"/>
      <c r="J62" s="1919"/>
      <c r="K62" s="2173"/>
      <c r="L62" s="484"/>
    </row>
    <row r="63" spans="1:12" s="178" customFormat="1" ht="15">
      <c r="A63" s="726">
        <v>44789.000497685185</v>
      </c>
      <c r="B63" s="1124" t="s">
        <v>2518</v>
      </c>
      <c r="C63" s="1258" t="s">
        <v>4607</v>
      </c>
      <c r="D63" s="615" t="s">
        <v>2774</v>
      </c>
      <c r="E63" s="611">
        <v>461.43</v>
      </c>
      <c r="F63" s="731">
        <v>0</v>
      </c>
      <c r="G63" s="611">
        <v>461.43</v>
      </c>
      <c r="H63" s="726">
        <v>44790.000497685185</v>
      </c>
      <c r="I63" s="1961"/>
      <c r="J63" s="1919"/>
      <c r="K63" s="2173"/>
      <c r="L63" s="540"/>
    </row>
    <row r="64" spans="1:12" s="178" customFormat="1" ht="15">
      <c r="A64" s="726">
        <v>44790.000497685185</v>
      </c>
      <c r="B64" s="1124" t="s">
        <v>2518</v>
      </c>
      <c r="C64" s="1258" t="s">
        <v>4607</v>
      </c>
      <c r="D64" s="615" t="s">
        <v>2775</v>
      </c>
      <c r="E64" s="611">
        <v>1243.8399999999999</v>
      </c>
      <c r="F64" s="731">
        <v>0</v>
      </c>
      <c r="G64" s="611">
        <v>1243.8399999999999</v>
      </c>
      <c r="H64" s="726">
        <v>44791.000497685185</v>
      </c>
      <c r="I64" s="1961"/>
      <c r="J64" s="1919"/>
      <c r="K64" s="2173"/>
      <c r="L64" s="569"/>
    </row>
    <row r="65" spans="1:12" s="178" customFormat="1" ht="15">
      <c r="A65" s="726">
        <v>44790.000497685185</v>
      </c>
      <c r="B65" s="1124" t="s">
        <v>2518</v>
      </c>
      <c r="C65" s="1258" t="s">
        <v>4607</v>
      </c>
      <c r="D65" s="615" t="s">
        <v>2776</v>
      </c>
      <c r="E65" s="611">
        <v>738.85</v>
      </c>
      <c r="F65" s="731">
        <v>0</v>
      </c>
      <c r="G65" s="611">
        <v>738.85</v>
      </c>
      <c r="H65" s="726">
        <v>44791.000497685185</v>
      </c>
      <c r="I65" s="1961"/>
      <c r="J65" s="1919"/>
      <c r="K65" s="2173"/>
      <c r="L65" s="569"/>
    </row>
    <row r="66" spans="1:12" s="178" customFormat="1" ht="15">
      <c r="A66" s="726">
        <v>44798</v>
      </c>
      <c r="B66" s="1124" t="s">
        <v>2518</v>
      </c>
      <c r="C66" s="1258" t="s">
        <v>4607</v>
      </c>
      <c r="D66" s="615" t="s">
        <v>2843</v>
      </c>
      <c r="E66" s="611">
        <v>575.70000000000005</v>
      </c>
      <c r="F66" s="731">
        <v>0</v>
      </c>
      <c r="G66" s="611">
        <v>575.70000000000005</v>
      </c>
      <c r="H66" s="726">
        <v>44799</v>
      </c>
      <c r="I66" s="1924"/>
      <c r="J66" s="1920"/>
      <c r="K66" s="2174"/>
      <c r="L66" s="569"/>
    </row>
    <row r="67" spans="1:12" s="178" customFormat="1" ht="15">
      <c r="A67" s="726">
        <v>44784.000497685185</v>
      </c>
      <c r="B67" s="1124" t="s">
        <v>2518</v>
      </c>
      <c r="C67" s="1258" t="s">
        <v>4607</v>
      </c>
      <c r="D67" s="842" t="s">
        <v>2675</v>
      </c>
      <c r="E67" s="611">
        <v>4167.95</v>
      </c>
      <c r="F67" s="731">
        <v>0</v>
      </c>
      <c r="G67" s="611">
        <v>4167.95</v>
      </c>
      <c r="H67" s="726">
        <v>44785.000497685185</v>
      </c>
      <c r="I67" s="1923">
        <v>12562.43</v>
      </c>
      <c r="J67" s="1918">
        <v>44848</v>
      </c>
      <c r="K67" s="2172" t="s">
        <v>3271</v>
      </c>
      <c r="L67" s="489"/>
    </row>
    <row r="68" spans="1:12" s="178" customFormat="1" ht="15">
      <c r="A68" s="726">
        <v>44806</v>
      </c>
      <c r="B68" s="1124" t="s">
        <v>2518</v>
      </c>
      <c r="C68" s="1258" t="s">
        <v>4607</v>
      </c>
      <c r="D68" s="842" t="s">
        <v>2911</v>
      </c>
      <c r="E68" s="611">
        <v>2233.75</v>
      </c>
      <c r="F68" s="731">
        <v>0</v>
      </c>
      <c r="G68" s="611">
        <v>2233.75</v>
      </c>
      <c r="H68" s="726">
        <v>44807</v>
      </c>
      <c r="I68" s="1961"/>
      <c r="J68" s="1919"/>
      <c r="K68" s="2173"/>
      <c r="L68" s="569"/>
    </row>
    <row r="69" spans="1:12" s="178" customFormat="1" ht="15">
      <c r="A69" s="726">
        <v>44816</v>
      </c>
      <c r="B69" s="1124" t="s">
        <v>2518</v>
      </c>
      <c r="C69" s="1258" t="s">
        <v>4607</v>
      </c>
      <c r="D69" s="842" t="s">
        <v>3003</v>
      </c>
      <c r="E69" s="611">
        <v>-303.95</v>
      </c>
      <c r="F69" s="731">
        <v>0</v>
      </c>
      <c r="G69" s="611">
        <v>-303.95</v>
      </c>
      <c r="H69" s="726"/>
      <c r="I69" s="1961"/>
      <c r="J69" s="1919"/>
      <c r="K69" s="2173"/>
      <c r="L69" s="588"/>
    </row>
    <row r="70" spans="1:12" s="178" customFormat="1" ht="15">
      <c r="A70" s="726">
        <v>44818</v>
      </c>
      <c r="B70" s="1124" t="s">
        <v>2518</v>
      </c>
      <c r="C70" s="1258" t="s">
        <v>4607</v>
      </c>
      <c r="D70" s="842" t="s">
        <v>3004</v>
      </c>
      <c r="E70" s="611">
        <v>1459.5</v>
      </c>
      <c r="F70" s="731">
        <v>0</v>
      </c>
      <c r="G70" s="611">
        <v>1459.5</v>
      </c>
      <c r="H70" s="726">
        <v>44819</v>
      </c>
      <c r="I70" s="1961"/>
      <c r="J70" s="1919"/>
      <c r="K70" s="2173"/>
      <c r="L70" s="588"/>
    </row>
    <row r="71" spans="1:12" s="178" customFormat="1" ht="15">
      <c r="A71" s="726">
        <v>44820</v>
      </c>
      <c r="B71" s="1124" t="s">
        <v>2518</v>
      </c>
      <c r="C71" s="1258" t="s">
        <v>4607</v>
      </c>
      <c r="D71" s="842" t="s">
        <v>3005</v>
      </c>
      <c r="E71" s="611">
        <v>560</v>
      </c>
      <c r="F71" s="731">
        <v>0</v>
      </c>
      <c r="G71" s="611">
        <v>560</v>
      </c>
      <c r="H71" s="726">
        <v>44821</v>
      </c>
      <c r="I71" s="1961"/>
      <c r="J71" s="1919"/>
      <c r="K71" s="2173"/>
      <c r="L71" s="588"/>
    </row>
    <row r="72" spans="1:12" s="178" customFormat="1" ht="15">
      <c r="A72" s="726">
        <v>44820</v>
      </c>
      <c r="B72" s="1124" t="s">
        <v>2518</v>
      </c>
      <c r="C72" s="1258" t="s">
        <v>4607</v>
      </c>
      <c r="D72" s="842" t="s">
        <v>3006</v>
      </c>
      <c r="E72" s="611">
        <v>1685.25</v>
      </c>
      <c r="F72" s="731">
        <v>0</v>
      </c>
      <c r="G72" s="611">
        <v>1685.25</v>
      </c>
      <c r="H72" s="726">
        <v>44821</v>
      </c>
      <c r="I72" s="1961"/>
      <c r="J72" s="1919"/>
      <c r="K72" s="2173"/>
      <c r="L72" s="569"/>
    </row>
    <row r="73" spans="1:12" s="178" customFormat="1" ht="15">
      <c r="A73" s="726">
        <v>44820</v>
      </c>
      <c r="B73" s="1124" t="s">
        <v>2518</v>
      </c>
      <c r="C73" s="1258" t="s">
        <v>4607</v>
      </c>
      <c r="D73" s="842" t="s">
        <v>3007</v>
      </c>
      <c r="E73" s="611">
        <v>1180.8800000000001</v>
      </c>
      <c r="F73" s="731">
        <v>0</v>
      </c>
      <c r="G73" s="611">
        <v>1180.8800000000001</v>
      </c>
      <c r="H73" s="726">
        <v>44821</v>
      </c>
      <c r="I73" s="1961"/>
      <c r="J73" s="1919"/>
      <c r="K73" s="2173"/>
      <c r="L73" s="569"/>
    </row>
    <row r="74" spans="1:12" s="178" customFormat="1" ht="15">
      <c r="A74" s="726">
        <v>44830</v>
      </c>
      <c r="B74" s="1124" t="s">
        <v>2518</v>
      </c>
      <c r="C74" s="1258" t="s">
        <v>4607</v>
      </c>
      <c r="D74" s="842" t="s">
        <v>3174</v>
      </c>
      <c r="E74" s="611">
        <v>173.7</v>
      </c>
      <c r="F74" s="731">
        <v>0</v>
      </c>
      <c r="G74" s="611">
        <v>173.7</v>
      </c>
      <c r="H74" s="726">
        <v>44831.000497685185</v>
      </c>
      <c r="I74" s="1961"/>
      <c r="J74" s="1919"/>
      <c r="K74" s="2173"/>
      <c r="L74" s="818"/>
    </row>
    <row r="75" spans="1:12" s="178" customFormat="1" ht="15">
      <c r="A75" s="726">
        <v>44830</v>
      </c>
      <c r="B75" s="1124" t="s">
        <v>2518</v>
      </c>
      <c r="C75" s="1258" t="s">
        <v>4607</v>
      </c>
      <c r="D75" s="842" t="s">
        <v>3175</v>
      </c>
      <c r="E75" s="611">
        <v>1405.35</v>
      </c>
      <c r="F75" s="731">
        <v>0</v>
      </c>
      <c r="G75" s="611">
        <v>1405.35</v>
      </c>
      <c r="H75" s="726">
        <v>44831.000497685185</v>
      </c>
      <c r="I75" s="1924"/>
      <c r="J75" s="1920"/>
      <c r="K75" s="2174"/>
      <c r="L75" s="818"/>
    </row>
    <row r="76" spans="1:12" s="178" customFormat="1" ht="15">
      <c r="A76" s="726">
        <v>44853.000497685185</v>
      </c>
      <c r="B76" s="1124" t="s">
        <v>2518</v>
      </c>
      <c r="C76" s="1258" t="s">
        <v>4607</v>
      </c>
      <c r="D76" s="1005" t="s">
        <v>3297</v>
      </c>
      <c r="E76" s="611">
        <v>2086.2800000000002</v>
      </c>
      <c r="F76" s="731">
        <v>0</v>
      </c>
      <c r="G76" s="611">
        <v>2086.2800000000002</v>
      </c>
      <c r="H76" s="726">
        <v>44854.000497685185</v>
      </c>
      <c r="I76" s="1923">
        <v>3824.24</v>
      </c>
      <c r="J76" s="1903">
        <v>44914</v>
      </c>
      <c r="K76" s="2172" t="s">
        <v>3809</v>
      </c>
      <c r="L76" s="569"/>
    </row>
    <row r="77" spans="1:12" s="178" customFormat="1" ht="15">
      <c r="A77" s="726">
        <v>44882</v>
      </c>
      <c r="B77" s="1124" t="s">
        <v>2518</v>
      </c>
      <c r="C77" s="1258" t="s">
        <v>4607</v>
      </c>
      <c r="D77" s="1005" t="s">
        <v>3484</v>
      </c>
      <c r="E77" s="611">
        <v>1299.03</v>
      </c>
      <c r="F77" s="731">
        <v>0</v>
      </c>
      <c r="G77" s="611">
        <v>1299.03</v>
      </c>
      <c r="H77" s="726">
        <v>44883</v>
      </c>
      <c r="I77" s="1961"/>
      <c r="J77" s="1904"/>
      <c r="K77" s="2173"/>
      <c r="L77" s="569"/>
    </row>
    <row r="78" spans="1:12" s="178" customFormat="1" ht="15">
      <c r="A78" s="726">
        <v>44892</v>
      </c>
      <c r="B78" s="1124" t="s">
        <v>2518</v>
      </c>
      <c r="C78" s="1258" t="s">
        <v>4607</v>
      </c>
      <c r="D78" s="1005" t="s">
        <v>3609</v>
      </c>
      <c r="E78" s="611">
        <v>438.93</v>
      </c>
      <c r="F78" s="731">
        <v>0</v>
      </c>
      <c r="G78" s="611">
        <v>438.93</v>
      </c>
      <c r="H78" s="726">
        <v>44893</v>
      </c>
      <c r="I78" s="1924"/>
      <c r="J78" s="1905"/>
      <c r="K78" s="2174"/>
      <c r="L78" s="911"/>
    </row>
    <row r="79" spans="1:12" s="178" customFormat="1" ht="15">
      <c r="A79" s="726">
        <v>44908</v>
      </c>
      <c r="B79" s="1170" t="s">
        <v>2518</v>
      </c>
      <c r="C79" s="1170" t="s">
        <v>4607</v>
      </c>
      <c r="D79" s="1173" t="s">
        <v>3696</v>
      </c>
      <c r="E79" s="611">
        <v>1623.51</v>
      </c>
      <c r="F79" s="731">
        <v>0</v>
      </c>
      <c r="G79" s="611">
        <v>1623.51</v>
      </c>
      <c r="H79" s="726">
        <v>44909</v>
      </c>
      <c r="I79" s="1923">
        <v>3040.16</v>
      </c>
      <c r="J79" s="1918">
        <v>44979</v>
      </c>
      <c r="K79" s="2172" t="s">
        <v>4248</v>
      </c>
      <c r="L79" s="911"/>
    </row>
    <row r="80" spans="1:12" s="178" customFormat="1" ht="15">
      <c r="A80" s="726">
        <v>44924</v>
      </c>
      <c r="B80" s="1170" t="s">
        <v>2518</v>
      </c>
      <c r="C80" s="1170" t="s">
        <v>4607</v>
      </c>
      <c r="D80" s="1173" t="s">
        <v>3819</v>
      </c>
      <c r="E80" s="611">
        <v>1416.65</v>
      </c>
      <c r="F80" s="731">
        <v>0</v>
      </c>
      <c r="G80" s="611">
        <v>1416.65</v>
      </c>
      <c r="H80" s="726">
        <v>44925</v>
      </c>
      <c r="I80" s="1924"/>
      <c r="J80" s="1920"/>
      <c r="K80" s="2174"/>
      <c r="L80" s="911"/>
    </row>
    <row r="81" spans="1:12" s="178" customFormat="1" ht="15">
      <c r="A81" s="726">
        <v>44936</v>
      </c>
      <c r="B81" s="1215" t="s">
        <v>2518</v>
      </c>
      <c r="C81" s="1215" t="s">
        <v>4607</v>
      </c>
      <c r="D81" s="1216" t="s">
        <v>3891</v>
      </c>
      <c r="E81" s="611">
        <v>1175.47</v>
      </c>
      <c r="F81" s="731">
        <v>0</v>
      </c>
      <c r="G81" s="611">
        <v>1175.48</v>
      </c>
      <c r="H81" s="726">
        <v>44981</v>
      </c>
      <c r="I81" s="1923">
        <v>7715.33</v>
      </c>
      <c r="J81" s="1903">
        <v>44993</v>
      </c>
      <c r="K81" s="2180" t="s">
        <v>4475</v>
      </c>
      <c r="L81" s="1037"/>
    </row>
    <row r="82" spans="1:12" s="178" customFormat="1" ht="15">
      <c r="A82" s="726">
        <v>44942</v>
      </c>
      <c r="B82" s="1215" t="s">
        <v>2518</v>
      </c>
      <c r="C82" s="1215" t="s">
        <v>4607</v>
      </c>
      <c r="D82" s="1216" t="s">
        <v>3956</v>
      </c>
      <c r="E82" s="611">
        <v>1138.78</v>
      </c>
      <c r="F82" s="731">
        <v>0</v>
      </c>
      <c r="G82" s="611">
        <v>1138.78</v>
      </c>
      <c r="H82" s="726">
        <v>45002</v>
      </c>
      <c r="I82" s="1961"/>
      <c r="J82" s="1904"/>
      <c r="K82" s="2181"/>
      <c r="L82" s="1037"/>
    </row>
    <row r="83" spans="1:12" s="178" customFormat="1" ht="15">
      <c r="A83" s="726">
        <v>44942</v>
      </c>
      <c r="B83" s="1215" t="s">
        <v>2518</v>
      </c>
      <c r="C83" s="1215" t="s">
        <v>4606</v>
      </c>
      <c r="D83" s="1216" t="s">
        <v>3957</v>
      </c>
      <c r="E83" s="611">
        <v>1351.75</v>
      </c>
      <c r="F83" s="731">
        <v>0</v>
      </c>
      <c r="G83" s="611">
        <v>1351.75</v>
      </c>
      <c r="H83" s="726">
        <v>44943</v>
      </c>
      <c r="I83" s="1961"/>
      <c r="J83" s="1904"/>
      <c r="K83" s="2181"/>
      <c r="L83" s="911"/>
    </row>
    <row r="84" spans="1:12" s="178" customFormat="1" ht="15">
      <c r="A84" s="726">
        <v>44967</v>
      </c>
      <c r="B84" s="1215" t="s">
        <v>2518</v>
      </c>
      <c r="C84" s="1215" t="s">
        <v>4608</v>
      </c>
      <c r="D84" s="1216" t="s">
        <v>4055</v>
      </c>
      <c r="E84" s="611">
        <v>1502.48</v>
      </c>
      <c r="F84" s="731">
        <v>0</v>
      </c>
      <c r="G84" s="611">
        <v>1502.48</v>
      </c>
      <c r="H84" s="726">
        <v>45027</v>
      </c>
      <c r="I84" s="1961"/>
      <c r="J84" s="1904"/>
      <c r="K84" s="2181"/>
      <c r="L84" s="1069"/>
    </row>
    <row r="85" spans="1:12" s="178" customFormat="1" ht="15">
      <c r="A85" s="726">
        <v>44974</v>
      </c>
      <c r="B85" s="726" t="s">
        <v>2518</v>
      </c>
      <c r="C85" s="726" t="s">
        <v>4608</v>
      </c>
      <c r="D85" s="1216" t="s">
        <v>4162</v>
      </c>
      <c r="E85" s="611">
        <v>788.2</v>
      </c>
      <c r="F85" s="731">
        <v>0</v>
      </c>
      <c r="G85" s="611">
        <v>788.2</v>
      </c>
      <c r="H85" s="726">
        <v>45034</v>
      </c>
      <c r="I85" s="1961"/>
      <c r="J85" s="1904"/>
      <c r="K85" s="2181"/>
      <c r="L85" s="1069"/>
    </row>
    <row r="86" spans="1:12" s="178" customFormat="1" ht="15">
      <c r="A86" s="726">
        <v>44977</v>
      </c>
      <c r="B86" s="726" t="s">
        <v>2518</v>
      </c>
      <c r="C86" s="726" t="s">
        <v>4608</v>
      </c>
      <c r="D86" s="1216" t="s">
        <v>4217</v>
      </c>
      <c r="E86" s="611">
        <v>1596.4</v>
      </c>
      <c r="F86" s="731">
        <v>0</v>
      </c>
      <c r="G86" s="611">
        <v>1596.4</v>
      </c>
      <c r="H86" s="726">
        <v>45037</v>
      </c>
      <c r="I86" s="1961"/>
      <c r="J86" s="1904"/>
      <c r="K86" s="2181"/>
      <c r="L86" s="1174"/>
    </row>
    <row r="87" spans="1:12" s="178" customFormat="1" ht="15">
      <c r="A87" s="726">
        <v>44980</v>
      </c>
      <c r="B87" s="726" t="s">
        <v>2518</v>
      </c>
      <c r="C87" s="726" t="s">
        <v>4606</v>
      </c>
      <c r="D87" s="1216" t="s">
        <v>4218</v>
      </c>
      <c r="E87" s="611">
        <v>407.29</v>
      </c>
      <c r="F87" s="731">
        <v>0</v>
      </c>
      <c r="G87" s="611">
        <v>407.29</v>
      </c>
      <c r="H87" s="726">
        <v>45040</v>
      </c>
      <c r="I87" s="1961"/>
      <c r="J87" s="1904"/>
      <c r="K87" s="2181"/>
      <c r="L87" s="1174"/>
    </row>
    <row r="88" spans="1:12" s="178" customFormat="1" ht="15">
      <c r="A88" s="726">
        <v>44981</v>
      </c>
      <c r="B88" s="726" t="s">
        <v>2518</v>
      </c>
      <c r="C88" s="726" t="s">
        <v>5135</v>
      </c>
      <c r="D88" s="1405" t="s">
        <v>4219</v>
      </c>
      <c r="E88" s="611">
        <v>-245.05</v>
      </c>
      <c r="F88" s="731">
        <v>0</v>
      </c>
      <c r="G88" s="611">
        <v>-245.05</v>
      </c>
      <c r="H88" s="726">
        <v>44982</v>
      </c>
      <c r="I88" s="1924"/>
      <c r="J88" s="1905"/>
      <c r="K88" s="2182"/>
      <c r="L88" s="221" t="s">
        <v>4220</v>
      </c>
    </row>
    <row r="89" spans="1:12" s="178" customFormat="1" ht="15">
      <c r="A89" s="726">
        <v>44992</v>
      </c>
      <c r="B89" s="726" t="s">
        <v>2518</v>
      </c>
      <c r="C89" s="726" t="s">
        <v>4408</v>
      </c>
      <c r="D89" s="1442" t="s">
        <v>4435</v>
      </c>
      <c r="E89" s="611">
        <v>321.60000000000002</v>
      </c>
      <c r="F89" s="731">
        <v>0</v>
      </c>
      <c r="G89" s="611">
        <v>321.60000000000002</v>
      </c>
      <c r="H89" s="726">
        <v>44992</v>
      </c>
      <c r="I89" s="1923">
        <v>1623.51</v>
      </c>
      <c r="J89" s="1903">
        <v>45063</v>
      </c>
      <c r="K89" s="2180" t="s">
        <v>5134</v>
      </c>
      <c r="L89" s="221"/>
    </row>
    <row r="90" spans="1:12" s="178" customFormat="1" ht="15">
      <c r="A90" s="1903">
        <v>44992</v>
      </c>
      <c r="B90" s="1903" t="s">
        <v>2518</v>
      </c>
      <c r="C90" s="1903" t="s">
        <v>4408</v>
      </c>
      <c r="D90" s="1909" t="s">
        <v>4436</v>
      </c>
      <c r="E90" s="1951">
        <v>2337.8000000000002</v>
      </c>
      <c r="F90" s="1933">
        <v>0</v>
      </c>
      <c r="G90" s="611">
        <v>1301.9100000000001</v>
      </c>
      <c r="H90" s="726">
        <v>44992</v>
      </c>
      <c r="I90" s="1924"/>
      <c r="J90" s="1905"/>
      <c r="K90" s="2182"/>
      <c r="L90" s="221"/>
    </row>
    <row r="91" spans="1:12" s="178" customFormat="1" ht="15">
      <c r="A91" s="1905"/>
      <c r="B91" s="1905"/>
      <c r="C91" s="1905"/>
      <c r="D91" s="1911"/>
      <c r="E91" s="1953"/>
      <c r="F91" s="1934"/>
      <c r="G91" s="611">
        <f>2337.8-1301.91</f>
        <v>1035.8900000000001</v>
      </c>
      <c r="H91" s="726">
        <v>44992</v>
      </c>
      <c r="I91" s="1923">
        <v>8285.44</v>
      </c>
      <c r="J91" s="2057">
        <v>45077</v>
      </c>
      <c r="K91" s="2183" t="s">
        <v>5295</v>
      </c>
      <c r="L91" s="221"/>
    </row>
    <row r="92" spans="1:12" s="178" customFormat="1" ht="15">
      <c r="A92" s="726">
        <v>45001</v>
      </c>
      <c r="B92" s="726" t="s">
        <v>2518</v>
      </c>
      <c r="C92" s="726" t="s">
        <v>4408</v>
      </c>
      <c r="D92" s="1442" t="s">
        <v>4494</v>
      </c>
      <c r="E92" s="611">
        <v>667.04</v>
      </c>
      <c r="F92" s="731">
        <v>0</v>
      </c>
      <c r="G92" s="611">
        <v>667.04</v>
      </c>
      <c r="H92" s="726">
        <v>45061</v>
      </c>
      <c r="I92" s="1961"/>
      <c r="J92" s="2058"/>
      <c r="K92" s="2181"/>
      <c r="L92" s="221"/>
    </row>
    <row r="93" spans="1:12" s="178" customFormat="1" ht="15">
      <c r="A93" s="726">
        <v>45012</v>
      </c>
      <c r="B93" s="726" t="s">
        <v>2518</v>
      </c>
      <c r="C93" s="726" t="s">
        <v>4408</v>
      </c>
      <c r="D93" s="1442" t="s">
        <v>4632</v>
      </c>
      <c r="E93" s="611">
        <v>-111.29</v>
      </c>
      <c r="F93" s="731">
        <v>0</v>
      </c>
      <c r="G93" s="611">
        <v>-111.29</v>
      </c>
      <c r="H93" s="726">
        <v>45013</v>
      </c>
      <c r="I93" s="1961"/>
      <c r="J93" s="2058"/>
      <c r="K93" s="2181"/>
      <c r="L93" s="221" t="s">
        <v>4634</v>
      </c>
    </row>
    <row r="94" spans="1:12" s="178" customFormat="1" ht="15">
      <c r="A94" s="726">
        <v>45013</v>
      </c>
      <c r="B94" s="726" t="s">
        <v>2518</v>
      </c>
      <c r="C94" s="726" t="s">
        <v>4408</v>
      </c>
      <c r="D94" s="1568" t="s">
        <v>4633</v>
      </c>
      <c r="E94" s="611">
        <v>1891.6</v>
      </c>
      <c r="F94" s="731">
        <v>0</v>
      </c>
      <c r="G94" s="611">
        <v>1891.6</v>
      </c>
      <c r="H94" s="726">
        <v>45073</v>
      </c>
      <c r="I94" s="1961"/>
      <c r="J94" s="2058"/>
      <c r="K94" s="2181"/>
      <c r="L94" s="221"/>
    </row>
    <row r="95" spans="1:12" s="178" customFormat="1" ht="15">
      <c r="A95" s="726">
        <v>45026.000497685185</v>
      </c>
      <c r="B95" s="726" t="s">
        <v>2518</v>
      </c>
      <c r="C95" s="726" t="s">
        <v>4408</v>
      </c>
      <c r="D95" s="1568" t="s">
        <v>4718</v>
      </c>
      <c r="E95" s="611">
        <v>2003.18</v>
      </c>
      <c r="F95" s="731">
        <v>0</v>
      </c>
      <c r="G95" s="611">
        <v>2003.18</v>
      </c>
      <c r="H95" s="726">
        <v>45086</v>
      </c>
      <c r="I95" s="1961"/>
      <c r="J95" s="2058"/>
      <c r="K95" s="2181"/>
      <c r="L95" s="221"/>
    </row>
    <row r="96" spans="1:12" s="178" customFormat="1" ht="15">
      <c r="A96" s="726">
        <v>45036</v>
      </c>
      <c r="B96" s="726" t="s">
        <v>2518</v>
      </c>
      <c r="C96" s="726" t="s">
        <v>4408</v>
      </c>
      <c r="D96" s="1568" t="s">
        <v>4808</v>
      </c>
      <c r="E96" s="611">
        <v>3154.03</v>
      </c>
      <c r="F96" s="731">
        <v>0</v>
      </c>
      <c r="G96" s="611">
        <v>3154.03</v>
      </c>
      <c r="H96" s="726">
        <v>45096</v>
      </c>
      <c r="I96" s="1961"/>
      <c r="J96" s="2058"/>
      <c r="K96" s="2181"/>
      <c r="L96" s="221"/>
    </row>
    <row r="97" spans="1:12" s="178" customFormat="1" ht="15">
      <c r="A97" s="726">
        <v>45070</v>
      </c>
      <c r="B97" s="726" t="s">
        <v>2518</v>
      </c>
      <c r="C97" s="726" t="s">
        <v>4408</v>
      </c>
      <c r="D97" s="1568" t="s">
        <v>5208</v>
      </c>
      <c r="E97" s="611">
        <v>-16.13</v>
      </c>
      <c r="F97" s="731">
        <v>0</v>
      </c>
      <c r="G97" s="611">
        <v>-16.13</v>
      </c>
      <c r="H97" s="726"/>
      <c r="I97" s="1961"/>
      <c r="J97" s="2058"/>
      <c r="K97" s="2181"/>
      <c r="L97" s="221"/>
    </row>
    <row r="98" spans="1:12" s="178" customFormat="1" ht="15">
      <c r="A98" s="726">
        <v>45070</v>
      </c>
      <c r="B98" s="726" t="s">
        <v>2518</v>
      </c>
      <c r="C98" s="726" t="s">
        <v>4408</v>
      </c>
      <c r="D98" s="1568" t="s">
        <v>5209</v>
      </c>
      <c r="E98" s="611">
        <v>-338.88</v>
      </c>
      <c r="F98" s="731">
        <v>0</v>
      </c>
      <c r="G98" s="611">
        <v>-338.88</v>
      </c>
      <c r="H98" s="726"/>
      <c r="I98" s="1924"/>
      <c r="J98" s="2059"/>
      <c r="K98" s="2182"/>
      <c r="L98" s="221"/>
    </row>
    <row r="99" spans="1:12" s="178" customFormat="1" ht="15">
      <c r="A99" s="726">
        <v>45083</v>
      </c>
      <c r="B99" s="726" t="s">
        <v>2518</v>
      </c>
      <c r="C99" s="726" t="s">
        <v>4408</v>
      </c>
      <c r="D99" s="1568" t="s">
        <v>5329</v>
      </c>
      <c r="E99" s="611">
        <v>1872.33</v>
      </c>
      <c r="F99" s="731">
        <v>0</v>
      </c>
      <c r="G99" s="611">
        <v>1872.33</v>
      </c>
      <c r="H99" s="726">
        <v>45143</v>
      </c>
      <c r="I99" s="1923">
        <v>6558</v>
      </c>
      <c r="J99" s="1918">
        <v>45131</v>
      </c>
      <c r="K99" s="2172" t="s">
        <v>5705</v>
      </c>
      <c r="L99" s="221"/>
    </row>
    <row r="100" spans="1:12" s="178" customFormat="1" ht="15">
      <c r="A100" s="726">
        <v>45091</v>
      </c>
      <c r="B100" s="726" t="s">
        <v>2518</v>
      </c>
      <c r="C100" s="726" t="s">
        <v>4408</v>
      </c>
      <c r="D100" s="1568" t="s">
        <v>5378</v>
      </c>
      <c r="E100" s="611">
        <v>-268.31</v>
      </c>
      <c r="F100" s="731">
        <v>0</v>
      </c>
      <c r="G100" s="611">
        <v>-268.31</v>
      </c>
      <c r="H100" s="726">
        <v>45092</v>
      </c>
      <c r="I100" s="1961"/>
      <c r="J100" s="1919"/>
      <c r="K100" s="2173"/>
      <c r="L100" s="221" t="s">
        <v>5379</v>
      </c>
    </row>
    <row r="101" spans="1:12" s="178" customFormat="1" ht="15">
      <c r="A101" s="726">
        <v>45100</v>
      </c>
      <c r="B101" s="726" t="s">
        <v>2518</v>
      </c>
      <c r="C101" s="726" t="s">
        <v>4408</v>
      </c>
      <c r="D101" s="1568" t="s">
        <v>5408</v>
      </c>
      <c r="E101" s="611">
        <v>288</v>
      </c>
      <c r="F101" s="731">
        <v>0</v>
      </c>
      <c r="G101" s="611">
        <v>288</v>
      </c>
      <c r="H101" s="726">
        <v>45160</v>
      </c>
      <c r="I101" s="1961"/>
      <c r="J101" s="1919"/>
      <c r="K101" s="2173"/>
      <c r="L101" s="221"/>
    </row>
    <row r="102" spans="1:12" s="178" customFormat="1" ht="15">
      <c r="A102" s="726">
        <v>45100</v>
      </c>
      <c r="B102" s="726" t="s">
        <v>2518</v>
      </c>
      <c r="C102" s="726" t="s">
        <v>4408</v>
      </c>
      <c r="D102" s="1568" t="s">
        <v>5409</v>
      </c>
      <c r="E102" s="611">
        <v>1747.28</v>
      </c>
      <c r="F102" s="731">
        <v>0</v>
      </c>
      <c r="G102" s="611">
        <v>1747.28</v>
      </c>
      <c r="H102" s="726">
        <v>45160</v>
      </c>
      <c r="I102" s="1961"/>
      <c r="J102" s="1919"/>
      <c r="K102" s="2173"/>
      <c r="L102" s="221"/>
    </row>
    <row r="103" spans="1:12" s="178" customFormat="1" ht="15">
      <c r="A103" s="726">
        <v>45105</v>
      </c>
      <c r="B103" s="726" t="s">
        <v>2518</v>
      </c>
      <c r="C103" s="726" t="s">
        <v>4408</v>
      </c>
      <c r="D103" s="1568" t="s">
        <v>5487</v>
      </c>
      <c r="E103" s="611">
        <v>720</v>
      </c>
      <c r="F103" s="731">
        <v>0</v>
      </c>
      <c r="G103" s="611">
        <v>720</v>
      </c>
      <c r="H103" s="726">
        <v>45165</v>
      </c>
      <c r="I103" s="1961"/>
      <c r="J103" s="1919"/>
      <c r="K103" s="2173"/>
      <c r="L103" s="221"/>
    </row>
    <row r="104" spans="1:12" s="178" customFormat="1" ht="15">
      <c r="A104" s="726">
        <v>45114</v>
      </c>
      <c r="B104" s="726" t="s">
        <v>2518</v>
      </c>
      <c r="C104" s="726" t="s">
        <v>4408</v>
      </c>
      <c r="D104" s="1568" t="s">
        <v>5546</v>
      </c>
      <c r="E104" s="611">
        <v>1558.8</v>
      </c>
      <c r="F104" s="731">
        <v>0</v>
      </c>
      <c r="G104" s="611">
        <v>1558.8</v>
      </c>
      <c r="H104" s="726">
        <v>45174</v>
      </c>
      <c r="I104" s="1961"/>
      <c r="J104" s="1919"/>
      <c r="K104" s="2173"/>
      <c r="L104" s="221"/>
    </row>
    <row r="105" spans="1:12" s="178" customFormat="1" ht="15">
      <c r="A105" s="1903">
        <v>45125</v>
      </c>
      <c r="B105" s="1903" t="s">
        <v>2518</v>
      </c>
      <c r="C105" s="1903" t="s">
        <v>4408</v>
      </c>
      <c r="D105" s="1909" t="s">
        <v>5634</v>
      </c>
      <c r="E105" s="1951">
        <v>2604.6</v>
      </c>
      <c r="F105" s="1933">
        <v>0</v>
      </c>
      <c r="G105" s="611">
        <v>639.9</v>
      </c>
      <c r="H105" s="726">
        <v>45185</v>
      </c>
      <c r="I105" s="1924"/>
      <c r="J105" s="1920"/>
      <c r="K105" s="2174"/>
      <c r="L105" s="221"/>
    </row>
    <row r="106" spans="1:12" s="178" customFormat="1" ht="15">
      <c r="A106" s="1905"/>
      <c r="B106" s="1905"/>
      <c r="C106" s="1905"/>
      <c r="D106" s="1911"/>
      <c r="E106" s="1953"/>
      <c r="F106" s="1934"/>
      <c r="G106" s="611">
        <f>2604.6-639.9</f>
        <v>1964.6999999999998</v>
      </c>
      <c r="H106" s="726">
        <v>45185</v>
      </c>
      <c r="I106" s="1923">
        <v>6000</v>
      </c>
      <c r="J106" s="1918">
        <v>45175</v>
      </c>
      <c r="K106" s="2172" t="s">
        <v>6019</v>
      </c>
      <c r="L106" s="221"/>
    </row>
    <row r="107" spans="1:12" s="178" customFormat="1" ht="15">
      <c r="A107" s="726">
        <v>45125</v>
      </c>
      <c r="B107" s="726" t="s">
        <v>2518</v>
      </c>
      <c r="C107" s="726" t="s">
        <v>4408</v>
      </c>
      <c r="D107" s="1682" t="s">
        <v>5635</v>
      </c>
      <c r="E107" s="611">
        <v>1056</v>
      </c>
      <c r="F107" s="731">
        <v>0</v>
      </c>
      <c r="G107" s="611">
        <v>1056</v>
      </c>
      <c r="H107" s="726">
        <v>45185</v>
      </c>
      <c r="I107" s="1961"/>
      <c r="J107" s="1919"/>
      <c r="K107" s="2173"/>
      <c r="L107" s="221"/>
    </row>
    <row r="108" spans="1:12" s="178" customFormat="1" ht="15">
      <c r="A108" s="1941">
        <v>45162</v>
      </c>
      <c r="B108" s="1941" t="s">
        <v>2518</v>
      </c>
      <c r="C108" s="1941" t="s">
        <v>4408</v>
      </c>
      <c r="D108" s="1954" t="s">
        <v>5914</v>
      </c>
      <c r="E108" s="2186">
        <v>3168.34</v>
      </c>
      <c r="F108" s="2184">
        <v>0</v>
      </c>
      <c r="G108" s="611">
        <v>2979.3</v>
      </c>
      <c r="H108" s="726">
        <v>45222</v>
      </c>
      <c r="I108" s="1924"/>
      <c r="J108" s="1920"/>
      <c r="K108" s="2174"/>
      <c r="L108" s="221"/>
    </row>
    <row r="109" spans="1:12" s="178" customFormat="1" ht="15">
      <c r="A109" s="1942"/>
      <c r="B109" s="1942"/>
      <c r="C109" s="1942"/>
      <c r="D109" s="1955"/>
      <c r="E109" s="2187"/>
      <c r="F109" s="2185"/>
      <c r="G109" s="605">
        <f>3168.34-2979.3</f>
        <v>189.03999999999996</v>
      </c>
      <c r="H109" s="727">
        <v>45222</v>
      </c>
      <c r="I109" s="1671"/>
      <c r="J109" s="728"/>
      <c r="K109" s="1683"/>
      <c r="L109" s="221"/>
    </row>
    <row r="110" spans="1:12" s="178" customFormat="1" ht="15">
      <c r="A110" s="727">
        <v>45190</v>
      </c>
      <c r="B110" s="727" t="s">
        <v>2518</v>
      </c>
      <c r="C110" s="727" t="s">
        <v>4408</v>
      </c>
      <c r="D110" s="624" t="s">
        <v>6096</v>
      </c>
      <c r="E110" s="605">
        <v>-49.47</v>
      </c>
      <c r="F110" s="732">
        <v>0</v>
      </c>
      <c r="G110" s="605">
        <v>-49.48</v>
      </c>
      <c r="H110" s="727"/>
      <c r="I110" s="1562"/>
      <c r="J110" s="728"/>
      <c r="K110" s="1569"/>
      <c r="L110" s="221"/>
    </row>
    <row r="111" spans="1:12" s="178" customFormat="1" ht="15">
      <c r="A111" s="727">
        <v>45190</v>
      </c>
      <c r="B111" s="727" t="s">
        <v>2518</v>
      </c>
      <c r="C111" s="727" t="s">
        <v>4408</v>
      </c>
      <c r="D111" s="624" t="s">
        <v>6097</v>
      </c>
      <c r="E111" s="605">
        <v>-222.4</v>
      </c>
      <c r="F111" s="732">
        <v>0</v>
      </c>
      <c r="G111" s="605">
        <v>-222.4</v>
      </c>
      <c r="H111" s="727"/>
      <c r="I111" s="1562"/>
      <c r="J111" s="728"/>
      <c r="K111" s="1569"/>
      <c r="L111" s="221"/>
    </row>
    <row r="112" spans="1:12" s="178" customFormat="1" ht="15">
      <c r="A112" s="727">
        <v>45195</v>
      </c>
      <c r="B112" s="727" t="s">
        <v>2518</v>
      </c>
      <c r="C112" s="727" t="s">
        <v>4408</v>
      </c>
      <c r="D112" s="624" t="s">
        <v>6195</v>
      </c>
      <c r="E112" s="605">
        <v>1036.8</v>
      </c>
      <c r="F112" s="732">
        <v>0</v>
      </c>
      <c r="G112" s="605">
        <v>1036.8</v>
      </c>
      <c r="H112" s="727">
        <v>45254</v>
      </c>
      <c r="I112" s="1562"/>
      <c r="J112" s="728"/>
      <c r="K112" s="1569"/>
      <c r="L112" s="221"/>
    </row>
    <row r="113" spans="1:12" s="178" customFormat="1" ht="15">
      <c r="A113" s="727">
        <v>45195</v>
      </c>
      <c r="B113" s="727" t="s">
        <v>2518</v>
      </c>
      <c r="C113" s="727" t="s">
        <v>4408</v>
      </c>
      <c r="D113" s="624" t="s">
        <v>6196</v>
      </c>
      <c r="E113" s="605">
        <v>2032.65</v>
      </c>
      <c r="F113" s="732">
        <v>0</v>
      </c>
      <c r="G113" s="605">
        <v>2032.65</v>
      </c>
      <c r="H113" s="727">
        <v>45254</v>
      </c>
      <c r="I113" s="1562"/>
      <c r="J113" s="728"/>
      <c r="K113" s="1569"/>
      <c r="L113" s="221"/>
    </row>
    <row r="114" spans="1:12" s="178" customFormat="1" ht="15">
      <c r="A114" s="727">
        <v>45204</v>
      </c>
      <c r="B114" s="727" t="s">
        <v>2518</v>
      </c>
      <c r="C114" s="727" t="s">
        <v>4408</v>
      </c>
      <c r="D114" s="624" t="s">
        <v>6197</v>
      </c>
      <c r="E114" s="605">
        <v>1480.95</v>
      </c>
      <c r="F114" s="732">
        <v>0</v>
      </c>
      <c r="G114" s="605">
        <v>1480.95</v>
      </c>
      <c r="H114" s="727">
        <v>45263</v>
      </c>
      <c r="I114" s="1422"/>
      <c r="J114" s="728"/>
      <c r="K114" s="1429"/>
      <c r="L114" s="221"/>
    </row>
    <row r="115" spans="1:12" s="178" customFormat="1" ht="15">
      <c r="A115" s="727">
        <v>45212</v>
      </c>
      <c r="B115" s="727" t="s">
        <v>2518</v>
      </c>
      <c r="C115" s="727" t="s">
        <v>4408</v>
      </c>
      <c r="D115" s="624" t="s">
        <v>6318</v>
      </c>
      <c r="E115" s="605">
        <v>907.65</v>
      </c>
      <c r="F115" s="732">
        <v>0</v>
      </c>
      <c r="G115" s="605">
        <v>907.65</v>
      </c>
      <c r="H115" s="727">
        <v>45271</v>
      </c>
      <c r="I115" s="1732"/>
      <c r="J115" s="728"/>
      <c r="K115" s="1744"/>
      <c r="L115" s="221"/>
    </row>
    <row r="116" spans="1:12" s="178" customFormat="1" ht="15">
      <c r="A116" s="727">
        <v>45219.333831018521</v>
      </c>
      <c r="B116" s="727" t="s">
        <v>2518</v>
      </c>
      <c r="C116" s="727" t="s">
        <v>4408</v>
      </c>
      <c r="D116" s="624" t="s">
        <v>6357</v>
      </c>
      <c r="E116" s="605">
        <v>293.39999999999998</v>
      </c>
      <c r="F116" s="732">
        <v>0</v>
      </c>
      <c r="G116" s="605">
        <v>293.39999999999998</v>
      </c>
      <c r="H116" s="727">
        <v>45278.333831018521</v>
      </c>
      <c r="I116" s="1732"/>
      <c r="J116" s="728"/>
      <c r="K116" s="1744"/>
      <c r="L116" s="221"/>
    </row>
    <row r="117" spans="1:12" s="178" customFormat="1" ht="15">
      <c r="A117" s="727">
        <v>45219.333831018521</v>
      </c>
      <c r="B117" s="727" t="s">
        <v>2518</v>
      </c>
      <c r="C117" s="727" t="s">
        <v>4408</v>
      </c>
      <c r="D117" s="624" t="s">
        <v>6358</v>
      </c>
      <c r="E117" s="605">
        <v>1504.8</v>
      </c>
      <c r="F117" s="732">
        <v>0</v>
      </c>
      <c r="G117" s="605">
        <v>1504.8</v>
      </c>
      <c r="H117" s="727">
        <v>45278.333831018521</v>
      </c>
      <c r="I117" s="1732"/>
      <c r="J117" s="728"/>
      <c r="K117" s="1744"/>
      <c r="L117" s="221"/>
    </row>
    <row r="118" spans="1:12" s="178" customFormat="1" ht="15">
      <c r="A118" s="727">
        <v>45225</v>
      </c>
      <c r="B118" s="727" t="s">
        <v>2518</v>
      </c>
      <c r="C118" s="727" t="s">
        <v>4408</v>
      </c>
      <c r="D118" s="624" t="s">
        <v>6416</v>
      </c>
      <c r="E118" s="605">
        <v>872.55</v>
      </c>
      <c r="F118" s="732">
        <v>0</v>
      </c>
      <c r="G118" s="605">
        <v>872.55</v>
      </c>
      <c r="H118" s="727">
        <v>45284</v>
      </c>
      <c r="I118" s="1732"/>
      <c r="J118" s="728"/>
      <c r="K118" s="1744"/>
      <c r="L118" s="221"/>
    </row>
    <row r="119" spans="1:12" s="178" customFormat="1" ht="15">
      <c r="A119" s="727">
        <v>45233</v>
      </c>
      <c r="B119" s="727" t="s">
        <v>2518</v>
      </c>
      <c r="C119" s="727" t="s">
        <v>4408</v>
      </c>
      <c r="D119" s="624" t="s">
        <v>6472</v>
      </c>
      <c r="E119" s="605">
        <v>494.1</v>
      </c>
      <c r="F119" s="732">
        <v>0</v>
      </c>
      <c r="G119" s="605">
        <v>494.1</v>
      </c>
      <c r="H119" s="727">
        <v>45293</v>
      </c>
      <c r="I119" s="1732"/>
      <c r="J119" s="728"/>
      <c r="K119" s="1744"/>
      <c r="L119" s="221"/>
    </row>
    <row r="120" spans="1:12" s="178" customFormat="1" ht="15">
      <c r="A120" s="727"/>
      <c r="B120" s="727"/>
      <c r="C120" s="727"/>
      <c r="D120" s="624"/>
      <c r="E120" s="605"/>
      <c r="F120" s="732"/>
      <c r="G120" s="605"/>
      <c r="H120" s="727"/>
      <c r="I120" s="1732"/>
      <c r="J120" s="728"/>
      <c r="K120" s="1744"/>
      <c r="L120" s="221"/>
    </row>
    <row r="121" spans="1:12" s="178" customFormat="1" ht="15">
      <c r="A121" s="727"/>
      <c r="B121" s="727"/>
      <c r="C121" s="727"/>
      <c r="D121" s="624"/>
      <c r="E121" s="605"/>
      <c r="F121" s="732"/>
      <c r="G121" s="605"/>
      <c r="H121" s="727"/>
      <c r="I121" s="1212"/>
      <c r="J121" s="728"/>
      <c r="K121" s="1218"/>
      <c r="L121" s="221"/>
    </row>
    <row r="122" spans="1:12" s="178" customFormat="1" ht="15">
      <c r="A122" s="727"/>
      <c r="B122" s="727"/>
      <c r="C122" s="727"/>
      <c r="D122" s="624"/>
      <c r="E122" s="605"/>
      <c r="F122" s="732"/>
      <c r="G122" s="605"/>
      <c r="H122" s="727"/>
      <c r="I122" s="1060"/>
      <c r="J122" s="728"/>
      <c r="K122" s="1070"/>
      <c r="L122" s="1069"/>
    </row>
    <row r="123" spans="1:12" s="178" customFormat="1" ht="15">
      <c r="A123" s="727"/>
      <c r="B123" s="727"/>
      <c r="C123" s="727"/>
      <c r="D123" s="624"/>
      <c r="E123" s="605"/>
      <c r="F123" s="732"/>
      <c r="G123" s="605"/>
      <c r="H123" s="727"/>
      <c r="I123" s="719"/>
      <c r="J123" s="728"/>
      <c r="K123" s="568"/>
      <c r="L123" s="569"/>
    </row>
    <row r="124" spans="1:12" ht="15">
      <c r="A124" s="621"/>
      <c r="B124" s="1125"/>
      <c r="C124" s="1125"/>
      <c r="D124" s="619"/>
      <c r="E124" s="619"/>
      <c r="F124" s="1144" t="s">
        <v>545</v>
      </c>
      <c r="G124" s="729">
        <f>SUM(G34:G123)-SUM(I34:I123)</f>
        <v>8540.0599999999831</v>
      </c>
      <c r="H124" s="723"/>
      <c r="I124" s="730"/>
      <c r="J124" s="723"/>
      <c r="K124" s="132"/>
      <c r="L124" s="132"/>
    </row>
  </sheetData>
  <mergeCells count="78">
    <mergeCell ref="F108:F109"/>
    <mergeCell ref="K106:K108"/>
    <mergeCell ref="J106:J108"/>
    <mergeCell ref="I106:I108"/>
    <mergeCell ref="A108:A109"/>
    <mergeCell ref="B108:B109"/>
    <mergeCell ref="C108:C109"/>
    <mergeCell ref="D108:D109"/>
    <mergeCell ref="E108:E109"/>
    <mergeCell ref="B105:B106"/>
    <mergeCell ref="A105:A106"/>
    <mergeCell ref="F105:F106"/>
    <mergeCell ref="K99:K105"/>
    <mergeCell ref="K81:K88"/>
    <mergeCell ref="J81:J88"/>
    <mergeCell ref="I81:I88"/>
    <mergeCell ref="A90:A91"/>
    <mergeCell ref="K89:K90"/>
    <mergeCell ref="J89:J90"/>
    <mergeCell ref="I89:I90"/>
    <mergeCell ref="F90:F91"/>
    <mergeCell ref="E90:E91"/>
    <mergeCell ref="D90:D91"/>
    <mergeCell ref="C90:C91"/>
    <mergeCell ref="B90:B91"/>
    <mergeCell ref="J91:J98"/>
    <mergeCell ref="K91:K98"/>
    <mergeCell ref="I91:I98"/>
    <mergeCell ref="J2:J3"/>
    <mergeCell ref="J5:J8"/>
    <mergeCell ref="J12:J15"/>
    <mergeCell ref="D105:D106"/>
    <mergeCell ref="C105:C106"/>
    <mergeCell ref="J99:J105"/>
    <mergeCell ref="I99:I105"/>
    <mergeCell ref="E105:E106"/>
    <mergeCell ref="I2:I3"/>
    <mergeCell ref="I5:I8"/>
    <mergeCell ref="I12:I15"/>
    <mergeCell ref="I16:I23"/>
    <mergeCell ref="I24:I26"/>
    <mergeCell ref="J16:J23"/>
    <mergeCell ref="J24:J26"/>
    <mergeCell ref="I27:I30"/>
    <mergeCell ref="K2:K3"/>
    <mergeCell ref="K5:K8"/>
    <mergeCell ref="K12:K15"/>
    <mergeCell ref="K16:K23"/>
    <mergeCell ref="K24:K26"/>
    <mergeCell ref="K27:K30"/>
    <mergeCell ref="I31:I32"/>
    <mergeCell ref="J27:J30"/>
    <mergeCell ref="J31:J32"/>
    <mergeCell ref="J34:J38"/>
    <mergeCell ref="K31:K32"/>
    <mergeCell ref="K34:K38"/>
    <mergeCell ref="K51:K53"/>
    <mergeCell ref="J51:J53"/>
    <mergeCell ref="C41:C42"/>
    <mergeCell ref="B41:B42"/>
    <mergeCell ref="I34:I38"/>
    <mergeCell ref="A41:A42"/>
    <mergeCell ref="D41:D42"/>
    <mergeCell ref="F41:F42"/>
    <mergeCell ref="E41:E42"/>
    <mergeCell ref="I51:I53"/>
    <mergeCell ref="K67:K75"/>
    <mergeCell ref="J67:J75"/>
    <mergeCell ref="I67:I75"/>
    <mergeCell ref="I54:I66"/>
    <mergeCell ref="K54:K66"/>
    <mergeCell ref="J54:J66"/>
    <mergeCell ref="K76:K78"/>
    <mergeCell ref="J76:J78"/>
    <mergeCell ref="I76:I78"/>
    <mergeCell ref="K79:K80"/>
    <mergeCell ref="J79:J80"/>
    <mergeCell ref="I79:I80"/>
  </mergeCells>
  <phoneticPr fontId="15" type="noConversion"/>
  <hyperlinks>
    <hyperlink ref="F124" location="汇总!A1" display="剩余欠款"/>
  </hyperlinks>
  <pageMargins left="0.75" right="0.75" top="1" bottom="1" header="0.5" footer="0.5"/>
  <pageSetup paperSize="9" orientation="portrait" horizontalDpi="0" verticalDpi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L41"/>
  <sheetViews>
    <sheetView zoomScaleSheetLayoutView="100" workbookViewId="0">
      <pane ySplit="1" topLeftCell="A11" activePane="bottomLeft" state="frozen"/>
      <selection activeCell="C33" sqref="C33"/>
      <selection pane="bottomLeft" activeCell="F41" sqref="F41"/>
    </sheetView>
  </sheetViews>
  <sheetFormatPr defaultRowHeight="13.5"/>
  <cols>
    <col min="1" max="1" width="12.25" style="1095" customWidth="1"/>
    <col min="2" max="2" width="9" style="1095" bestFit="1" customWidth="1"/>
    <col min="3" max="3" width="26.125" style="1095" bestFit="1" customWidth="1"/>
    <col min="4" max="4" width="19" style="302" customWidth="1"/>
    <col min="5" max="6" width="12" style="302" customWidth="1"/>
    <col min="7" max="8" width="15.875" style="1095" customWidth="1"/>
    <col min="9" max="9" width="16.625" style="1095" customWidth="1"/>
    <col min="10" max="10" width="15.125" style="1095" customWidth="1"/>
    <col min="11" max="11" width="22.125" style="1095" customWidth="1"/>
    <col min="12" max="12" width="41.5" style="1095" customWidth="1"/>
    <col min="13" max="16384" width="9" style="1095"/>
  </cols>
  <sheetData>
    <row r="1" spans="1:12" s="96" customFormat="1" ht="18.75">
      <c r="A1" s="298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7" t="s">
        <v>2721</v>
      </c>
      <c r="H1" s="257" t="s">
        <v>4099</v>
      </c>
      <c r="I1" s="257" t="s">
        <v>3043</v>
      </c>
      <c r="J1" s="257" t="s">
        <v>4100</v>
      </c>
      <c r="K1" s="257" t="s">
        <v>541</v>
      </c>
      <c r="L1" s="257" t="s">
        <v>542</v>
      </c>
    </row>
    <row r="2" spans="1:12" ht="15">
      <c r="A2" s="1080">
        <v>43703</v>
      </c>
      <c r="B2" s="1124" t="s">
        <v>4141</v>
      </c>
      <c r="C2" s="1124" t="s">
        <v>4096</v>
      </c>
      <c r="D2" s="1076" t="s">
        <v>2741</v>
      </c>
      <c r="E2" s="718">
        <v>3898.1</v>
      </c>
      <c r="F2" s="718">
        <v>818.6</v>
      </c>
      <c r="G2" s="1077">
        <v>4716.7</v>
      </c>
      <c r="H2" s="1076"/>
      <c r="I2" s="2188">
        <v>4720</v>
      </c>
      <c r="J2" s="2017">
        <v>43704</v>
      </c>
      <c r="K2" s="180" t="s">
        <v>2744</v>
      </c>
      <c r="L2" s="305" t="s">
        <v>1865</v>
      </c>
    </row>
    <row r="3" spans="1:12" ht="15">
      <c r="A3" s="1080">
        <v>43703</v>
      </c>
      <c r="B3" s="1124" t="s">
        <v>4141</v>
      </c>
      <c r="C3" s="1124" t="s">
        <v>4096</v>
      </c>
      <c r="D3" s="1076" t="s">
        <v>2742</v>
      </c>
      <c r="E3" s="718">
        <v>2.73</v>
      </c>
      <c r="F3" s="718">
        <v>0.56999999999999995</v>
      </c>
      <c r="G3" s="1077">
        <v>3.3</v>
      </c>
      <c r="H3" s="1076"/>
      <c r="I3" s="2189"/>
      <c r="J3" s="2190"/>
      <c r="K3" s="182" t="s">
        <v>2745</v>
      </c>
      <c r="L3" s="306" t="s">
        <v>883</v>
      </c>
    </row>
    <row r="4" spans="1:12" ht="15">
      <c r="A4" s="1080">
        <v>43809</v>
      </c>
      <c r="B4" s="1124"/>
      <c r="C4" s="1124"/>
      <c r="D4" s="1076" t="s">
        <v>2743</v>
      </c>
      <c r="E4" s="718">
        <v>2806.24</v>
      </c>
      <c r="F4" s="994">
        <v>0</v>
      </c>
      <c r="G4" s="1077">
        <v>2806.24</v>
      </c>
      <c r="H4" s="1076"/>
      <c r="I4" s="733">
        <v>990</v>
      </c>
      <c r="J4" s="1080">
        <v>43810</v>
      </c>
      <c r="K4" s="182"/>
      <c r="L4" s="306" t="s">
        <v>884</v>
      </c>
    </row>
    <row r="5" spans="1:12" ht="15">
      <c r="A5" s="1096"/>
      <c r="B5" s="1124"/>
      <c r="C5" s="1124"/>
      <c r="D5" s="1097" t="s">
        <v>3101</v>
      </c>
      <c r="E5" s="718"/>
      <c r="F5" s="718"/>
      <c r="G5" s="1077">
        <f>G4-I4</f>
        <v>1816.2399999999998</v>
      </c>
      <c r="H5" s="1076"/>
      <c r="I5" s="733">
        <v>500</v>
      </c>
      <c r="J5" s="1080">
        <v>44018</v>
      </c>
      <c r="K5" s="182" t="s">
        <v>2745</v>
      </c>
      <c r="L5" s="306"/>
    </row>
    <row r="6" spans="1:12" ht="15">
      <c r="A6" s="1096"/>
      <c r="B6" s="1124"/>
      <c r="C6" s="1124"/>
      <c r="D6" s="1097" t="s">
        <v>3101</v>
      </c>
      <c r="E6" s="718"/>
      <c r="F6" s="718"/>
      <c r="G6" s="1077">
        <f>G5-I5</f>
        <v>1316.2399999999998</v>
      </c>
      <c r="H6" s="1076"/>
      <c r="I6" s="733">
        <v>500</v>
      </c>
      <c r="J6" s="1080">
        <v>44063</v>
      </c>
      <c r="K6" s="182" t="s">
        <v>2745</v>
      </c>
      <c r="L6" s="306"/>
    </row>
    <row r="7" spans="1:12" ht="15">
      <c r="A7" s="1096"/>
      <c r="B7" s="1124"/>
      <c r="C7" s="1124"/>
      <c r="D7" s="1097" t="s">
        <v>3101</v>
      </c>
      <c r="E7" s="718"/>
      <c r="F7" s="718"/>
      <c r="G7" s="1077">
        <f>G6-I6</f>
        <v>816.23999999999978</v>
      </c>
      <c r="H7" s="1080"/>
      <c r="I7" s="1974">
        <v>3012</v>
      </c>
      <c r="J7" s="1918">
        <v>44132</v>
      </c>
      <c r="K7" s="2172" t="s">
        <v>844</v>
      </c>
      <c r="L7" s="306"/>
    </row>
    <row r="8" spans="1:12" ht="15">
      <c r="A8" s="1080">
        <v>44040</v>
      </c>
      <c r="B8" s="1124" t="s">
        <v>4141</v>
      </c>
      <c r="C8" s="1124" t="s">
        <v>4096</v>
      </c>
      <c r="D8" s="1076" t="s">
        <v>886</v>
      </c>
      <c r="E8" s="718">
        <v>-142.4</v>
      </c>
      <c r="F8" s="994">
        <v>0</v>
      </c>
      <c r="G8" s="1077">
        <v>-142.4</v>
      </c>
      <c r="H8" s="1080"/>
      <c r="I8" s="1975"/>
      <c r="J8" s="1977"/>
      <c r="K8" s="2197"/>
      <c r="L8" s="306" t="s">
        <v>887</v>
      </c>
    </row>
    <row r="9" spans="1:12" ht="15">
      <c r="A9" s="1080">
        <v>44040</v>
      </c>
      <c r="B9" s="1124" t="s">
        <v>4141</v>
      </c>
      <c r="C9" s="1124" t="s">
        <v>4096</v>
      </c>
      <c r="D9" s="1076" t="s">
        <v>888</v>
      </c>
      <c r="E9" s="718">
        <v>-787.61</v>
      </c>
      <c r="F9" s="718">
        <v>-165.4</v>
      </c>
      <c r="G9" s="1077">
        <v>-953.01</v>
      </c>
      <c r="H9" s="1080" t="s">
        <v>1529</v>
      </c>
      <c r="I9" s="1975"/>
      <c r="J9" s="1977"/>
      <c r="K9" s="2197"/>
      <c r="L9" s="306" t="s">
        <v>887</v>
      </c>
    </row>
    <row r="10" spans="1:12" ht="15">
      <c r="A10" s="1080">
        <v>44061</v>
      </c>
      <c r="B10" s="1124" t="s">
        <v>4141</v>
      </c>
      <c r="C10" s="1124" t="s">
        <v>4096</v>
      </c>
      <c r="D10" s="1076" t="s">
        <v>889</v>
      </c>
      <c r="E10" s="718">
        <v>950.93</v>
      </c>
      <c r="F10" s="994">
        <v>0</v>
      </c>
      <c r="G10" s="1077">
        <v>950.93</v>
      </c>
      <c r="H10" s="1080">
        <v>44091</v>
      </c>
      <c r="I10" s="1975"/>
      <c r="J10" s="1977"/>
      <c r="K10" s="2197"/>
      <c r="L10" s="306"/>
    </row>
    <row r="11" spans="1:12" ht="15">
      <c r="A11" s="1080">
        <v>44069</v>
      </c>
      <c r="B11" s="1124" t="s">
        <v>4141</v>
      </c>
      <c r="C11" s="1124" t="s">
        <v>4096</v>
      </c>
      <c r="D11" s="1076" t="s">
        <v>890</v>
      </c>
      <c r="E11" s="718">
        <v>-950.93</v>
      </c>
      <c r="F11" s="994">
        <v>0</v>
      </c>
      <c r="G11" s="1077">
        <v>-950.93</v>
      </c>
      <c r="H11" s="1080" t="s">
        <v>1529</v>
      </c>
      <c r="I11" s="1975"/>
      <c r="J11" s="1977"/>
      <c r="K11" s="2197"/>
      <c r="L11" s="306" t="s">
        <v>891</v>
      </c>
    </row>
    <row r="12" spans="1:12" ht="15">
      <c r="A12" s="1080">
        <v>44085</v>
      </c>
      <c r="B12" s="1124" t="s">
        <v>4141</v>
      </c>
      <c r="C12" s="1124" t="s">
        <v>4096</v>
      </c>
      <c r="D12" s="1076" t="s">
        <v>892</v>
      </c>
      <c r="E12" s="718">
        <v>3192.43</v>
      </c>
      <c r="F12" s="994">
        <v>0</v>
      </c>
      <c r="G12" s="1077">
        <v>3192.43</v>
      </c>
      <c r="H12" s="1080">
        <v>44115</v>
      </c>
      <c r="I12" s="1976"/>
      <c r="J12" s="1930"/>
      <c r="K12" s="2198"/>
      <c r="L12" s="306" t="s">
        <v>893</v>
      </c>
    </row>
    <row r="13" spans="1:12" ht="15">
      <c r="A13" s="1096"/>
      <c r="B13" s="1124"/>
      <c r="C13" s="1124"/>
      <c r="D13" s="1097" t="s">
        <v>3101</v>
      </c>
      <c r="E13" s="718"/>
      <c r="F13" s="718"/>
      <c r="G13" s="1067">
        <v>-98.74</v>
      </c>
      <c r="H13" s="1080"/>
      <c r="I13" s="1348">
        <v>-98.74</v>
      </c>
      <c r="J13" s="1080">
        <v>44328</v>
      </c>
      <c r="K13" s="181" t="s">
        <v>809</v>
      </c>
      <c r="L13" s="306"/>
    </row>
    <row r="14" spans="1:12" ht="15">
      <c r="A14" s="1080">
        <v>44399</v>
      </c>
      <c r="B14" s="1124" t="s">
        <v>522</v>
      </c>
      <c r="C14" s="1124" t="s">
        <v>4096</v>
      </c>
      <c r="D14" s="1076" t="s">
        <v>894</v>
      </c>
      <c r="E14" s="718">
        <v>697.16</v>
      </c>
      <c r="F14" s="718">
        <v>146.4</v>
      </c>
      <c r="G14" s="1077">
        <v>843.56</v>
      </c>
      <c r="H14" s="1080">
        <v>44400</v>
      </c>
      <c r="I14" s="1343">
        <v>843.56</v>
      </c>
      <c r="J14" s="1080">
        <v>44418</v>
      </c>
      <c r="K14" s="181" t="s">
        <v>544</v>
      </c>
      <c r="L14" s="306"/>
    </row>
    <row r="15" spans="1:12" ht="15">
      <c r="A15" s="1080">
        <v>44557</v>
      </c>
      <c r="B15" s="1124" t="s">
        <v>522</v>
      </c>
      <c r="C15" s="1124" t="s">
        <v>4096</v>
      </c>
      <c r="D15" s="1076" t="s">
        <v>895</v>
      </c>
      <c r="E15" s="718">
        <v>905.85</v>
      </c>
      <c r="F15" s="718">
        <v>190.23</v>
      </c>
      <c r="G15" s="1077">
        <v>1096.08</v>
      </c>
      <c r="H15" s="1080">
        <v>44558</v>
      </c>
      <c r="I15" s="1343">
        <v>1096.08</v>
      </c>
      <c r="J15" s="1062">
        <v>44608</v>
      </c>
      <c r="K15" s="181" t="s">
        <v>544</v>
      </c>
      <c r="L15" s="306"/>
    </row>
    <row r="16" spans="1:12" ht="15">
      <c r="A16" s="1076"/>
      <c r="B16" s="1124"/>
      <c r="C16" s="1124"/>
      <c r="D16" s="1097" t="s">
        <v>3101</v>
      </c>
      <c r="E16" s="718"/>
      <c r="F16" s="718"/>
      <c r="G16" s="1077">
        <f>G15-I15</f>
        <v>0</v>
      </c>
      <c r="H16" s="1080"/>
      <c r="I16" s="1344"/>
      <c r="J16" s="1071"/>
      <c r="K16" s="183"/>
      <c r="L16" s="181"/>
    </row>
    <row r="17" spans="1:12" ht="15">
      <c r="A17" s="1083">
        <v>44740</v>
      </c>
      <c r="B17" s="1124" t="s">
        <v>522</v>
      </c>
      <c r="C17" s="1124" t="s">
        <v>4096</v>
      </c>
      <c r="D17" s="1098" t="s">
        <v>2363</v>
      </c>
      <c r="E17" s="718">
        <v>1319.8</v>
      </c>
      <c r="F17" s="718">
        <v>277.16000000000003</v>
      </c>
      <c r="G17" s="1084">
        <v>1596.96</v>
      </c>
      <c r="H17" s="1083">
        <v>44741</v>
      </c>
      <c r="I17" s="1344">
        <v>1596.96</v>
      </c>
      <c r="J17" s="1062">
        <v>44748</v>
      </c>
      <c r="K17" s="181" t="s">
        <v>544</v>
      </c>
      <c r="L17" s="181"/>
    </row>
    <row r="18" spans="1:12" ht="15">
      <c r="A18" s="1083">
        <v>44783</v>
      </c>
      <c r="B18" s="1124" t="s">
        <v>2518</v>
      </c>
      <c r="C18" s="1124" t="s">
        <v>4096</v>
      </c>
      <c r="D18" s="1098" t="s">
        <v>2678</v>
      </c>
      <c r="E18" s="718">
        <v>1516.58</v>
      </c>
      <c r="F18" s="994">
        <v>0</v>
      </c>
      <c r="G18" s="1084">
        <v>1516.58</v>
      </c>
      <c r="H18" s="1083">
        <v>44784.000497685185</v>
      </c>
      <c r="I18" s="1344">
        <v>1516.58</v>
      </c>
      <c r="J18" s="1062">
        <v>44837</v>
      </c>
      <c r="K18" s="183" t="s">
        <v>3207</v>
      </c>
      <c r="L18" s="181"/>
    </row>
    <row r="19" spans="1:12" s="972" customFormat="1" ht="15">
      <c r="A19" s="1083">
        <v>44852.000497685185</v>
      </c>
      <c r="B19" s="1124" t="s">
        <v>2518</v>
      </c>
      <c r="C19" s="1124" t="s">
        <v>4096</v>
      </c>
      <c r="D19" s="1098" t="s">
        <v>3298</v>
      </c>
      <c r="E19" s="718">
        <v>2131.0500000000002</v>
      </c>
      <c r="F19" s="994">
        <v>0</v>
      </c>
      <c r="G19" s="1084">
        <v>2131.0500000000002</v>
      </c>
      <c r="H19" s="1083">
        <v>44853.000497685185</v>
      </c>
      <c r="I19" s="718">
        <v>2131.0500000000002</v>
      </c>
      <c r="J19" s="1078">
        <v>44872</v>
      </c>
      <c r="K19" s="903" t="s">
        <v>3468</v>
      </c>
      <c r="L19" s="854"/>
    </row>
    <row r="20" spans="1:12" s="972" customFormat="1" ht="15">
      <c r="A20" s="1083">
        <v>44872</v>
      </c>
      <c r="B20" s="1124" t="s">
        <v>2518</v>
      </c>
      <c r="C20" s="1124" t="s">
        <v>4096</v>
      </c>
      <c r="D20" s="1098" t="s">
        <v>3444</v>
      </c>
      <c r="E20" s="718">
        <v>1932.3</v>
      </c>
      <c r="F20" s="994">
        <v>0</v>
      </c>
      <c r="G20" s="1084">
        <v>1932.3</v>
      </c>
      <c r="H20" s="1083">
        <v>44873</v>
      </c>
      <c r="I20" s="718">
        <v>1932.3</v>
      </c>
      <c r="J20" s="1078">
        <v>44914</v>
      </c>
      <c r="K20" s="903" t="s">
        <v>3810</v>
      </c>
      <c r="L20" s="854"/>
    </row>
    <row r="21" spans="1:12" s="972" customFormat="1" ht="15">
      <c r="A21" s="2193">
        <v>44915</v>
      </c>
      <c r="B21" s="1903" t="s">
        <v>2518</v>
      </c>
      <c r="C21" s="1903" t="s">
        <v>4096</v>
      </c>
      <c r="D21" s="2199" t="s">
        <v>3777</v>
      </c>
      <c r="E21" s="1923">
        <v>3100.73</v>
      </c>
      <c r="F21" s="1927">
        <v>0</v>
      </c>
      <c r="G21" s="1181">
        <v>1000</v>
      </c>
      <c r="H21" s="1180">
        <v>44916</v>
      </c>
      <c r="I21" s="718">
        <v>1000</v>
      </c>
      <c r="J21" s="1176">
        <v>44944</v>
      </c>
      <c r="K21" s="903" t="s">
        <v>550</v>
      </c>
      <c r="L21" s="854"/>
    </row>
    <row r="22" spans="1:12" s="972" customFormat="1" ht="15">
      <c r="A22" s="2194"/>
      <c r="B22" s="1905"/>
      <c r="C22" s="1905"/>
      <c r="D22" s="2200"/>
      <c r="E22" s="1924"/>
      <c r="F22" s="1928"/>
      <c r="G22" s="1181">
        <f>3100.73-1000</f>
        <v>2100.73</v>
      </c>
      <c r="H22" s="1180">
        <v>44916</v>
      </c>
      <c r="I22" s="718">
        <v>2100.73</v>
      </c>
      <c r="J22" s="1176">
        <v>44979</v>
      </c>
      <c r="K22" s="903" t="s">
        <v>550</v>
      </c>
      <c r="L22" s="854"/>
    </row>
    <row r="23" spans="1:12" s="972" customFormat="1" ht="15">
      <c r="A23" s="1222">
        <v>44943</v>
      </c>
      <c r="B23" s="1215" t="s">
        <v>2518</v>
      </c>
      <c r="C23" s="1215" t="s">
        <v>4096</v>
      </c>
      <c r="D23" s="1098" t="s">
        <v>3958</v>
      </c>
      <c r="E23" s="718">
        <v>1087.5</v>
      </c>
      <c r="F23" s="994">
        <v>0</v>
      </c>
      <c r="G23" s="1223">
        <v>1087.5</v>
      </c>
      <c r="H23" s="1222">
        <v>44973</v>
      </c>
      <c r="I23" s="718">
        <v>1087.5</v>
      </c>
      <c r="J23" s="1219">
        <v>44993</v>
      </c>
      <c r="K23" s="903" t="s">
        <v>550</v>
      </c>
      <c r="L23" s="854"/>
    </row>
    <row r="24" spans="1:12" s="972" customFormat="1" ht="15">
      <c r="A24" s="1489">
        <v>44944</v>
      </c>
      <c r="B24" s="1484" t="s">
        <v>2518</v>
      </c>
      <c r="C24" s="1484" t="s">
        <v>4096</v>
      </c>
      <c r="D24" s="1098" t="s">
        <v>3959</v>
      </c>
      <c r="E24" s="718">
        <v>387</v>
      </c>
      <c r="F24" s="994">
        <v>0</v>
      </c>
      <c r="G24" s="1490">
        <v>387</v>
      </c>
      <c r="H24" s="1489">
        <v>45004</v>
      </c>
      <c r="I24" s="2143">
        <v>1858.3</v>
      </c>
      <c r="J24" s="2193">
        <v>45040</v>
      </c>
      <c r="K24" s="2191" t="s">
        <v>5666</v>
      </c>
      <c r="L24" s="854"/>
    </row>
    <row r="25" spans="1:12" s="972" customFormat="1" ht="15">
      <c r="A25" s="1489">
        <v>44946</v>
      </c>
      <c r="B25" s="1484" t="s">
        <v>2518</v>
      </c>
      <c r="C25" s="1484" t="s">
        <v>4096</v>
      </c>
      <c r="D25" s="1098" t="s">
        <v>3960</v>
      </c>
      <c r="E25" s="718">
        <v>307.8</v>
      </c>
      <c r="F25" s="994">
        <v>0</v>
      </c>
      <c r="G25" s="1490">
        <v>307.8</v>
      </c>
      <c r="H25" s="1489">
        <v>45006</v>
      </c>
      <c r="I25" s="2145"/>
      <c r="J25" s="2196"/>
      <c r="K25" s="2195"/>
      <c r="L25" s="854"/>
    </row>
    <row r="26" spans="1:12" s="972" customFormat="1" ht="15">
      <c r="A26" s="1489">
        <v>44978</v>
      </c>
      <c r="B26" s="726" t="s">
        <v>2518</v>
      </c>
      <c r="C26" s="726" t="s">
        <v>4096</v>
      </c>
      <c r="D26" s="1098" t="s">
        <v>4221</v>
      </c>
      <c r="E26" s="718">
        <v>346</v>
      </c>
      <c r="F26" s="994">
        <v>0</v>
      </c>
      <c r="G26" s="1490">
        <v>346</v>
      </c>
      <c r="H26" s="1489">
        <v>45038</v>
      </c>
      <c r="I26" s="2145"/>
      <c r="J26" s="2196"/>
      <c r="K26" s="2195"/>
      <c r="L26" s="854"/>
    </row>
    <row r="27" spans="1:12" s="972" customFormat="1" ht="15">
      <c r="A27" s="1489">
        <v>44993</v>
      </c>
      <c r="B27" s="726" t="s">
        <v>2518</v>
      </c>
      <c r="C27" s="726" t="s">
        <v>4096</v>
      </c>
      <c r="D27" s="1098" t="s">
        <v>4437</v>
      </c>
      <c r="E27" s="718">
        <v>817.5</v>
      </c>
      <c r="F27" s="994">
        <v>0</v>
      </c>
      <c r="G27" s="1490">
        <v>817.5</v>
      </c>
      <c r="H27" s="1489">
        <v>44993</v>
      </c>
      <c r="I27" s="2144"/>
      <c r="J27" s="2194"/>
      <c r="K27" s="2192"/>
      <c r="L27" s="854"/>
    </row>
    <row r="28" spans="1:12" s="972" customFormat="1" ht="15">
      <c r="A28" s="1489">
        <v>44978</v>
      </c>
      <c r="B28" s="726" t="s">
        <v>2518</v>
      </c>
      <c r="C28" s="726" t="s">
        <v>4096</v>
      </c>
      <c r="D28" s="1098" t="s">
        <v>4222</v>
      </c>
      <c r="E28" s="718">
        <v>1455.3</v>
      </c>
      <c r="F28" s="994">
        <v>0</v>
      </c>
      <c r="G28" s="1490">
        <v>1455.3</v>
      </c>
      <c r="H28" s="1489">
        <v>45038</v>
      </c>
      <c r="I28" s="2143">
        <v>2851.58</v>
      </c>
      <c r="J28" s="2193">
        <v>45096</v>
      </c>
      <c r="K28" s="2191" t="s">
        <v>5932</v>
      </c>
      <c r="L28" s="854"/>
    </row>
    <row r="29" spans="1:12" s="972" customFormat="1" ht="15">
      <c r="A29" s="1489">
        <v>45041</v>
      </c>
      <c r="B29" s="726" t="s">
        <v>2518</v>
      </c>
      <c r="C29" s="726" t="s">
        <v>4096</v>
      </c>
      <c r="D29" s="1098" t="s">
        <v>4869</v>
      </c>
      <c r="E29" s="718">
        <v>1396.28</v>
      </c>
      <c r="F29" s="994">
        <v>0</v>
      </c>
      <c r="G29" s="1490">
        <v>1396.28</v>
      </c>
      <c r="H29" s="1489">
        <v>45101</v>
      </c>
      <c r="I29" s="2144"/>
      <c r="J29" s="2194"/>
      <c r="K29" s="2192"/>
      <c r="L29" s="854"/>
    </row>
    <row r="30" spans="1:12" s="972" customFormat="1" ht="27">
      <c r="A30" s="2193">
        <v>45092</v>
      </c>
      <c r="B30" s="1903" t="s">
        <v>2518</v>
      </c>
      <c r="C30" s="1903" t="s">
        <v>4096</v>
      </c>
      <c r="D30" s="2199" t="s">
        <v>5380</v>
      </c>
      <c r="E30" s="2143">
        <v>6128.78</v>
      </c>
      <c r="F30" s="2201">
        <v>0</v>
      </c>
      <c r="G30" s="1808">
        <v>2128.7800000000002</v>
      </c>
      <c r="H30" s="1807">
        <v>45152</v>
      </c>
      <c r="I30" s="718">
        <v>2128.7800000000002</v>
      </c>
      <c r="J30" s="1802">
        <v>45125</v>
      </c>
      <c r="K30" s="1560" t="s">
        <v>5667</v>
      </c>
      <c r="L30" s="854"/>
    </row>
    <row r="31" spans="1:12" s="972" customFormat="1" ht="15">
      <c r="A31" s="2196"/>
      <c r="B31" s="1904"/>
      <c r="C31" s="1904"/>
      <c r="D31" s="2204"/>
      <c r="E31" s="2145"/>
      <c r="F31" s="2202"/>
      <c r="G31" s="1808">
        <v>2000</v>
      </c>
      <c r="H31" s="1807">
        <v>45152</v>
      </c>
      <c r="I31" s="718">
        <v>2000</v>
      </c>
      <c r="J31" s="1802">
        <v>45162</v>
      </c>
      <c r="K31" s="1560" t="s">
        <v>5933</v>
      </c>
      <c r="L31" s="854"/>
    </row>
    <row r="32" spans="1:12" s="972" customFormat="1" ht="15">
      <c r="A32" s="2196"/>
      <c r="B32" s="1904"/>
      <c r="C32" s="1904"/>
      <c r="D32" s="2204"/>
      <c r="E32" s="2145"/>
      <c r="F32" s="2202"/>
      <c r="G32" s="1808">
        <v>999.99999999999955</v>
      </c>
      <c r="H32" s="1807">
        <v>45152</v>
      </c>
      <c r="I32" s="718">
        <v>999.99999999999955</v>
      </c>
      <c r="J32" s="1802">
        <v>45196</v>
      </c>
      <c r="K32" s="1560" t="s">
        <v>5230</v>
      </c>
      <c r="L32" s="854"/>
    </row>
    <row r="33" spans="1:12" s="972" customFormat="1" ht="15">
      <c r="A33" s="2194"/>
      <c r="B33" s="1905"/>
      <c r="C33" s="1905"/>
      <c r="D33" s="2200"/>
      <c r="E33" s="2144"/>
      <c r="F33" s="2203"/>
      <c r="G33" s="1808">
        <f>6128.78-2128.78-2000-1000</f>
        <v>999.99999999999955</v>
      </c>
      <c r="H33" s="1807">
        <v>45152</v>
      </c>
      <c r="I33" s="718">
        <v>999.99999999999955</v>
      </c>
      <c r="J33" s="1802">
        <v>45229</v>
      </c>
      <c r="K33" s="1560" t="s">
        <v>5230</v>
      </c>
      <c r="L33" s="854"/>
    </row>
    <row r="34" spans="1:12" s="972" customFormat="1" ht="15">
      <c r="A34" s="601">
        <v>45117</v>
      </c>
      <c r="B34" s="727" t="s">
        <v>2518</v>
      </c>
      <c r="C34" s="727" t="s">
        <v>4096</v>
      </c>
      <c r="D34" s="1099" t="s">
        <v>5587</v>
      </c>
      <c r="E34" s="720">
        <v>7449.98</v>
      </c>
      <c r="F34" s="771">
        <v>0</v>
      </c>
      <c r="G34" s="699">
        <v>7449.98</v>
      </c>
      <c r="H34" s="601">
        <v>45177</v>
      </c>
      <c r="I34" s="720"/>
      <c r="J34" s="1536"/>
      <c r="K34" s="853"/>
      <c r="L34" s="854"/>
    </row>
    <row r="35" spans="1:12" s="972" customFormat="1" ht="15">
      <c r="A35" s="601">
        <v>45225</v>
      </c>
      <c r="B35" s="727" t="s">
        <v>2518</v>
      </c>
      <c r="C35" s="727" t="s">
        <v>4096</v>
      </c>
      <c r="D35" s="1099" t="s">
        <v>6417</v>
      </c>
      <c r="E35" s="720">
        <v>3221.59</v>
      </c>
      <c r="F35" s="771">
        <v>0</v>
      </c>
      <c r="G35" s="699">
        <v>3221.59</v>
      </c>
      <c r="H35" s="601">
        <v>45284</v>
      </c>
      <c r="I35" s="720"/>
      <c r="J35" s="1536"/>
      <c r="K35" s="853"/>
      <c r="L35" s="854"/>
    </row>
    <row r="36" spans="1:12" s="972" customFormat="1" ht="15">
      <c r="A36" s="601"/>
      <c r="B36" s="727"/>
      <c r="C36" s="727"/>
      <c r="D36" s="1099"/>
      <c r="E36" s="720"/>
      <c r="F36" s="771"/>
      <c r="G36" s="699"/>
      <c r="H36" s="601"/>
      <c r="I36" s="720"/>
      <c r="J36" s="1536"/>
      <c r="K36" s="853"/>
      <c r="L36" s="854"/>
    </row>
    <row r="37" spans="1:12" s="972" customFormat="1" ht="15">
      <c r="A37" s="601"/>
      <c r="B37" s="727"/>
      <c r="C37" s="727"/>
      <c r="D37" s="1099"/>
      <c r="E37" s="720"/>
      <c r="F37" s="771"/>
      <c r="G37" s="699"/>
      <c r="H37" s="601"/>
      <c r="I37" s="720"/>
      <c r="J37" s="1353"/>
      <c r="K37" s="853"/>
      <c r="L37" s="854"/>
    </row>
    <row r="38" spans="1:12" s="972" customFormat="1" ht="15">
      <c r="A38" s="601"/>
      <c r="B38" s="727"/>
      <c r="C38" s="727"/>
      <c r="D38" s="1099"/>
      <c r="E38" s="720"/>
      <c r="F38" s="771"/>
      <c r="G38" s="699"/>
      <c r="H38" s="601"/>
      <c r="I38" s="720"/>
      <c r="J38" s="1175"/>
      <c r="K38" s="853"/>
      <c r="L38" s="854"/>
    </row>
    <row r="39" spans="1:12" s="972" customFormat="1" ht="15">
      <c r="A39" s="601"/>
      <c r="B39" s="1143"/>
      <c r="C39" s="1143"/>
      <c r="D39" s="1099"/>
      <c r="E39" s="720"/>
      <c r="F39" s="771"/>
      <c r="G39" s="699"/>
      <c r="H39" s="601"/>
      <c r="I39" s="720"/>
      <c r="J39" s="1075"/>
      <c r="K39" s="853"/>
      <c r="L39" s="854"/>
    </row>
    <row r="40" spans="1:12" s="972" customFormat="1" ht="15">
      <c r="A40" s="601"/>
      <c r="B40" s="1143"/>
      <c r="C40" s="1143"/>
      <c r="D40" s="1099"/>
      <c r="E40" s="720"/>
      <c r="F40" s="771"/>
      <c r="G40" s="699"/>
      <c r="H40" s="601"/>
      <c r="I40" s="720"/>
      <c r="J40" s="1075"/>
      <c r="K40" s="853"/>
      <c r="L40" s="854"/>
    </row>
    <row r="41" spans="1:12" ht="15">
      <c r="A41" s="1083"/>
      <c r="B41" s="1140"/>
      <c r="C41" s="1140"/>
      <c r="D41" s="1076"/>
      <c r="E41" s="702"/>
      <c r="F41" s="1144" t="s">
        <v>545</v>
      </c>
      <c r="G41" s="729">
        <f>SUM(G16:G40)-SUM(I16:I40)</f>
        <v>10671.57</v>
      </c>
      <c r="H41" s="1076"/>
      <c r="I41" s="1349"/>
      <c r="J41" s="1062"/>
      <c r="K41" s="182"/>
      <c r="L41" s="181"/>
    </row>
  </sheetData>
  <mergeCells count="23">
    <mergeCell ref="A30:A33"/>
    <mergeCell ref="K7:K12"/>
    <mergeCell ref="F21:F22"/>
    <mergeCell ref="E21:E22"/>
    <mergeCell ref="C21:C22"/>
    <mergeCell ref="B21:B22"/>
    <mergeCell ref="D21:D22"/>
    <mergeCell ref="A21:A22"/>
    <mergeCell ref="F30:F33"/>
    <mergeCell ref="E30:E33"/>
    <mergeCell ref="D30:D33"/>
    <mergeCell ref="C30:C33"/>
    <mergeCell ref="B30:B33"/>
    <mergeCell ref="I2:I3"/>
    <mergeCell ref="I7:I12"/>
    <mergeCell ref="J2:J3"/>
    <mergeCell ref="J7:J12"/>
    <mergeCell ref="K28:K29"/>
    <mergeCell ref="J28:J29"/>
    <mergeCell ref="I28:I29"/>
    <mergeCell ref="K24:K27"/>
    <mergeCell ref="J24:J27"/>
    <mergeCell ref="I24:I27"/>
  </mergeCells>
  <phoneticPr fontId="15" type="noConversion"/>
  <hyperlinks>
    <hyperlink ref="F41" location="汇总!A1" display="剩余欠款"/>
  </hyperlinks>
  <pageMargins left="0.75" right="0.75" top="1" bottom="1" header="0.5" footer="0.5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L17"/>
  <sheetViews>
    <sheetView workbookViewId="0">
      <pane ySplit="1" topLeftCell="A2" activePane="bottomLeft" state="frozen"/>
      <selection activeCell="C33" sqref="C33"/>
      <selection pane="bottomLeft" activeCell="F14" sqref="F14"/>
    </sheetView>
  </sheetViews>
  <sheetFormatPr defaultRowHeight="14.25"/>
  <cols>
    <col min="1" max="1" width="12" style="96" bestFit="1" customWidth="1"/>
    <col min="2" max="2" width="8.875" style="96" bestFit="1" customWidth="1"/>
    <col min="3" max="3" width="26.625" style="96" bestFit="1" customWidth="1"/>
    <col min="4" max="4" width="15" style="96" bestFit="1" customWidth="1"/>
    <col min="5" max="6" width="11.625" style="96" customWidth="1"/>
    <col min="7" max="7" width="11.5" bestFit="1" customWidth="1"/>
    <col min="8" max="8" width="16.75" bestFit="1" customWidth="1"/>
    <col min="9" max="9" width="14.125" bestFit="1" customWidth="1"/>
    <col min="10" max="10" width="12" bestFit="1" customWidth="1"/>
    <col min="11" max="11" width="11.375" bestFit="1" customWidth="1"/>
    <col min="12" max="12" width="6.5" bestFit="1" customWidth="1"/>
  </cols>
  <sheetData>
    <row r="1" spans="1:12" s="96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6" t="s">
        <v>542</v>
      </c>
    </row>
    <row r="2" spans="1:12" ht="15">
      <c r="A2" s="632">
        <v>44641</v>
      </c>
      <c r="B2" s="1124" t="s">
        <v>521</v>
      </c>
      <c r="C2" s="1254" t="s">
        <v>4597</v>
      </c>
      <c r="D2" s="615" t="s">
        <v>1783</v>
      </c>
      <c r="E2" s="611">
        <v>5008.41</v>
      </c>
      <c r="F2" s="731">
        <v>0</v>
      </c>
      <c r="G2" s="611">
        <v>5008.41</v>
      </c>
      <c r="H2" s="632">
        <v>44642</v>
      </c>
      <c r="I2" s="611">
        <v>5008.41</v>
      </c>
      <c r="J2" s="632">
        <v>44708</v>
      </c>
      <c r="K2" s="399" t="s">
        <v>2169</v>
      </c>
      <c r="L2" s="113"/>
    </row>
    <row r="3" spans="1:12" ht="15">
      <c r="A3" s="632">
        <v>44692</v>
      </c>
      <c r="B3" s="1124" t="s">
        <v>521</v>
      </c>
      <c r="C3" s="1254" t="s">
        <v>4597</v>
      </c>
      <c r="D3" s="615" t="s">
        <v>2089</v>
      </c>
      <c r="E3" s="611">
        <v>768.8</v>
      </c>
      <c r="F3" s="611">
        <v>161.44999999999999</v>
      </c>
      <c r="G3" s="611">
        <v>930.25</v>
      </c>
      <c r="H3" s="632">
        <v>44693</v>
      </c>
      <c r="I3" s="611">
        <v>930.25</v>
      </c>
      <c r="J3" s="632">
        <v>44708</v>
      </c>
      <c r="K3" s="399" t="s">
        <v>2169</v>
      </c>
      <c r="L3" s="113"/>
    </row>
    <row r="4" spans="1:12" ht="15">
      <c r="A4" s="632">
        <v>44643</v>
      </c>
      <c r="B4" s="1124" t="s">
        <v>521</v>
      </c>
      <c r="C4" s="1254" t="s">
        <v>4597</v>
      </c>
      <c r="D4" s="615" t="s">
        <v>1784</v>
      </c>
      <c r="E4" s="611">
        <v>150.84</v>
      </c>
      <c r="F4" s="731">
        <v>0</v>
      </c>
      <c r="G4" s="611">
        <v>150.84</v>
      </c>
      <c r="H4" s="632">
        <v>44644</v>
      </c>
      <c r="I4" s="1923">
        <v>5083.82</v>
      </c>
      <c r="J4" s="1903">
        <v>44767</v>
      </c>
      <c r="K4" s="1935" t="s">
        <v>2583</v>
      </c>
      <c r="L4" s="2135"/>
    </row>
    <row r="5" spans="1:12" ht="15">
      <c r="A5" s="632">
        <v>44698</v>
      </c>
      <c r="B5" s="1124" t="s">
        <v>521</v>
      </c>
      <c r="C5" s="1254" t="s">
        <v>4597</v>
      </c>
      <c r="D5" s="615" t="s">
        <v>2129</v>
      </c>
      <c r="E5" s="611">
        <v>1533.03</v>
      </c>
      <c r="F5" s="731">
        <v>0</v>
      </c>
      <c r="G5" s="611">
        <v>1533.03</v>
      </c>
      <c r="H5" s="632">
        <v>44699</v>
      </c>
      <c r="I5" s="1961"/>
      <c r="J5" s="1904"/>
      <c r="K5" s="1950"/>
      <c r="L5" s="2136"/>
    </row>
    <row r="6" spans="1:12" ht="15">
      <c r="A6" s="632">
        <v>44708</v>
      </c>
      <c r="B6" s="1124" t="s">
        <v>521</v>
      </c>
      <c r="C6" s="1254" t="s">
        <v>4597</v>
      </c>
      <c r="D6" s="615" t="s">
        <v>2172</v>
      </c>
      <c r="E6" s="611">
        <v>2199.1999999999998</v>
      </c>
      <c r="F6" s="731">
        <v>0</v>
      </c>
      <c r="G6" s="611">
        <v>2199.1999999999998</v>
      </c>
      <c r="H6" s="632">
        <v>44709</v>
      </c>
      <c r="I6" s="1961"/>
      <c r="J6" s="1904"/>
      <c r="K6" s="1950"/>
      <c r="L6" s="2136"/>
    </row>
    <row r="7" spans="1:12" ht="15">
      <c r="A7" s="632">
        <v>44712</v>
      </c>
      <c r="B7" s="1124" t="s">
        <v>521</v>
      </c>
      <c r="C7" s="1254" t="s">
        <v>4597</v>
      </c>
      <c r="D7" s="615" t="s">
        <v>2230</v>
      </c>
      <c r="E7" s="611">
        <v>530</v>
      </c>
      <c r="F7" s="731">
        <v>0</v>
      </c>
      <c r="G7" s="611">
        <v>530</v>
      </c>
      <c r="H7" s="632">
        <v>44713</v>
      </c>
      <c r="I7" s="1961"/>
      <c r="J7" s="1904"/>
      <c r="K7" s="1950"/>
      <c r="L7" s="2136"/>
    </row>
    <row r="8" spans="1:12" ht="15">
      <c r="A8" s="632">
        <v>44726</v>
      </c>
      <c r="B8" s="1124" t="s">
        <v>521</v>
      </c>
      <c r="C8" s="1124" t="s">
        <v>4597</v>
      </c>
      <c r="D8" s="615" t="s">
        <v>2294</v>
      </c>
      <c r="E8" s="611">
        <v>670.75</v>
      </c>
      <c r="F8" s="731">
        <v>0</v>
      </c>
      <c r="G8" s="611">
        <v>670.75</v>
      </c>
      <c r="H8" s="632">
        <v>44727</v>
      </c>
      <c r="I8" s="1924"/>
      <c r="J8" s="1905"/>
      <c r="K8" s="1947"/>
      <c r="L8" s="2137"/>
    </row>
    <row r="9" spans="1:12" ht="15">
      <c r="A9" s="632"/>
      <c r="B9" s="1126"/>
      <c r="C9" s="1126"/>
      <c r="D9" s="615"/>
      <c r="E9" s="615"/>
      <c r="F9" s="615"/>
      <c r="G9" s="611"/>
      <c r="H9" s="632"/>
      <c r="I9" s="611"/>
      <c r="J9" s="632"/>
      <c r="K9" s="399"/>
      <c r="L9" s="113"/>
    </row>
    <row r="10" spans="1:12" ht="15">
      <c r="A10" s="632"/>
      <c r="B10" s="1126"/>
      <c r="C10" s="1126"/>
      <c r="D10" s="648"/>
      <c r="E10" s="648"/>
      <c r="F10" s="648"/>
      <c r="G10" s="611"/>
      <c r="H10" s="632"/>
      <c r="I10" s="611"/>
      <c r="J10" s="632"/>
      <c r="K10" s="399"/>
      <c r="L10" s="113"/>
    </row>
    <row r="11" spans="1:12" ht="15">
      <c r="A11" s="632"/>
      <c r="B11" s="1126"/>
      <c r="C11" s="1126"/>
      <c r="D11" s="615"/>
      <c r="E11" s="615"/>
      <c r="F11" s="615"/>
      <c r="G11" s="611"/>
      <c r="H11" s="632"/>
      <c r="I11" s="611"/>
      <c r="J11" s="632"/>
      <c r="K11" s="399"/>
      <c r="L11" s="113"/>
    </row>
    <row r="12" spans="1:12" ht="15">
      <c r="A12" s="632"/>
      <c r="B12" s="1126"/>
      <c r="C12" s="1126"/>
      <c r="D12" s="615"/>
      <c r="E12" s="615"/>
      <c r="F12" s="615"/>
      <c r="G12" s="611"/>
      <c r="H12" s="632"/>
      <c r="I12" s="611"/>
      <c r="J12" s="632"/>
      <c r="K12" s="399"/>
      <c r="L12" s="113"/>
    </row>
    <row r="13" spans="1:12" ht="15">
      <c r="A13" s="632"/>
      <c r="B13" s="1126"/>
      <c r="C13" s="1126"/>
      <c r="D13" s="615"/>
      <c r="E13" s="615"/>
      <c r="F13" s="615"/>
      <c r="G13" s="611"/>
      <c r="H13" s="632"/>
      <c r="I13" s="611"/>
      <c r="J13" s="632"/>
      <c r="K13" s="399"/>
      <c r="L13" s="113"/>
    </row>
    <row r="14" spans="1:12" ht="15">
      <c r="A14" s="632"/>
      <c r="B14" s="1126"/>
      <c r="C14" s="1126"/>
      <c r="D14" s="615"/>
      <c r="E14" s="616"/>
      <c r="F14" s="1144" t="s">
        <v>545</v>
      </c>
      <c r="G14" s="617">
        <f>SUM(G2:G13)-SUM(I2:I13)</f>
        <v>0</v>
      </c>
      <c r="H14" s="632"/>
      <c r="I14" s="611"/>
      <c r="J14" s="632"/>
      <c r="K14" s="399"/>
      <c r="L14" s="113"/>
    </row>
    <row r="17" spans="7:7">
      <c r="G17" s="114"/>
    </row>
  </sheetData>
  <mergeCells count="4">
    <mergeCell ref="I4:I8"/>
    <mergeCell ref="K4:K8"/>
    <mergeCell ref="J4:J8"/>
    <mergeCell ref="L4:L8"/>
  </mergeCells>
  <phoneticPr fontId="15" type="noConversion"/>
  <hyperlinks>
    <hyperlink ref="F14" location="汇总!A1" display="剩余欠款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26"/>
  <sheetViews>
    <sheetView workbookViewId="0">
      <pane ySplit="1" topLeftCell="A2" activePane="bottomLeft" state="frozen"/>
      <selection pane="bottomLeft" activeCell="F17" sqref="F17"/>
    </sheetView>
  </sheetViews>
  <sheetFormatPr defaultColWidth="8.75" defaultRowHeight="14.25"/>
  <cols>
    <col min="1" max="2" width="11.25" style="271" customWidth="1"/>
    <col min="3" max="3" width="17.25" style="271" bestFit="1" customWidth="1"/>
    <col min="4" max="4" width="13.875" style="135" bestFit="1" customWidth="1"/>
    <col min="5" max="5" width="13.875" style="135" customWidth="1"/>
    <col min="6" max="6" width="10.75" style="135" customWidth="1"/>
    <col min="7" max="7" width="11.5" style="173" bestFit="1" customWidth="1"/>
    <col min="8" max="8" width="15.75" style="173" customWidth="1"/>
    <col min="9" max="9" width="13.375" style="173" customWidth="1"/>
    <col min="10" max="10" width="12" style="173" bestFit="1" customWidth="1"/>
    <col min="11" max="11" width="12" style="173" customWidth="1"/>
    <col min="12" max="12" width="39.875" style="173" customWidth="1"/>
    <col min="13" max="13" width="8.75" style="173" bestFit="1"/>
    <col min="14" max="16384" width="8.75" style="173"/>
  </cols>
  <sheetData>
    <row r="1" spans="1:12" s="102" customFormat="1" ht="18.75">
      <c r="A1" s="255" t="s">
        <v>536</v>
      </c>
      <c r="B1" s="255" t="s">
        <v>516</v>
      </c>
      <c r="C1" s="255" t="s">
        <v>515</v>
      </c>
      <c r="D1" s="256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6" t="s">
        <v>4100</v>
      </c>
      <c r="K1" s="257" t="s">
        <v>541</v>
      </c>
      <c r="L1" s="256" t="s">
        <v>542</v>
      </c>
    </row>
    <row r="2" spans="1:12" s="102" customFormat="1" ht="15">
      <c r="A2" s="620">
        <v>44414</v>
      </c>
      <c r="B2" s="1124" t="s">
        <v>518</v>
      </c>
      <c r="C2" s="1124" t="s">
        <v>4148</v>
      </c>
      <c r="D2" s="621" t="s">
        <v>1821</v>
      </c>
      <c r="E2" s="613">
        <v>3740.13</v>
      </c>
      <c r="F2" s="614">
        <v>0</v>
      </c>
      <c r="G2" s="622">
        <v>3740.13</v>
      </c>
      <c r="H2" s="620">
        <v>44444</v>
      </c>
      <c r="I2" s="622">
        <v>3740.13</v>
      </c>
      <c r="J2" s="620">
        <v>44467</v>
      </c>
      <c r="K2" s="227" t="s">
        <v>544</v>
      </c>
      <c r="L2" s="88"/>
    </row>
    <row r="3" spans="1:12" s="102" customFormat="1" ht="15">
      <c r="A3" s="620">
        <v>44601</v>
      </c>
      <c r="B3" s="1124" t="s">
        <v>518</v>
      </c>
      <c r="C3" s="1124" t="s">
        <v>4148</v>
      </c>
      <c r="D3" s="621" t="s">
        <v>1824</v>
      </c>
      <c r="E3" s="613">
        <v>2156.0300000000002</v>
      </c>
      <c r="F3" s="614">
        <v>0</v>
      </c>
      <c r="G3" s="622">
        <v>2156.0300000000002</v>
      </c>
      <c r="H3" s="620">
        <v>44602</v>
      </c>
      <c r="I3" s="622">
        <v>2156.0300000000002</v>
      </c>
      <c r="J3" s="620">
        <v>44605</v>
      </c>
      <c r="K3" s="227" t="s">
        <v>544</v>
      </c>
      <c r="L3" s="88"/>
    </row>
    <row r="4" spans="1:12" s="102" customFormat="1" ht="15">
      <c r="A4" s="1903">
        <v>44708</v>
      </c>
      <c r="B4" s="1918" t="s">
        <v>518</v>
      </c>
      <c r="C4" s="1918" t="s">
        <v>4148</v>
      </c>
      <c r="D4" s="1909" t="s">
        <v>2157</v>
      </c>
      <c r="E4" s="1915">
        <v>988.2</v>
      </c>
      <c r="F4" s="1912">
        <v>0</v>
      </c>
      <c r="G4" s="1906">
        <v>988.2</v>
      </c>
      <c r="H4" s="1903">
        <v>44709</v>
      </c>
      <c r="I4" s="622">
        <v>988.2</v>
      </c>
      <c r="J4" s="620">
        <v>44712</v>
      </c>
      <c r="K4" s="400" t="s">
        <v>544</v>
      </c>
      <c r="L4" s="88"/>
    </row>
    <row r="5" spans="1:12" s="168" customFormat="1" ht="15">
      <c r="A5" s="1904"/>
      <c r="B5" s="1919"/>
      <c r="C5" s="1919"/>
      <c r="D5" s="1910"/>
      <c r="E5" s="1916"/>
      <c r="F5" s="1913"/>
      <c r="G5" s="1907"/>
      <c r="H5" s="1904"/>
      <c r="I5" s="622">
        <v>-988.2</v>
      </c>
      <c r="J5" s="620">
        <v>44728</v>
      </c>
      <c r="K5" s="420" t="s">
        <v>544</v>
      </c>
      <c r="L5" s="226" t="s">
        <v>2277</v>
      </c>
    </row>
    <row r="6" spans="1:12" s="168" customFormat="1" ht="15">
      <c r="A6" s="1905"/>
      <c r="B6" s="1920"/>
      <c r="C6" s="1920"/>
      <c r="D6" s="1911"/>
      <c r="E6" s="1917"/>
      <c r="F6" s="1914"/>
      <c r="G6" s="1908"/>
      <c r="H6" s="1905"/>
      <c r="I6" s="622">
        <v>988.2</v>
      </c>
      <c r="J6" s="620">
        <v>44757</v>
      </c>
      <c r="K6" s="472" t="s">
        <v>544</v>
      </c>
      <c r="L6" s="226" t="s">
        <v>2448</v>
      </c>
    </row>
    <row r="7" spans="1:12" s="168" customFormat="1" ht="15">
      <c r="A7" s="860">
        <v>44795</v>
      </c>
      <c r="B7" s="1124" t="s">
        <v>518</v>
      </c>
      <c r="C7" s="1124" t="s">
        <v>4148</v>
      </c>
      <c r="D7" s="863" t="s">
        <v>2827</v>
      </c>
      <c r="E7" s="866">
        <v>3448.05</v>
      </c>
      <c r="F7" s="859">
        <v>0</v>
      </c>
      <c r="G7" s="631">
        <v>3448.05</v>
      </c>
      <c r="H7" s="860">
        <v>44855</v>
      </c>
      <c r="I7" s="631">
        <v>3448.05</v>
      </c>
      <c r="J7" s="860">
        <v>44865</v>
      </c>
      <c r="K7" s="856" t="s">
        <v>544</v>
      </c>
      <c r="L7" s="226"/>
    </row>
    <row r="8" spans="1:12" s="168" customFormat="1" ht="15">
      <c r="A8" s="1403">
        <v>44917</v>
      </c>
      <c r="B8" s="1403" t="s">
        <v>518</v>
      </c>
      <c r="C8" s="1403" t="s">
        <v>4148</v>
      </c>
      <c r="D8" s="1405" t="s">
        <v>3736</v>
      </c>
      <c r="E8" s="1413">
        <v>3816.71</v>
      </c>
      <c r="F8" s="1402">
        <v>0</v>
      </c>
      <c r="G8" s="631">
        <v>3816.71</v>
      </c>
      <c r="H8" s="1403">
        <v>44977</v>
      </c>
      <c r="I8" s="631">
        <v>3816.71</v>
      </c>
      <c r="J8" s="1403">
        <v>45067</v>
      </c>
      <c r="K8" s="1401" t="s">
        <v>544</v>
      </c>
      <c r="L8" s="226"/>
    </row>
    <row r="9" spans="1:12" s="168" customFormat="1" ht="15">
      <c r="A9" s="623">
        <v>45162</v>
      </c>
      <c r="B9" s="623" t="s">
        <v>5880</v>
      </c>
      <c r="C9" s="623" t="s">
        <v>4148</v>
      </c>
      <c r="D9" s="624" t="s">
        <v>5901</v>
      </c>
      <c r="E9" s="603">
        <v>1124.97</v>
      </c>
      <c r="F9" s="604">
        <v>0</v>
      </c>
      <c r="G9" s="606">
        <v>1124.97</v>
      </c>
      <c r="H9" s="623">
        <v>45192</v>
      </c>
      <c r="I9" s="622"/>
      <c r="J9" s="620"/>
      <c r="K9" s="565"/>
      <c r="L9" s="226"/>
    </row>
    <row r="10" spans="1:12" s="168" customFormat="1" ht="15">
      <c r="A10" s="623"/>
      <c r="B10" s="623"/>
      <c r="C10" s="623"/>
      <c r="D10" s="624"/>
      <c r="E10" s="603"/>
      <c r="F10" s="604"/>
      <c r="G10" s="606"/>
      <c r="H10" s="623"/>
      <c r="I10" s="622"/>
      <c r="J10" s="620"/>
      <c r="K10" s="565"/>
      <c r="L10" s="226"/>
    </row>
    <row r="11" spans="1:12" s="168" customFormat="1" ht="15">
      <c r="A11" s="623"/>
      <c r="B11" s="623"/>
      <c r="C11" s="623"/>
      <c r="D11" s="624"/>
      <c r="E11" s="603"/>
      <c r="F11" s="604"/>
      <c r="G11" s="606"/>
      <c r="H11" s="623"/>
      <c r="I11" s="622"/>
      <c r="J11" s="620"/>
      <c r="K11" s="565"/>
      <c r="L11" s="226"/>
    </row>
    <row r="12" spans="1:12" s="168" customFormat="1" ht="15">
      <c r="A12" s="623"/>
      <c r="B12" s="623"/>
      <c r="C12" s="623"/>
      <c r="D12" s="624"/>
      <c r="E12" s="603"/>
      <c r="F12" s="604"/>
      <c r="G12" s="606"/>
      <c r="H12" s="623"/>
      <c r="I12" s="622"/>
      <c r="J12" s="620"/>
      <c r="K12" s="565"/>
      <c r="L12" s="226"/>
    </row>
    <row r="13" spans="1:12" s="168" customFormat="1" ht="15">
      <c r="A13" s="623"/>
      <c r="B13" s="623"/>
      <c r="C13" s="623"/>
      <c r="D13" s="624"/>
      <c r="E13" s="603"/>
      <c r="F13" s="604"/>
      <c r="G13" s="606"/>
      <c r="H13" s="623"/>
      <c r="I13" s="622"/>
      <c r="J13" s="620"/>
      <c r="K13" s="565"/>
      <c r="L13" s="226"/>
    </row>
    <row r="14" spans="1:12" s="168" customFormat="1" ht="15">
      <c r="A14" s="623"/>
      <c r="B14" s="623"/>
      <c r="C14" s="623"/>
      <c r="D14" s="624"/>
      <c r="E14" s="603"/>
      <c r="F14" s="604"/>
      <c r="G14" s="606"/>
      <c r="H14" s="623"/>
      <c r="I14" s="622"/>
      <c r="J14" s="620"/>
      <c r="K14" s="565"/>
      <c r="L14" s="226"/>
    </row>
    <row r="15" spans="1:12" s="168" customFormat="1" ht="15">
      <c r="A15" s="623"/>
      <c r="B15" s="623"/>
      <c r="C15" s="623"/>
      <c r="D15" s="624"/>
      <c r="E15" s="603"/>
      <c r="F15" s="604"/>
      <c r="G15" s="606"/>
      <c r="H15" s="623"/>
      <c r="I15" s="622"/>
      <c r="J15" s="620"/>
      <c r="K15" s="565"/>
      <c r="L15" s="226"/>
    </row>
    <row r="16" spans="1:12" s="168" customFormat="1" ht="15">
      <c r="A16" s="623"/>
      <c r="B16" s="623"/>
      <c r="C16" s="623"/>
      <c r="D16" s="624"/>
      <c r="E16" s="603"/>
      <c r="F16" s="604"/>
      <c r="G16" s="606"/>
      <c r="H16" s="623"/>
      <c r="I16" s="622"/>
      <c r="J16" s="620"/>
      <c r="K16" s="565"/>
      <c r="L16" s="226"/>
    </row>
    <row r="17" spans="1:12" s="102" customFormat="1" ht="15">
      <c r="A17" s="620"/>
      <c r="B17" s="1124"/>
      <c r="C17" s="1124"/>
      <c r="D17" s="619"/>
      <c r="E17" s="619"/>
      <c r="F17" s="1144" t="s">
        <v>545</v>
      </c>
      <c r="G17" s="625">
        <f>SUM(G2:G16)-SUM(I2:I16)</f>
        <v>1124.9699999999993</v>
      </c>
      <c r="H17" s="620"/>
      <c r="I17" s="622"/>
      <c r="J17" s="620"/>
      <c r="K17" s="226"/>
      <c r="L17" s="226"/>
    </row>
    <row r="26" spans="1:12">
      <c r="K26" s="437"/>
    </row>
  </sheetData>
  <mergeCells count="8">
    <mergeCell ref="H4:H6"/>
    <mergeCell ref="G4:G6"/>
    <mergeCell ref="D4:D6"/>
    <mergeCell ref="A4:A6"/>
    <mergeCell ref="F4:F6"/>
    <mergeCell ref="E4:E6"/>
    <mergeCell ref="C4:C6"/>
    <mergeCell ref="B4:B6"/>
  </mergeCells>
  <phoneticPr fontId="15" type="noConversion"/>
  <hyperlinks>
    <hyperlink ref="F17" location="汇总!A1" display="剩余欠款"/>
  </hyperlink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N52"/>
  <sheetViews>
    <sheetView workbookViewId="0">
      <pane ySplit="1" topLeftCell="A32" activePane="bottomLeft" state="frozen"/>
      <selection activeCell="C33" sqref="C33"/>
      <selection pane="bottomLeft" activeCell="F52" sqref="F52"/>
    </sheetView>
  </sheetViews>
  <sheetFormatPr defaultRowHeight="14.25"/>
  <cols>
    <col min="1" max="1" width="12.125" style="96" bestFit="1" customWidth="1"/>
    <col min="2" max="2" width="9" style="96" bestFit="1" customWidth="1"/>
    <col min="3" max="3" width="20.5" style="96" bestFit="1" customWidth="1"/>
    <col min="4" max="4" width="15" style="96" bestFit="1" customWidth="1"/>
    <col min="5" max="5" width="12.125" style="96" bestFit="1" customWidth="1"/>
    <col min="6" max="6" width="9.5" style="96" bestFit="1" customWidth="1"/>
    <col min="7" max="7" width="17.375" bestFit="1" customWidth="1"/>
    <col min="8" max="8" width="16.875" bestFit="1" customWidth="1"/>
    <col min="9" max="9" width="14.125" bestFit="1" customWidth="1"/>
    <col min="10" max="10" width="11.75" bestFit="1" customWidth="1"/>
    <col min="11" max="11" width="11.375" bestFit="1" customWidth="1"/>
    <col min="12" max="12" width="29.375" bestFit="1" customWidth="1"/>
  </cols>
  <sheetData>
    <row r="1" spans="1:14" s="96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6" t="s">
        <v>542</v>
      </c>
    </row>
    <row r="2" spans="1:14" ht="15">
      <c r="A2" s="815">
        <v>44768</v>
      </c>
      <c r="B2" s="1124" t="s">
        <v>2518</v>
      </c>
      <c r="C2" s="1124" t="s">
        <v>4140</v>
      </c>
      <c r="D2" s="817" t="s">
        <v>2546</v>
      </c>
      <c r="E2" s="822">
        <v>778.25</v>
      </c>
      <c r="F2" s="814">
        <v>0</v>
      </c>
      <c r="G2" s="822">
        <v>778.25</v>
      </c>
      <c r="H2" s="815">
        <v>44768</v>
      </c>
      <c r="I2" s="1923">
        <v>4204.2700000000004</v>
      </c>
      <c r="J2" s="1903">
        <v>44830</v>
      </c>
      <c r="K2" s="1935" t="s">
        <v>3207</v>
      </c>
      <c r="L2" s="1935"/>
    </row>
    <row r="3" spans="1:14" ht="15">
      <c r="A3" s="815">
        <v>44782.000497685185</v>
      </c>
      <c r="B3" s="1124" t="s">
        <v>2518</v>
      </c>
      <c r="C3" s="1124" t="s">
        <v>4140</v>
      </c>
      <c r="D3" s="817" t="s">
        <v>2679</v>
      </c>
      <c r="E3" s="822">
        <v>-1881</v>
      </c>
      <c r="F3" s="814">
        <v>0</v>
      </c>
      <c r="G3" s="822">
        <v>-1881</v>
      </c>
      <c r="H3" s="815" t="s">
        <v>1529</v>
      </c>
      <c r="I3" s="1961"/>
      <c r="J3" s="1904"/>
      <c r="K3" s="1950"/>
      <c r="L3" s="1950"/>
    </row>
    <row r="4" spans="1:14" ht="15">
      <c r="A4" s="815">
        <v>44782.000497685185</v>
      </c>
      <c r="B4" s="1124" t="s">
        <v>2518</v>
      </c>
      <c r="C4" s="1124" t="s">
        <v>4140</v>
      </c>
      <c r="D4" s="817" t="s">
        <v>2680</v>
      </c>
      <c r="E4" s="822">
        <v>4049.88</v>
      </c>
      <c r="F4" s="814">
        <v>0</v>
      </c>
      <c r="G4" s="822">
        <v>4049.88</v>
      </c>
      <c r="H4" s="815">
        <v>44782.000497685185</v>
      </c>
      <c r="I4" s="1961"/>
      <c r="J4" s="1904"/>
      <c r="K4" s="1950"/>
      <c r="L4" s="1950"/>
    </row>
    <row r="5" spans="1:14" ht="15">
      <c r="A5" s="815">
        <v>44797</v>
      </c>
      <c r="B5" s="1124" t="s">
        <v>2518</v>
      </c>
      <c r="C5" s="1124" t="s">
        <v>4140</v>
      </c>
      <c r="D5" s="817" t="s">
        <v>2844</v>
      </c>
      <c r="E5" s="822">
        <v>658.75</v>
      </c>
      <c r="F5" s="814">
        <v>0</v>
      </c>
      <c r="G5" s="822">
        <v>658.75</v>
      </c>
      <c r="H5" s="815">
        <v>44797</v>
      </c>
      <c r="I5" s="1961"/>
      <c r="J5" s="1904"/>
      <c r="K5" s="1950"/>
      <c r="L5" s="1950"/>
    </row>
    <row r="6" spans="1:14" ht="15">
      <c r="A6" s="815">
        <v>44806</v>
      </c>
      <c r="B6" s="1124" t="s">
        <v>2518</v>
      </c>
      <c r="C6" s="1124" t="s">
        <v>4140</v>
      </c>
      <c r="D6" s="817" t="s">
        <v>2913</v>
      </c>
      <c r="E6" s="822">
        <v>598.39</v>
      </c>
      <c r="F6" s="814">
        <v>0</v>
      </c>
      <c r="G6" s="822">
        <v>598.39</v>
      </c>
      <c r="H6" s="815">
        <v>44806</v>
      </c>
      <c r="I6" s="1924"/>
      <c r="J6" s="1905"/>
      <c r="K6" s="1947"/>
      <c r="L6" s="1947"/>
    </row>
    <row r="7" spans="1:14" ht="15">
      <c r="A7" s="841">
        <v>44768</v>
      </c>
      <c r="B7" s="1124" t="s">
        <v>2518</v>
      </c>
      <c r="C7" s="1124" t="s">
        <v>4140</v>
      </c>
      <c r="D7" s="842" t="s">
        <v>2547</v>
      </c>
      <c r="E7" s="843">
        <v>1673</v>
      </c>
      <c r="F7" s="840">
        <v>0</v>
      </c>
      <c r="G7" s="843">
        <v>1673</v>
      </c>
      <c r="H7" s="841">
        <v>44768</v>
      </c>
      <c r="I7" s="611">
        <v>1673</v>
      </c>
      <c r="J7" s="841">
        <v>44847</v>
      </c>
      <c r="K7" s="839" t="s">
        <v>3272</v>
      </c>
      <c r="L7" s="166"/>
    </row>
    <row r="8" spans="1:14" ht="15">
      <c r="A8" s="931">
        <v>44806</v>
      </c>
      <c r="B8" s="1124" t="s">
        <v>2518</v>
      </c>
      <c r="C8" s="1124" t="s">
        <v>4140</v>
      </c>
      <c r="D8" s="936" t="s">
        <v>2912</v>
      </c>
      <c r="E8" s="950">
        <v>1118.53</v>
      </c>
      <c r="F8" s="930">
        <v>0</v>
      </c>
      <c r="G8" s="950">
        <v>1118.53</v>
      </c>
      <c r="H8" s="931">
        <v>44806</v>
      </c>
      <c r="I8" s="1923">
        <v>5420.08</v>
      </c>
      <c r="J8" s="1903">
        <v>44893</v>
      </c>
      <c r="K8" s="1938" t="s">
        <v>3650</v>
      </c>
      <c r="L8" s="166"/>
      <c r="M8" s="190"/>
      <c r="N8" s="190"/>
    </row>
    <row r="9" spans="1:14" ht="15">
      <c r="A9" s="931">
        <v>44830</v>
      </c>
      <c r="B9" s="1124" t="s">
        <v>2518</v>
      </c>
      <c r="C9" s="1124" t="s">
        <v>4140</v>
      </c>
      <c r="D9" s="936" t="s">
        <v>3176</v>
      </c>
      <c r="E9" s="950">
        <v>2787.85</v>
      </c>
      <c r="F9" s="930">
        <v>0</v>
      </c>
      <c r="G9" s="950">
        <v>2787.85</v>
      </c>
      <c r="H9" s="931">
        <v>44830.000497685185</v>
      </c>
      <c r="I9" s="1961"/>
      <c r="J9" s="1904"/>
      <c r="K9" s="1950"/>
      <c r="L9" s="166"/>
      <c r="M9" s="190"/>
      <c r="N9" s="190"/>
    </row>
    <row r="10" spans="1:14" ht="15">
      <c r="A10" s="931">
        <v>44831</v>
      </c>
      <c r="B10" s="1124" t="s">
        <v>2518</v>
      </c>
      <c r="C10" s="1124" t="s">
        <v>4140</v>
      </c>
      <c r="D10" s="936" t="s">
        <v>3177</v>
      </c>
      <c r="E10" s="950">
        <v>-17.850000000000001</v>
      </c>
      <c r="F10" s="930">
        <v>0</v>
      </c>
      <c r="G10" s="950">
        <v>-17.850000000000001</v>
      </c>
      <c r="H10" s="931" t="s">
        <v>1529</v>
      </c>
      <c r="I10" s="1961"/>
      <c r="J10" s="1904"/>
      <c r="K10" s="1950"/>
      <c r="L10" s="166"/>
      <c r="M10" s="190"/>
      <c r="N10" s="190"/>
    </row>
    <row r="11" spans="1:14" ht="15">
      <c r="A11" s="931">
        <v>44831</v>
      </c>
      <c r="B11" s="1124" t="s">
        <v>2518</v>
      </c>
      <c r="C11" s="1124" t="s">
        <v>4140</v>
      </c>
      <c r="D11" s="936" t="s">
        <v>3178</v>
      </c>
      <c r="E11" s="950">
        <v>-74.83</v>
      </c>
      <c r="F11" s="930">
        <v>0</v>
      </c>
      <c r="G11" s="950">
        <v>-74.83</v>
      </c>
      <c r="H11" s="931">
        <v>44831.000497685185</v>
      </c>
      <c r="I11" s="1961"/>
      <c r="J11" s="1904"/>
      <c r="K11" s="1950"/>
      <c r="L11" s="166" t="s">
        <v>3179</v>
      </c>
      <c r="M11" s="190"/>
      <c r="N11" s="190"/>
    </row>
    <row r="12" spans="1:14" ht="15">
      <c r="A12" s="931">
        <v>44852.000497685185</v>
      </c>
      <c r="B12" s="1124" t="s">
        <v>2518</v>
      </c>
      <c r="C12" s="1124" t="s">
        <v>4140</v>
      </c>
      <c r="D12" s="936" t="s">
        <v>3299</v>
      </c>
      <c r="E12" s="950">
        <v>1606.38</v>
      </c>
      <c r="F12" s="930">
        <v>0</v>
      </c>
      <c r="G12" s="950">
        <v>1606.38</v>
      </c>
      <c r="H12" s="931">
        <v>44852.000497685185</v>
      </c>
      <c r="I12" s="1924"/>
      <c r="J12" s="1905"/>
      <c r="K12" s="1947"/>
      <c r="L12" s="166"/>
      <c r="M12" s="190"/>
      <c r="N12" s="190"/>
    </row>
    <row r="13" spans="1:14" ht="15">
      <c r="A13" s="1065">
        <v>44873</v>
      </c>
      <c r="B13" s="1124" t="s">
        <v>2518</v>
      </c>
      <c r="C13" s="1124" t="s">
        <v>4140</v>
      </c>
      <c r="D13" s="1068" t="s">
        <v>3445</v>
      </c>
      <c r="E13" s="1081">
        <v>3584.15</v>
      </c>
      <c r="F13" s="1064">
        <v>0</v>
      </c>
      <c r="G13" s="1081">
        <v>3584.15</v>
      </c>
      <c r="H13" s="1065">
        <v>44873</v>
      </c>
      <c r="I13" s="1923">
        <v>5769.53</v>
      </c>
      <c r="J13" s="1903">
        <v>44944</v>
      </c>
      <c r="K13" s="1938" t="s">
        <v>4002</v>
      </c>
      <c r="L13" s="219"/>
      <c r="M13" s="190"/>
      <c r="N13" s="190"/>
    </row>
    <row r="14" spans="1:14" ht="15">
      <c r="A14" s="1065">
        <v>44892</v>
      </c>
      <c r="B14" s="1124" t="s">
        <v>2518</v>
      </c>
      <c r="C14" s="1124" t="s">
        <v>4140</v>
      </c>
      <c r="D14" s="1068" t="s">
        <v>3610</v>
      </c>
      <c r="E14" s="1081">
        <v>1300.22</v>
      </c>
      <c r="F14" s="1064">
        <v>0</v>
      </c>
      <c r="G14" s="1081">
        <v>1300.23</v>
      </c>
      <c r="H14" s="1065">
        <v>44892</v>
      </c>
      <c r="I14" s="1961"/>
      <c r="J14" s="1904"/>
      <c r="K14" s="1950"/>
      <c r="L14" s="219"/>
      <c r="M14" s="190"/>
      <c r="N14" s="190"/>
    </row>
    <row r="15" spans="1:14" ht="15">
      <c r="A15" s="1065">
        <v>44894</v>
      </c>
      <c r="B15" s="1124" t="s">
        <v>2518</v>
      </c>
      <c r="C15" s="1124" t="s">
        <v>4140</v>
      </c>
      <c r="D15" s="1068" t="s">
        <v>3611</v>
      </c>
      <c r="E15" s="1081">
        <v>885.15</v>
      </c>
      <c r="F15" s="1064">
        <v>0</v>
      </c>
      <c r="G15" s="1081">
        <v>885.15</v>
      </c>
      <c r="H15" s="1065">
        <v>44894</v>
      </c>
      <c r="I15" s="1924"/>
      <c r="J15" s="1905"/>
      <c r="K15" s="1947"/>
      <c r="L15" s="219"/>
      <c r="M15" s="190"/>
      <c r="N15" s="190"/>
    </row>
    <row r="16" spans="1:14" ht="15">
      <c r="A16" s="1170">
        <v>44914</v>
      </c>
      <c r="B16" s="1170" t="s">
        <v>2518</v>
      </c>
      <c r="C16" s="1170" t="s">
        <v>4140</v>
      </c>
      <c r="D16" s="1173" t="s">
        <v>3778</v>
      </c>
      <c r="E16" s="1179">
        <v>1480.88</v>
      </c>
      <c r="F16" s="1169">
        <v>0</v>
      </c>
      <c r="G16" s="1179">
        <v>1480.88</v>
      </c>
      <c r="H16" s="1170">
        <v>44914</v>
      </c>
      <c r="I16" s="611">
        <v>1480.88</v>
      </c>
      <c r="J16" s="1170">
        <v>44979</v>
      </c>
      <c r="K16" s="1168" t="s">
        <v>4246</v>
      </c>
      <c r="L16" s="219"/>
      <c r="M16" s="190"/>
      <c r="N16" s="190"/>
    </row>
    <row r="17" spans="1:14" ht="28.5">
      <c r="A17" s="1274">
        <v>44943</v>
      </c>
      <c r="B17" s="1274" t="s">
        <v>2518</v>
      </c>
      <c r="C17" s="1274" t="s">
        <v>4140</v>
      </c>
      <c r="D17" s="1276" t="s">
        <v>3961</v>
      </c>
      <c r="E17" s="1278">
        <v>3994.98</v>
      </c>
      <c r="F17" s="1273">
        <v>0</v>
      </c>
      <c r="G17" s="1278">
        <v>3994.98</v>
      </c>
      <c r="H17" s="1274">
        <v>45003</v>
      </c>
      <c r="I17" s="611">
        <v>3994.98</v>
      </c>
      <c r="J17" s="1274">
        <v>45013</v>
      </c>
      <c r="K17" s="1281" t="s">
        <v>4658</v>
      </c>
      <c r="L17" s="166"/>
      <c r="M17" s="190"/>
      <c r="N17" s="190"/>
    </row>
    <row r="18" spans="1:14" s="388" customFormat="1" ht="23.25" customHeight="1">
      <c r="A18" s="1427">
        <v>44992</v>
      </c>
      <c r="B18" s="1427" t="s">
        <v>2518</v>
      </c>
      <c r="C18" s="1427" t="s">
        <v>4140</v>
      </c>
      <c r="D18" s="1428" t="s">
        <v>4438</v>
      </c>
      <c r="E18" s="1431">
        <v>1949.29</v>
      </c>
      <c r="F18" s="1426">
        <v>0</v>
      </c>
      <c r="G18" s="1431">
        <v>1949.29</v>
      </c>
      <c r="H18" s="1427">
        <v>44992</v>
      </c>
      <c r="I18" s="1951">
        <v>2725.99</v>
      </c>
      <c r="J18" s="1903">
        <v>45068</v>
      </c>
      <c r="K18" s="1938" t="s">
        <v>5234</v>
      </c>
      <c r="L18" s="166"/>
      <c r="M18" s="904"/>
      <c r="N18" s="904"/>
    </row>
    <row r="19" spans="1:14" s="388" customFormat="1" ht="23.25" customHeight="1">
      <c r="A19" s="1427">
        <v>45013</v>
      </c>
      <c r="B19" s="1427" t="s">
        <v>2518</v>
      </c>
      <c r="C19" s="1427" t="s">
        <v>4140</v>
      </c>
      <c r="D19" s="1428" t="s">
        <v>4635</v>
      </c>
      <c r="E19" s="1431">
        <v>776.7</v>
      </c>
      <c r="F19" s="1426">
        <v>0</v>
      </c>
      <c r="G19" s="1431">
        <v>776.7</v>
      </c>
      <c r="H19" s="1427">
        <v>45073</v>
      </c>
      <c r="I19" s="1953"/>
      <c r="J19" s="1905"/>
      <c r="K19" s="2031"/>
      <c r="L19" s="166"/>
      <c r="M19" s="904"/>
      <c r="N19" s="904"/>
    </row>
    <row r="20" spans="1:14" ht="28.5">
      <c r="A20" s="1549">
        <v>45040</v>
      </c>
      <c r="B20" s="1549" t="s">
        <v>2518</v>
      </c>
      <c r="C20" s="1549" t="s">
        <v>4140</v>
      </c>
      <c r="D20" s="1551" t="s">
        <v>4870</v>
      </c>
      <c r="E20" s="1555">
        <v>1210.5</v>
      </c>
      <c r="F20" s="1548">
        <v>0</v>
      </c>
      <c r="G20" s="1555">
        <v>1210.5</v>
      </c>
      <c r="H20" s="1549">
        <v>45100</v>
      </c>
      <c r="I20" s="611">
        <v>1210.5</v>
      </c>
      <c r="J20" s="1549">
        <v>45125</v>
      </c>
      <c r="K20" s="1558" t="s">
        <v>5668</v>
      </c>
      <c r="L20" s="219"/>
      <c r="M20" s="190"/>
      <c r="N20" s="190"/>
    </row>
    <row r="21" spans="1:14" ht="15">
      <c r="A21" s="1549">
        <v>45055</v>
      </c>
      <c r="B21" s="1549" t="s">
        <v>2518</v>
      </c>
      <c r="C21" s="1549" t="s">
        <v>4140</v>
      </c>
      <c r="D21" s="1551" t="s">
        <v>4980</v>
      </c>
      <c r="E21" s="1555">
        <v>70</v>
      </c>
      <c r="F21" s="1548">
        <v>0</v>
      </c>
      <c r="G21" s="1555">
        <v>70</v>
      </c>
      <c r="H21" s="1549">
        <v>45115</v>
      </c>
      <c r="I21" s="1951">
        <v>2859.85</v>
      </c>
      <c r="J21" s="1903">
        <v>45125</v>
      </c>
      <c r="K21" s="1938" t="s">
        <v>5669</v>
      </c>
      <c r="L21" s="219"/>
      <c r="M21" s="190"/>
      <c r="N21" s="190"/>
    </row>
    <row r="22" spans="1:14" ht="15">
      <c r="A22" s="1549">
        <v>45056</v>
      </c>
      <c r="B22" s="1549" t="s">
        <v>2518</v>
      </c>
      <c r="C22" s="1549" t="s">
        <v>4140</v>
      </c>
      <c r="D22" s="1551" t="s">
        <v>4981</v>
      </c>
      <c r="E22" s="1555">
        <v>495</v>
      </c>
      <c r="F22" s="1548">
        <v>0</v>
      </c>
      <c r="G22" s="1555">
        <v>495</v>
      </c>
      <c r="H22" s="1549">
        <v>45116</v>
      </c>
      <c r="I22" s="1952"/>
      <c r="J22" s="1904"/>
      <c r="K22" s="1950"/>
      <c r="L22" s="219"/>
      <c r="M22" s="190"/>
      <c r="N22" s="190"/>
    </row>
    <row r="23" spans="1:14" ht="15">
      <c r="A23" s="1549">
        <v>45062</v>
      </c>
      <c r="B23" s="1549" t="s">
        <v>2518</v>
      </c>
      <c r="C23" s="1549" t="s">
        <v>4140</v>
      </c>
      <c r="D23" s="1551" t="s">
        <v>5107</v>
      </c>
      <c r="E23" s="1555">
        <v>2033.4</v>
      </c>
      <c r="F23" s="1548">
        <v>0</v>
      </c>
      <c r="G23" s="1555">
        <v>2033.4</v>
      </c>
      <c r="H23" s="1549">
        <v>45122</v>
      </c>
      <c r="I23" s="1952"/>
      <c r="J23" s="1904"/>
      <c r="K23" s="1950"/>
      <c r="L23" s="219"/>
      <c r="M23" s="190"/>
      <c r="N23" s="190"/>
    </row>
    <row r="24" spans="1:14" ht="15">
      <c r="A24" s="1549">
        <v>45077</v>
      </c>
      <c r="B24" s="1549" t="s">
        <v>2518</v>
      </c>
      <c r="C24" s="1549" t="s">
        <v>4140</v>
      </c>
      <c r="D24" s="1551" t="s">
        <v>5254</v>
      </c>
      <c r="E24" s="1555">
        <v>264</v>
      </c>
      <c r="F24" s="1548">
        <v>0</v>
      </c>
      <c r="G24" s="1555">
        <v>264</v>
      </c>
      <c r="H24" s="1549">
        <v>45137</v>
      </c>
      <c r="I24" s="1952"/>
      <c r="J24" s="1904"/>
      <c r="K24" s="1950"/>
      <c r="L24" s="219"/>
      <c r="M24" s="190"/>
      <c r="N24" s="190"/>
    </row>
    <row r="25" spans="1:14" ht="15">
      <c r="A25" s="1549">
        <v>45093</v>
      </c>
      <c r="B25" s="1549" t="s">
        <v>2518</v>
      </c>
      <c r="C25" s="1549" t="s">
        <v>4140</v>
      </c>
      <c r="D25" s="1551" t="s">
        <v>5382</v>
      </c>
      <c r="E25" s="1555">
        <v>-2.5499999999999998</v>
      </c>
      <c r="F25" s="1548">
        <v>0</v>
      </c>
      <c r="G25" s="1555">
        <v>-2.5499999999999998</v>
      </c>
      <c r="H25" s="1549"/>
      <c r="I25" s="1953"/>
      <c r="J25" s="1905"/>
      <c r="K25" s="1947"/>
      <c r="L25" s="219"/>
      <c r="M25" s="190"/>
      <c r="N25" s="190"/>
    </row>
    <row r="26" spans="1:14" ht="15">
      <c r="A26" s="1738">
        <v>45091</v>
      </c>
      <c r="B26" s="1738" t="s">
        <v>2518</v>
      </c>
      <c r="C26" s="1738" t="s">
        <v>4140</v>
      </c>
      <c r="D26" s="1742" t="s">
        <v>5381</v>
      </c>
      <c r="E26" s="1752">
        <v>2345.1799999999998</v>
      </c>
      <c r="F26" s="1737">
        <v>0</v>
      </c>
      <c r="G26" s="1752">
        <v>2345.1799999999998</v>
      </c>
      <c r="H26" s="1738">
        <v>45151</v>
      </c>
      <c r="I26" s="1951">
        <v>3489.15</v>
      </c>
      <c r="J26" s="1903">
        <v>45196</v>
      </c>
      <c r="K26" s="1938" t="s">
        <v>6274</v>
      </c>
      <c r="L26" s="219"/>
      <c r="M26" s="190"/>
      <c r="N26" s="190"/>
    </row>
    <row r="27" spans="1:14" ht="15">
      <c r="A27" s="1738">
        <v>45124</v>
      </c>
      <c r="B27" s="1738" t="s">
        <v>2518</v>
      </c>
      <c r="C27" s="1738" t="s">
        <v>4140</v>
      </c>
      <c r="D27" s="1742" t="s">
        <v>5636</v>
      </c>
      <c r="E27" s="1752">
        <v>1488</v>
      </c>
      <c r="F27" s="1737">
        <v>0</v>
      </c>
      <c r="G27" s="1752">
        <v>1488</v>
      </c>
      <c r="H27" s="1738">
        <v>45184</v>
      </c>
      <c r="I27" s="1952"/>
      <c r="J27" s="1904"/>
      <c r="K27" s="2030"/>
      <c r="L27" s="219"/>
      <c r="M27" s="190"/>
      <c r="N27" s="190"/>
    </row>
    <row r="28" spans="1:14" ht="15">
      <c r="A28" s="1738">
        <v>45138</v>
      </c>
      <c r="B28" s="1738" t="s">
        <v>2518</v>
      </c>
      <c r="C28" s="1738" t="s">
        <v>4140</v>
      </c>
      <c r="D28" s="1742" t="s">
        <v>5741</v>
      </c>
      <c r="E28" s="1752">
        <v>-15.49</v>
      </c>
      <c r="F28" s="1737">
        <v>0</v>
      </c>
      <c r="G28" s="1752">
        <v>-15.49</v>
      </c>
      <c r="H28" s="1738"/>
      <c r="I28" s="1952"/>
      <c r="J28" s="1904"/>
      <c r="K28" s="2030"/>
      <c r="L28" s="219"/>
      <c r="M28" s="190"/>
      <c r="N28" s="190"/>
    </row>
    <row r="29" spans="1:14" ht="15">
      <c r="A29" s="1738">
        <v>45138</v>
      </c>
      <c r="B29" s="1738" t="s">
        <v>2518</v>
      </c>
      <c r="C29" s="1738" t="s">
        <v>4140</v>
      </c>
      <c r="D29" s="1742" t="s">
        <v>5742</v>
      </c>
      <c r="E29" s="1752">
        <v>-328.54</v>
      </c>
      <c r="F29" s="1737">
        <v>0</v>
      </c>
      <c r="G29" s="1752">
        <v>-328.54</v>
      </c>
      <c r="H29" s="1738"/>
      <c r="I29" s="1953"/>
      <c r="J29" s="1905"/>
      <c r="K29" s="2031"/>
      <c r="L29" s="219"/>
      <c r="M29" s="190"/>
      <c r="N29" s="190"/>
    </row>
    <row r="30" spans="1:14" ht="15">
      <c r="A30" s="1785">
        <v>45117</v>
      </c>
      <c r="B30" s="1785" t="s">
        <v>2518</v>
      </c>
      <c r="C30" s="1785" t="s">
        <v>4140</v>
      </c>
      <c r="D30" s="1788" t="s">
        <v>5588</v>
      </c>
      <c r="E30" s="1792">
        <v>1050.25</v>
      </c>
      <c r="F30" s="1784">
        <v>220.55</v>
      </c>
      <c r="G30" s="1792">
        <v>1270.8</v>
      </c>
      <c r="H30" s="1785">
        <v>45177</v>
      </c>
      <c r="I30" s="611">
        <v>1270.8</v>
      </c>
      <c r="J30" s="1785">
        <v>45215</v>
      </c>
      <c r="K30" s="1783" t="s">
        <v>1506</v>
      </c>
      <c r="L30" s="219"/>
      <c r="M30" s="190"/>
      <c r="N30" s="190"/>
    </row>
    <row r="31" spans="1:14" ht="15">
      <c r="A31" s="623">
        <v>45140</v>
      </c>
      <c r="B31" s="623" t="s">
        <v>2518</v>
      </c>
      <c r="C31" s="623" t="s">
        <v>4140</v>
      </c>
      <c r="D31" s="624" t="s">
        <v>5743</v>
      </c>
      <c r="E31" s="603">
        <v>572.4</v>
      </c>
      <c r="F31" s="604">
        <v>0</v>
      </c>
      <c r="G31" s="603">
        <v>572.4</v>
      </c>
      <c r="H31" s="623">
        <v>45200</v>
      </c>
      <c r="I31" s="605"/>
      <c r="J31" s="623"/>
      <c r="K31" s="503"/>
      <c r="L31" s="219"/>
      <c r="M31" s="190"/>
      <c r="N31" s="190"/>
    </row>
    <row r="32" spans="1:14" ht="15">
      <c r="A32" s="623">
        <v>45161</v>
      </c>
      <c r="B32" s="623" t="s">
        <v>2518</v>
      </c>
      <c r="C32" s="623" t="s">
        <v>4140</v>
      </c>
      <c r="D32" s="624" t="s">
        <v>5915</v>
      </c>
      <c r="E32" s="603">
        <v>3205.09</v>
      </c>
      <c r="F32" s="604">
        <v>0</v>
      </c>
      <c r="G32" s="603">
        <v>3205.09</v>
      </c>
      <c r="H32" s="623">
        <v>45221</v>
      </c>
      <c r="I32" s="605"/>
      <c r="J32" s="623"/>
      <c r="K32" s="503"/>
      <c r="L32" s="219"/>
      <c r="M32" s="190"/>
      <c r="N32" s="190"/>
    </row>
    <row r="33" spans="1:14" ht="15">
      <c r="A33" s="623">
        <v>45184</v>
      </c>
      <c r="B33" s="623" t="s">
        <v>2518</v>
      </c>
      <c r="C33" s="623" t="s">
        <v>4140</v>
      </c>
      <c r="D33" s="624" t="s">
        <v>6037</v>
      </c>
      <c r="E33" s="603">
        <v>1575.3</v>
      </c>
      <c r="F33" s="604">
        <v>0</v>
      </c>
      <c r="G33" s="603">
        <v>1575.3</v>
      </c>
      <c r="H33" s="623">
        <v>45243.000497685185</v>
      </c>
      <c r="I33" s="605"/>
      <c r="J33" s="623"/>
      <c r="K33" s="503"/>
      <c r="L33" s="219"/>
      <c r="M33" s="190"/>
      <c r="N33" s="190"/>
    </row>
    <row r="34" spans="1:14" ht="15">
      <c r="A34" s="623">
        <v>45197</v>
      </c>
      <c r="B34" s="623" t="s">
        <v>2518</v>
      </c>
      <c r="C34" s="623" t="s">
        <v>4140</v>
      </c>
      <c r="D34" s="624" t="s">
        <v>6198</v>
      </c>
      <c r="E34" s="603">
        <v>1780.88</v>
      </c>
      <c r="F34" s="604">
        <v>0</v>
      </c>
      <c r="G34" s="603">
        <v>1780.88</v>
      </c>
      <c r="H34" s="623">
        <v>45256</v>
      </c>
      <c r="I34" s="605"/>
      <c r="J34" s="623"/>
      <c r="K34" s="503"/>
      <c r="L34" s="219"/>
      <c r="M34" s="190"/>
      <c r="N34" s="190"/>
    </row>
    <row r="35" spans="1:14" ht="15">
      <c r="A35" s="623">
        <v>45219.333831018521</v>
      </c>
      <c r="B35" s="623" t="s">
        <v>2518</v>
      </c>
      <c r="C35" s="623" t="s">
        <v>4140</v>
      </c>
      <c r="D35" s="624" t="s">
        <v>6359</v>
      </c>
      <c r="E35" s="603">
        <v>1617.3</v>
      </c>
      <c r="F35" s="604">
        <v>0</v>
      </c>
      <c r="G35" s="603">
        <v>1617.3</v>
      </c>
      <c r="H35" s="623">
        <v>45278.333831018521</v>
      </c>
      <c r="I35" s="605"/>
      <c r="J35" s="623"/>
      <c r="K35" s="503"/>
      <c r="L35" s="219"/>
      <c r="M35" s="190"/>
      <c r="N35" s="190"/>
    </row>
    <row r="36" spans="1:14" ht="15">
      <c r="A36" s="623">
        <v>45219.333831018521</v>
      </c>
      <c r="B36" s="623" t="s">
        <v>2518</v>
      </c>
      <c r="C36" s="623" t="s">
        <v>4140</v>
      </c>
      <c r="D36" s="624" t="s">
        <v>6360</v>
      </c>
      <c r="E36" s="603">
        <v>1053.9000000000001</v>
      </c>
      <c r="F36" s="604">
        <v>0</v>
      </c>
      <c r="G36" s="603">
        <v>1053.9000000000001</v>
      </c>
      <c r="H36" s="623">
        <v>45278.333831018521</v>
      </c>
      <c r="I36" s="605"/>
      <c r="J36" s="623"/>
      <c r="K36" s="503"/>
      <c r="L36" s="219"/>
      <c r="M36" s="190"/>
      <c r="N36" s="190"/>
    </row>
    <row r="37" spans="1:14" ht="15">
      <c r="A37" s="623">
        <v>45230</v>
      </c>
      <c r="B37" s="623" t="s">
        <v>2518</v>
      </c>
      <c r="C37" s="623" t="s">
        <v>4140</v>
      </c>
      <c r="D37" s="624" t="s">
        <v>6473</v>
      </c>
      <c r="E37" s="603">
        <v>-9.5299999999999994</v>
      </c>
      <c r="F37" s="604">
        <v>0</v>
      </c>
      <c r="G37" s="603">
        <v>-9.5299999999999994</v>
      </c>
      <c r="H37" s="623"/>
      <c r="I37" s="605"/>
      <c r="J37" s="623"/>
      <c r="K37" s="503"/>
      <c r="L37" s="219"/>
      <c r="M37" s="190"/>
      <c r="N37" s="190"/>
    </row>
    <row r="38" spans="1:14" ht="15">
      <c r="A38" s="623">
        <v>45230</v>
      </c>
      <c r="B38" s="623" t="s">
        <v>2518</v>
      </c>
      <c r="C38" s="623" t="s">
        <v>4140</v>
      </c>
      <c r="D38" s="624" t="s">
        <v>6474</v>
      </c>
      <c r="E38" s="603">
        <v>-68.25</v>
      </c>
      <c r="F38" s="604">
        <v>0</v>
      </c>
      <c r="G38" s="603">
        <v>-68.25</v>
      </c>
      <c r="H38" s="623"/>
      <c r="I38" s="605"/>
      <c r="J38" s="623"/>
      <c r="K38" s="503"/>
      <c r="L38" s="219"/>
      <c r="M38" s="190"/>
      <c r="N38" s="190"/>
    </row>
    <row r="39" spans="1:14" ht="15">
      <c r="A39" s="623">
        <v>45230</v>
      </c>
      <c r="B39" s="623" t="s">
        <v>2518</v>
      </c>
      <c r="C39" s="623" t="s">
        <v>4140</v>
      </c>
      <c r="D39" s="624" t="s">
        <v>6475</v>
      </c>
      <c r="E39" s="603">
        <v>-174.26</v>
      </c>
      <c r="F39" s="604">
        <v>0</v>
      </c>
      <c r="G39" s="603">
        <v>-174.26</v>
      </c>
      <c r="H39" s="623"/>
      <c r="I39" s="605"/>
      <c r="J39" s="623"/>
      <c r="K39" s="503"/>
      <c r="L39" s="219"/>
      <c r="M39" s="190"/>
      <c r="N39" s="190"/>
    </row>
    <row r="40" spans="1:14" ht="15">
      <c r="A40" s="623">
        <v>45230</v>
      </c>
      <c r="B40" s="623" t="s">
        <v>2518</v>
      </c>
      <c r="C40" s="623" t="s">
        <v>4140</v>
      </c>
      <c r="D40" s="624" t="s">
        <v>6476</v>
      </c>
      <c r="E40" s="603">
        <v>-121.13</v>
      </c>
      <c r="F40" s="604">
        <v>0</v>
      </c>
      <c r="G40" s="603">
        <v>-121.13</v>
      </c>
      <c r="H40" s="623"/>
      <c r="I40" s="605"/>
      <c r="J40" s="623"/>
      <c r="K40" s="503"/>
      <c r="L40" s="219"/>
      <c r="M40" s="190"/>
      <c r="N40" s="190"/>
    </row>
    <row r="41" spans="1:14" ht="15">
      <c r="A41" s="623">
        <v>45230</v>
      </c>
      <c r="B41" s="623" t="s">
        <v>2518</v>
      </c>
      <c r="C41" s="623" t="s">
        <v>4140</v>
      </c>
      <c r="D41" s="624" t="s">
        <v>6477</v>
      </c>
      <c r="E41" s="603">
        <v>-67.760000000000005</v>
      </c>
      <c r="F41" s="604">
        <v>0</v>
      </c>
      <c r="G41" s="603">
        <v>-67.760000000000005</v>
      </c>
      <c r="H41" s="623"/>
      <c r="I41" s="605"/>
      <c r="J41" s="623"/>
      <c r="K41" s="503"/>
      <c r="L41" s="219"/>
      <c r="M41" s="190"/>
      <c r="N41" s="190"/>
    </row>
    <row r="42" spans="1:14" ht="15">
      <c r="A42" s="623">
        <v>45230</v>
      </c>
      <c r="B42" s="623" t="s">
        <v>2518</v>
      </c>
      <c r="C42" s="623" t="s">
        <v>4140</v>
      </c>
      <c r="D42" s="624" t="s">
        <v>6478</v>
      </c>
      <c r="E42" s="603">
        <v>-109.13</v>
      </c>
      <c r="F42" s="604">
        <v>0</v>
      </c>
      <c r="G42" s="603">
        <v>-109.13</v>
      </c>
      <c r="H42" s="623"/>
      <c r="I42" s="605"/>
      <c r="J42" s="623"/>
      <c r="K42" s="503"/>
      <c r="L42" s="219"/>
      <c r="M42" s="190"/>
      <c r="N42" s="190"/>
    </row>
    <row r="43" spans="1:14" ht="15">
      <c r="A43" s="623">
        <v>45230</v>
      </c>
      <c r="B43" s="623" t="s">
        <v>2518</v>
      </c>
      <c r="C43" s="623" t="s">
        <v>4140</v>
      </c>
      <c r="D43" s="624" t="s">
        <v>6479</v>
      </c>
      <c r="E43" s="603">
        <v>-1.55</v>
      </c>
      <c r="F43" s="604">
        <v>-0.33</v>
      </c>
      <c r="G43" s="603">
        <v>-1.88</v>
      </c>
      <c r="H43" s="623"/>
      <c r="I43" s="605"/>
      <c r="J43" s="623"/>
      <c r="K43" s="503"/>
      <c r="L43" s="219"/>
      <c r="M43" s="190"/>
      <c r="N43" s="190"/>
    </row>
    <row r="44" spans="1:14" ht="15">
      <c r="A44" s="623"/>
      <c r="B44" s="623"/>
      <c r="C44" s="623"/>
      <c r="D44" s="624"/>
      <c r="E44" s="603"/>
      <c r="F44" s="604"/>
      <c r="G44" s="603"/>
      <c r="H44" s="623"/>
      <c r="I44" s="605"/>
      <c r="J44" s="623"/>
      <c r="K44" s="503"/>
      <c r="L44" s="219"/>
      <c r="M44" s="190"/>
      <c r="N44" s="190"/>
    </row>
    <row r="45" spans="1:14" ht="15">
      <c r="A45" s="623"/>
      <c r="B45" s="623"/>
      <c r="C45" s="623"/>
      <c r="D45" s="624"/>
      <c r="E45" s="603"/>
      <c r="F45" s="604"/>
      <c r="G45" s="603"/>
      <c r="H45" s="623"/>
      <c r="I45" s="605"/>
      <c r="J45" s="623"/>
      <c r="K45" s="503"/>
      <c r="L45" s="219"/>
      <c r="M45" s="190"/>
      <c r="N45" s="190"/>
    </row>
    <row r="46" spans="1:14" ht="15">
      <c r="A46" s="623"/>
      <c r="B46" s="623"/>
      <c r="C46" s="623"/>
      <c r="D46" s="624"/>
      <c r="E46" s="603"/>
      <c r="F46" s="604"/>
      <c r="G46" s="603"/>
      <c r="H46" s="623"/>
      <c r="I46" s="605"/>
      <c r="J46" s="623"/>
      <c r="K46" s="503"/>
      <c r="L46" s="219"/>
      <c r="M46" s="190"/>
      <c r="N46" s="190"/>
    </row>
    <row r="47" spans="1:14" ht="15">
      <c r="A47" s="623"/>
      <c r="B47" s="623"/>
      <c r="C47" s="623"/>
      <c r="D47" s="624"/>
      <c r="E47" s="603"/>
      <c r="F47" s="604"/>
      <c r="G47" s="603"/>
      <c r="H47" s="623"/>
      <c r="I47" s="605"/>
      <c r="J47" s="623"/>
      <c r="K47" s="503"/>
      <c r="L47" s="219"/>
      <c r="M47" s="190"/>
      <c r="N47" s="190"/>
    </row>
    <row r="48" spans="1:14" ht="15">
      <c r="A48" s="623"/>
      <c r="B48" s="623"/>
      <c r="C48" s="623"/>
      <c r="D48" s="624"/>
      <c r="E48" s="603"/>
      <c r="F48" s="604"/>
      <c r="G48" s="603"/>
      <c r="H48" s="623"/>
      <c r="I48" s="605"/>
      <c r="J48" s="623"/>
      <c r="K48" s="503"/>
      <c r="L48" s="219"/>
      <c r="M48" s="190"/>
      <c r="N48" s="190"/>
    </row>
    <row r="49" spans="1:14" ht="15">
      <c r="A49" s="623"/>
      <c r="B49" s="623"/>
      <c r="C49" s="623"/>
      <c r="D49" s="624"/>
      <c r="E49" s="603"/>
      <c r="F49" s="604"/>
      <c r="G49" s="603"/>
      <c r="H49" s="623"/>
      <c r="I49" s="605"/>
      <c r="J49" s="623"/>
      <c r="K49" s="503"/>
      <c r="L49" s="219"/>
      <c r="M49" s="190"/>
      <c r="N49" s="190"/>
    </row>
    <row r="50" spans="1:14" ht="15">
      <c r="A50" s="623"/>
      <c r="B50" s="623"/>
      <c r="C50" s="623"/>
      <c r="D50" s="624"/>
      <c r="E50" s="603"/>
      <c r="F50" s="604"/>
      <c r="G50" s="603"/>
      <c r="H50" s="623"/>
      <c r="I50" s="605"/>
      <c r="J50" s="623"/>
      <c r="K50" s="503"/>
      <c r="L50" s="113"/>
    </row>
    <row r="51" spans="1:14" ht="15">
      <c r="A51" s="623"/>
      <c r="B51" s="623"/>
      <c r="C51" s="623"/>
      <c r="D51" s="624"/>
      <c r="E51" s="603"/>
      <c r="F51" s="604"/>
      <c r="G51" s="603"/>
      <c r="H51" s="623"/>
      <c r="I51" s="605"/>
      <c r="J51" s="623"/>
      <c r="K51" s="503"/>
      <c r="L51" s="113"/>
    </row>
    <row r="52" spans="1:14" ht="15">
      <c r="A52" s="632"/>
      <c r="B52" s="1126"/>
      <c r="C52" s="1126"/>
      <c r="D52" s="615"/>
      <c r="E52" s="616"/>
      <c r="F52" s="1144" t="s">
        <v>545</v>
      </c>
      <c r="G52" s="617">
        <f>SUM(G2:G51)-SUM(I2:I51)</f>
        <v>9252.9300000000076</v>
      </c>
      <c r="H52" s="632"/>
      <c r="I52" s="611"/>
      <c r="J52" s="632"/>
      <c r="K52" s="482"/>
      <c r="L52" s="113"/>
    </row>
  </sheetData>
  <mergeCells count="19">
    <mergeCell ref="K26:K29"/>
    <mergeCell ref="J26:J29"/>
    <mergeCell ref="I26:I29"/>
    <mergeCell ref="K21:K25"/>
    <mergeCell ref="J21:J25"/>
    <mergeCell ref="I21:I25"/>
    <mergeCell ref="K18:K19"/>
    <mergeCell ref="J18:J19"/>
    <mergeCell ref="I18:I19"/>
    <mergeCell ref="L2:L6"/>
    <mergeCell ref="K8:K12"/>
    <mergeCell ref="J8:J12"/>
    <mergeCell ref="I8:I12"/>
    <mergeCell ref="K13:K15"/>
    <mergeCell ref="J13:J15"/>
    <mergeCell ref="I13:I15"/>
    <mergeCell ref="I2:I6"/>
    <mergeCell ref="K2:K6"/>
    <mergeCell ref="J2:J6"/>
  </mergeCells>
  <phoneticPr fontId="15" type="noConversion"/>
  <hyperlinks>
    <hyperlink ref="F52" location="汇总!A1" display="剩余欠款"/>
  </hyperlink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M33"/>
  <sheetViews>
    <sheetView workbookViewId="0">
      <pane ySplit="1" topLeftCell="A2" activePane="bottomLeft" state="frozen"/>
      <selection activeCell="C33" sqref="C33"/>
      <selection pane="bottomLeft" activeCell="F33" sqref="F33"/>
    </sheetView>
  </sheetViews>
  <sheetFormatPr defaultColWidth="8.75" defaultRowHeight="14.25"/>
  <cols>
    <col min="1" max="1" width="13.25" style="308" bestFit="1" customWidth="1"/>
    <col min="2" max="2" width="8.875" style="308" bestFit="1" customWidth="1"/>
    <col min="3" max="3" width="25.5" style="308" bestFit="1" customWidth="1"/>
    <col min="4" max="4" width="15" style="308" bestFit="1" customWidth="1"/>
    <col min="5" max="6" width="12.125" style="308" customWidth="1"/>
    <col min="7" max="7" width="12" style="191" bestFit="1" customWidth="1"/>
    <col min="8" max="8" width="16.75" style="191" bestFit="1" customWidth="1"/>
    <col min="9" max="9" width="15.125" style="191" bestFit="1" customWidth="1"/>
    <col min="10" max="10" width="14" style="308" bestFit="1" customWidth="1"/>
    <col min="11" max="11" width="25" style="308" bestFit="1" customWidth="1"/>
    <col min="12" max="12" width="10.25" style="191" customWidth="1"/>
    <col min="13" max="13" width="15" style="191" bestFit="1" customWidth="1"/>
    <col min="14" max="16384" width="8.75" style="191"/>
  </cols>
  <sheetData>
    <row r="1" spans="1:13" s="96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6" t="s">
        <v>542</v>
      </c>
    </row>
    <row r="2" spans="1:13" ht="15">
      <c r="A2" s="1918">
        <v>44347</v>
      </c>
      <c r="B2" s="1918" t="s">
        <v>522</v>
      </c>
      <c r="C2" s="1918" t="s">
        <v>4609</v>
      </c>
      <c r="D2" s="1929" t="s">
        <v>2746</v>
      </c>
      <c r="E2" s="1923">
        <v>22331</v>
      </c>
      <c r="F2" s="1927">
        <v>0</v>
      </c>
      <c r="G2" s="609">
        <v>5000</v>
      </c>
      <c r="H2" s="620">
        <v>44347</v>
      </c>
      <c r="I2" s="613">
        <v>5000</v>
      </c>
      <c r="J2" s="620">
        <v>44462</v>
      </c>
      <c r="K2" s="249" t="s">
        <v>2747</v>
      </c>
      <c r="L2" s="195"/>
      <c r="M2" s="96"/>
    </row>
    <row r="3" spans="1:13" ht="15">
      <c r="A3" s="1919"/>
      <c r="B3" s="1919"/>
      <c r="C3" s="1919"/>
      <c r="D3" s="1977"/>
      <c r="E3" s="1961"/>
      <c r="F3" s="1960"/>
      <c r="G3" s="609">
        <v>453.37</v>
      </c>
      <c r="H3" s="620">
        <v>44347</v>
      </c>
      <c r="I3" s="613">
        <v>453.37</v>
      </c>
      <c r="J3" s="620">
        <v>44494</v>
      </c>
      <c r="K3" s="536" t="s">
        <v>2748</v>
      </c>
      <c r="L3" s="195"/>
      <c r="M3" s="96"/>
    </row>
    <row r="4" spans="1:13" ht="15">
      <c r="A4" s="1919"/>
      <c r="B4" s="1919"/>
      <c r="C4" s="1919"/>
      <c r="D4" s="1977"/>
      <c r="E4" s="1961"/>
      <c r="F4" s="1960"/>
      <c r="G4" s="609">
        <v>4956.8999999999996</v>
      </c>
      <c r="H4" s="620">
        <v>44347</v>
      </c>
      <c r="I4" s="613">
        <v>4956.8999999999996</v>
      </c>
      <c r="J4" s="620">
        <v>44518</v>
      </c>
      <c r="K4" s="536" t="s">
        <v>544</v>
      </c>
      <c r="L4" s="195"/>
      <c r="M4" s="96"/>
    </row>
    <row r="5" spans="1:13" ht="15">
      <c r="A5" s="1920"/>
      <c r="B5" s="1920"/>
      <c r="C5" s="1920"/>
      <c r="D5" s="1930"/>
      <c r="E5" s="1924"/>
      <c r="F5" s="1928"/>
      <c r="G5" s="609">
        <v>11920.73</v>
      </c>
      <c r="H5" s="620">
        <v>44347</v>
      </c>
      <c r="I5" s="613">
        <v>11920.73</v>
      </c>
      <c r="J5" s="620">
        <v>44566</v>
      </c>
      <c r="K5" s="536" t="s">
        <v>2747</v>
      </c>
      <c r="L5" s="195"/>
      <c r="M5" s="96"/>
    </row>
    <row r="6" spans="1:13" ht="15">
      <c r="A6" s="620">
        <v>44484</v>
      </c>
      <c r="B6" s="1124" t="s">
        <v>522</v>
      </c>
      <c r="C6" s="1124" t="s">
        <v>4609</v>
      </c>
      <c r="D6" s="621" t="s">
        <v>1451</v>
      </c>
      <c r="E6" s="611">
        <v>352.1</v>
      </c>
      <c r="F6" s="731">
        <v>0</v>
      </c>
      <c r="G6" s="609">
        <v>352.1</v>
      </c>
      <c r="H6" s="620">
        <v>44484</v>
      </c>
      <c r="I6" s="613">
        <v>352.1</v>
      </c>
      <c r="J6" s="620">
        <v>44494</v>
      </c>
      <c r="K6" s="249" t="s">
        <v>544</v>
      </c>
      <c r="L6" s="195"/>
      <c r="M6" s="96"/>
    </row>
    <row r="7" spans="1:13" ht="15">
      <c r="A7" s="620">
        <v>44490</v>
      </c>
      <c r="B7" s="1124" t="s">
        <v>522</v>
      </c>
      <c r="C7" s="1254" t="s">
        <v>4609</v>
      </c>
      <c r="D7" s="621" t="s">
        <v>1452</v>
      </c>
      <c r="E7" s="611">
        <v>1477.58</v>
      </c>
      <c r="F7" s="731">
        <v>310.29000000000002</v>
      </c>
      <c r="G7" s="609">
        <v>1787.88</v>
      </c>
      <c r="H7" s="620">
        <v>44490</v>
      </c>
      <c r="I7" s="613">
        <v>1787.88</v>
      </c>
      <c r="J7" s="620">
        <v>44495</v>
      </c>
      <c r="K7" s="249" t="s">
        <v>544</v>
      </c>
      <c r="L7" s="195"/>
      <c r="M7" s="96"/>
    </row>
    <row r="8" spans="1:13" ht="15">
      <c r="A8" s="620">
        <v>44490</v>
      </c>
      <c r="B8" s="1124" t="s">
        <v>522</v>
      </c>
      <c r="C8" s="1254" t="s">
        <v>4609</v>
      </c>
      <c r="D8" s="621" t="s">
        <v>1453</v>
      </c>
      <c r="E8" s="611">
        <v>132.96</v>
      </c>
      <c r="F8" s="731">
        <v>27.92</v>
      </c>
      <c r="G8" s="609">
        <v>160.87</v>
      </c>
      <c r="H8" s="620">
        <v>44490</v>
      </c>
      <c r="I8" s="613">
        <v>160.87</v>
      </c>
      <c r="J8" s="620">
        <v>44495</v>
      </c>
      <c r="K8" s="249" t="s">
        <v>544</v>
      </c>
      <c r="L8" s="195"/>
      <c r="M8" s="96"/>
    </row>
    <row r="9" spans="1:13" ht="15">
      <c r="A9" s="620">
        <v>44494</v>
      </c>
      <c r="B9" s="1124" t="s">
        <v>522</v>
      </c>
      <c r="C9" s="1254" t="s">
        <v>4609</v>
      </c>
      <c r="D9" s="621" t="s">
        <v>1454</v>
      </c>
      <c r="E9" s="611">
        <v>-20.79</v>
      </c>
      <c r="F9" s="731">
        <v>-4.3600000000000003</v>
      </c>
      <c r="G9" s="609">
        <v>-25.15</v>
      </c>
      <c r="H9" s="620">
        <v>44494</v>
      </c>
      <c r="I9" s="613">
        <v>-25.15</v>
      </c>
      <c r="J9" s="620">
        <v>44495</v>
      </c>
      <c r="K9" s="249" t="s">
        <v>544</v>
      </c>
      <c r="L9" s="195"/>
      <c r="M9" s="96"/>
    </row>
    <row r="10" spans="1:13" ht="15">
      <c r="A10" s="620">
        <v>44363</v>
      </c>
      <c r="B10" s="1124" t="s">
        <v>522</v>
      </c>
      <c r="C10" s="1254" t="s">
        <v>4609</v>
      </c>
      <c r="D10" s="621" t="s">
        <v>1455</v>
      </c>
      <c r="E10" s="611">
        <v>-410.27</v>
      </c>
      <c r="F10" s="731">
        <v>0</v>
      </c>
      <c r="G10" s="609">
        <v>-410.27</v>
      </c>
      <c r="H10" s="620" t="s">
        <v>1529</v>
      </c>
      <c r="I10" s="2036">
        <f>5000-I3</f>
        <v>4546.63</v>
      </c>
      <c r="J10" s="1948">
        <v>44494</v>
      </c>
      <c r="K10" s="2208" t="s">
        <v>2749</v>
      </c>
      <c r="L10" s="195"/>
      <c r="M10" s="96"/>
    </row>
    <row r="11" spans="1:13" ht="15">
      <c r="A11" s="620">
        <v>44365</v>
      </c>
      <c r="B11" s="1124" t="s">
        <v>522</v>
      </c>
      <c r="C11" s="1254" t="s">
        <v>4609</v>
      </c>
      <c r="D11" s="621" t="s">
        <v>1456</v>
      </c>
      <c r="E11" s="611">
        <v>1546.65</v>
      </c>
      <c r="F11" s="731">
        <v>0</v>
      </c>
      <c r="G11" s="609">
        <v>1546.65</v>
      </c>
      <c r="H11" s="620">
        <v>44365</v>
      </c>
      <c r="I11" s="2036"/>
      <c r="J11" s="1948"/>
      <c r="K11" s="2208"/>
      <c r="L11" s="195"/>
      <c r="M11" s="96"/>
    </row>
    <row r="12" spans="1:13" ht="15">
      <c r="A12" s="620">
        <v>44398</v>
      </c>
      <c r="B12" s="1124" t="s">
        <v>522</v>
      </c>
      <c r="C12" s="1254" t="s">
        <v>4609</v>
      </c>
      <c r="D12" s="621" t="s">
        <v>1457</v>
      </c>
      <c r="E12" s="611">
        <v>2261.9</v>
      </c>
      <c r="F12" s="731">
        <v>0</v>
      </c>
      <c r="G12" s="609">
        <v>2261.9</v>
      </c>
      <c r="H12" s="620">
        <v>44398</v>
      </c>
      <c r="I12" s="2036"/>
      <c r="J12" s="1948"/>
      <c r="K12" s="2208"/>
      <c r="L12" s="195"/>
      <c r="M12" s="96"/>
    </row>
    <row r="13" spans="1:13" ht="15">
      <c r="A13" s="620">
        <v>44411</v>
      </c>
      <c r="B13" s="1124" t="s">
        <v>522</v>
      </c>
      <c r="C13" s="1254" t="s">
        <v>4609</v>
      </c>
      <c r="D13" s="621" t="s">
        <v>1458</v>
      </c>
      <c r="E13" s="611">
        <v>853.23</v>
      </c>
      <c r="F13" s="731">
        <v>0</v>
      </c>
      <c r="G13" s="609">
        <v>853.23</v>
      </c>
      <c r="H13" s="620">
        <v>44411</v>
      </c>
      <c r="I13" s="2036"/>
      <c r="J13" s="1948"/>
      <c r="K13" s="2208"/>
      <c r="L13" s="195"/>
      <c r="M13" s="96"/>
    </row>
    <row r="14" spans="1:13" ht="15">
      <c r="A14" s="620">
        <v>44424</v>
      </c>
      <c r="B14" s="1124" t="s">
        <v>522</v>
      </c>
      <c r="C14" s="1254" t="s">
        <v>4609</v>
      </c>
      <c r="D14" s="621" t="s">
        <v>1459</v>
      </c>
      <c r="E14" s="611">
        <v>295.12</v>
      </c>
      <c r="F14" s="731">
        <v>0</v>
      </c>
      <c r="G14" s="609">
        <v>295.12</v>
      </c>
      <c r="H14" s="620">
        <v>44424</v>
      </c>
      <c r="I14" s="2036"/>
      <c r="J14" s="1948"/>
      <c r="K14" s="2208"/>
      <c r="L14" s="195"/>
      <c r="M14" s="96"/>
    </row>
    <row r="15" spans="1:13" ht="15">
      <c r="A15" s="620">
        <v>44446</v>
      </c>
      <c r="B15" s="1124" t="s">
        <v>522</v>
      </c>
      <c r="C15" s="1254" t="s">
        <v>4609</v>
      </c>
      <c r="D15" s="621" t="s">
        <v>1460</v>
      </c>
      <c r="E15" s="611">
        <v>5990.28</v>
      </c>
      <c r="F15" s="731">
        <v>0</v>
      </c>
      <c r="G15" s="609">
        <v>5990.28</v>
      </c>
      <c r="H15" s="620">
        <v>44446</v>
      </c>
      <c r="I15" s="611">
        <v>5990.28</v>
      </c>
      <c r="J15" s="620">
        <v>44560</v>
      </c>
      <c r="K15" s="536" t="s">
        <v>544</v>
      </c>
      <c r="L15" s="195"/>
      <c r="M15" s="96"/>
    </row>
    <row r="16" spans="1:13" ht="15">
      <c r="A16" s="673">
        <v>44531</v>
      </c>
      <c r="B16" s="1124" t="s">
        <v>522</v>
      </c>
      <c r="C16" s="1254" t="s">
        <v>4609</v>
      </c>
      <c r="D16" s="701" t="s">
        <v>1461</v>
      </c>
      <c r="E16" s="611">
        <v>2408.08</v>
      </c>
      <c r="F16" s="731">
        <v>0</v>
      </c>
      <c r="G16" s="609">
        <v>2408.08</v>
      </c>
      <c r="H16" s="620">
        <v>44531</v>
      </c>
      <c r="I16" s="1915">
        <v>2808.19</v>
      </c>
      <c r="J16" s="1918">
        <v>44620</v>
      </c>
      <c r="K16" s="2205" t="s">
        <v>2750</v>
      </c>
      <c r="L16" s="195"/>
      <c r="M16" s="96"/>
    </row>
    <row r="17" spans="1:13" ht="15">
      <c r="A17" s="620">
        <v>44558</v>
      </c>
      <c r="B17" s="1124" t="s">
        <v>522</v>
      </c>
      <c r="C17" s="1254" t="s">
        <v>4609</v>
      </c>
      <c r="D17" s="621" t="s">
        <v>1462</v>
      </c>
      <c r="E17" s="611">
        <v>400.11</v>
      </c>
      <c r="F17" s="731">
        <v>0</v>
      </c>
      <c r="G17" s="609">
        <v>400.11</v>
      </c>
      <c r="H17" s="620">
        <v>44558</v>
      </c>
      <c r="I17" s="1917"/>
      <c r="J17" s="1920"/>
      <c r="K17" s="2207"/>
      <c r="L17" s="195"/>
      <c r="M17" s="96"/>
    </row>
    <row r="18" spans="1:13" ht="15">
      <c r="A18" s="620">
        <v>44586</v>
      </c>
      <c r="B18" s="1124" t="s">
        <v>522</v>
      </c>
      <c r="C18" s="1254" t="s">
        <v>4609</v>
      </c>
      <c r="D18" s="621" t="s">
        <v>1463</v>
      </c>
      <c r="E18" s="611">
        <v>1076.5999999999999</v>
      </c>
      <c r="F18" s="731">
        <v>0</v>
      </c>
      <c r="G18" s="609">
        <v>1076.5999999999999</v>
      </c>
      <c r="H18" s="620">
        <v>44586</v>
      </c>
      <c r="I18" s="1915">
        <v>3596.75</v>
      </c>
      <c r="J18" s="1918">
        <v>44749</v>
      </c>
      <c r="K18" s="2205" t="s">
        <v>2424</v>
      </c>
      <c r="L18" s="195"/>
      <c r="M18" s="96"/>
    </row>
    <row r="19" spans="1:13" ht="15">
      <c r="A19" s="620">
        <v>44620</v>
      </c>
      <c r="B19" s="1124" t="s">
        <v>521</v>
      </c>
      <c r="C19" s="1254" t="s">
        <v>4609</v>
      </c>
      <c r="D19" s="621" t="s">
        <v>1464</v>
      </c>
      <c r="E19" s="611">
        <v>9746.14</v>
      </c>
      <c r="F19" s="731">
        <v>0</v>
      </c>
      <c r="G19" s="609">
        <v>9746.14</v>
      </c>
      <c r="H19" s="620">
        <v>44620</v>
      </c>
      <c r="I19" s="1916"/>
      <c r="J19" s="1919"/>
      <c r="K19" s="2206"/>
      <c r="L19" s="195"/>
      <c r="M19" s="96"/>
    </row>
    <row r="20" spans="1:13" ht="15">
      <c r="A20" s="620">
        <v>44655</v>
      </c>
      <c r="B20" s="1124" t="s">
        <v>521</v>
      </c>
      <c r="C20" s="1254" t="s">
        <v>4609</v>
      </c>
      <c r="D20" s="621" t="s">
        <v>1866</v>
      </c>
      <c r="E20" s="611">
        <v>765.03</v>
      </c>
      <c r="F20" s="731">
        <v>0</v>
      </c>
      <c r="G20" s="609">
        <v>765.03</v>
      </c>
      <c r="H20" s="620"/>
      <c r="I20" s="1916"/>
      <c r="J20" s="1919"/>
      <c r="K20" s="2206"/>
      <c r="L20" s="195"/>
      <c r="M20" s="96"/>
    </row>
    <row r="21" spans="1:13" ht="15">
      <c r="A21" s="620">
        <v>44714</v>
      </c>
      <c r="B21" s="1124" t="s">
        <v>521</v>
      </c>
      <c r="C21" s="1254" t="s">
        <v>4609</v>
      </c>
      <c r="D21" s="621" t="s">
        <v>2231</v>
      </c>
      <c r="E21" s="611">
        <v>-134.12</v>
      </c>
      <c r="F21" s="731">
        <v>0</v>
      </c>
      <c r="G21" s="609">
        <v>-134.12</v>
      </c>
      <c r="H21" s="620"/>
      <c r="I21" s="1916"/>
      <c r="J21" s="1919"/>
      <c r="K21" s="2206"/>
      <c r="L21" s="195"/>
      <c r="M21" s="96"/>
    </row>
    <row r="22" spans="1:13" ht="15">
      <c r="A22" s="620">
        <v>44714</v>
      </c>
      <c r="B22" s="1124" t="s">
        <v>521</v>
      </c>
      <c r="C22" s="1254" t="s">
        <v>4609</v>
      </c>
      <c r="D22" s="621" t="s">
        <v>2232</v>
      </c>
      <c r="E22" s="611">
        <v>-6.42</v>
      </c>
      <c r="F22" s="731">
        <v>-1.35</v>
      </c>
      <c r="G22" s="609">
        <v>-7.77</v>
      </c>
      <c r="H22" s="620"/>
      <c r="I22" s="1916"/>
      <c r="J22" s="1919"/>
      <c r="K22" s="2206"/>
      <c r="L22" s="195"/>
      <c r="M22" s="96"/>
    </row>
    <row r="23" spans="1:13" ht="15">
      <c r="A23" s="620">
        <v>44714</v>
      </c>
      <c r="B23" s="1124" t="s">
        <v>521</v>
      </c>
      <c r="C23" s="1254" t="s">
        <v>4609</v>
      </c>
      <c r="D23" s="621" t="s">
        <v>2233</v>
      </c>
      <c r="E23" s="611">
        <v>-232.58</v>
      </c>
      <c r="F23" s="731">
        <v>-48.84</v>
      </c>
      <c r="G23" s="609">
        <v>-281.42</v>
      </c>
      <c r="H23" s="620"/>
      <c r="I23" s="1916"/>
      <c r="J23" s="1919"/>
      <c r="K23" s="2206"/>
      <c r="L23" s="195"/>
      <c r="M23" s="96"/>
    </row>
    <row r="24" spans="1:13" ht="15">
      <c r="A24" s="620">
        <v>44714</v>
      </c>
      <c r="B24" s="1124" t="s">
        <v>521</v>
      </c>
      <c r="C24" s="1254" t="s">
        <v>4609</v>
      </c>
      <c r="D24" s="621" t="s">
        <v>2234</v>
      </c>
      <c r="E24" s="611">
        <v>-4063.82</v>
      </c>
      <c r="F24" s="731">
        <v>0</v>
      </c>
      <c r="G24" s="609">
        <v>-4063.82</v>
      </c>
      <c r="H24" s="620"/>
      <c r="I24" s="1916"/>
      <c r="J24" s="1919"/>
      <c r="K24" s="2206"/>
      <c r="L24" s="195"/>
      <c r="M24" s="96"/>
    </row>
    <row r="25" spans="1:13" ht="15">
      <c r="A25" s="620">
        <v>44714</v>
      </c>
      <c r="B25" s="1124" t="s">
        <v>521</v>
      </c>
      <c r="C25" s="1254" t="s">
        <v>4609</v>
      </c>
      <c r="D25" s="621" t="s">
        <v>2235</v>
      </c>
      <c r="E25" s="611">
        <v>-3393.29</v>
      </c>
      <c r="F25" s="731">
        <v>0</v>
      </c>
      <c r="G25" s="609">
        <v>-3393.29</v>
      </c>
      <c r="H25" s="620"/>
      <c r="I25" s="1916"/>
      <c r="J25" s="1919"/>
      <c r="K25" s="2206"/>
      <c r="L25" s="195"/>
      <c r="M25" s="96"/>
    </row>
    <row r="26" spans="1:13" ht="15">
      <c r="A26" s="620">
        <v>44715</v>
      </c>
      <c r="B26" s="1124" t="s">
        <v>521</v>
      </c>
      <c r="C26" s="1254" t="s">
        <v>4609</v>
      </c>
      <c r="D26" s="621" t="s">
        <v>2236</v>
      </c>
      <c r="E26" s="611">
        <v>-110.6</v>
      </c>
      <c r="F26" s="731">
        <v>0</v>
      </c>
      <c r="G26" s="609">
        <v>-110.6</v>
      </c>
      <c r="H26" s="620"/>
      <c r="I26" s="1917"/>
      <c r="J26" s="1920"/>
      <c r="K26" s="2207"/>
      <c r="L26" s="195"/>
      <c r="M26" s="96"/>
    </row>
    <row r="27" spans="1:13" ht="15">
      <c r="A27" s="620"/>
      <c r="B27" s="1124"/>
      <c r="C27" s="1254"/>
      <c r="D27" s="621"/>
      <c r="E27" s="621"/>
      <c r="F27" s="633"/>
      <c r="G27" s="738"/>
      <c r="H27" s="620"/>
      <c r="I27" s="639"/>
      <c r="J27" s="621"/>
      <c r="K27" s="402"/>
      <c r="L27" s="195"/>
      <c r="M27" s="96"/>
    </row>
    <row r="28" spans="1:13" ht="15">
      <c r="A28" s="620"/>
      <c r="B28" s="1124"/>
      <c r="C28" s="1124"/>
      <c r="D28" s="621"/>
      <c r="E28" s="621"/>
      <c r="F28" s="621"/>
      <c r="G28" s="738"/>
      <c r="H28" s="620"/>
      <c r="I28" s="639"/>
      <c r="J28" s="621"/>
      <c r="K28" s="402"/>
      <c r="L28" s="195"/>
      <c r="M28" s="96"/>
    </row>
    <row r="29" spans="1:13" ht="15">
      <c r="A29" s="620"/>
      <c r="B29" s="1124"/>
      <c r="C29" s="1124"/>
      <c r="D29" s="621"/>
      <c r="E29" s="621"/>
      <c r="F29" s="621"/>
      <c r="G29" s="738"/>
      <c r="H29" s="620"/>
      <c r="I29" s="639"/>
      <c r="J29" s="621"/>
      <c r="K29" s="402"/>
      <c r="L29" s="195"/>
      <c r="M29" s="96"/>
    </row>
    <row r="30" spans="1:13" ht="15">
      <c r="A30" s="620"/>
      <c r="B30" s="1124"/>
      <c r="C30" s="1124"/>
      <c r="D30" s="621"/>
      <c r="E30" s="621"/>
      <c r="F30" s="621"/>
      <c r="G30" s="738"/>
      <c r="H30" s="634"/>
      <c r="I30" s="639"/>
      <c r="J30" s="621"/>
      <c r="K30" s="249"/>
      <c r="L30" s="195"/>
    </row>
    <row r="31" spans="1:13" ht="15">
      <c r="A31" s="620"/>
      <c r="B31" s="1124"/>
      <c r="C31" s="1124"/>
      <c r="D31" s="621"/>
      <c r="E31" s="621"/>
      <c r="F31" s="621"/>
      <c r="G31" s="738"/>
      <c r="H31" s="634"/>
      <c r="I31" s="639"/>
      <c r="J31" s="621"/>
      <c r="K31" s="249"/>
      <c r="L31" s="195"/>
    </row>
    <row r="32" spans="1:13" ht="15">
      <c r="A32" s="621"/>
      <c r="B32" s="1125"/>
      <c r="C32" s="1125"/>
      <c r="D32" s="621"/>
      <c r="E32" s="621"/>
      <c r="F32" s="621"/>
      <c r="G32" s="738"/>
      <c r="H32" s="634"/>
      <c r="I32" s="639"/>
      <c r="J32" s="621"/>
      <c r="K32" s="249"/>
      <c r="L32" s="195"/>
    </row>
    <row r="33" spans="1:12" ht="15">
      <c r="A33" s="621"/>
      <c r="B33" s="1125"/>
      <c r="C33" s="1125"/>
      <c r="D33" s="621"/>
      <c r="E33" s="619"/>
      <c r="F33" s="1144" t="s">
        <v>545</v>
      </c>
      <c r="G33" s="739">
        <f>SUM(G2:G32)-SUM(I2:I32)</f>
        <v>0</v>
      </c>
      <c r="H33" s="634"/>
      <c r="I33" s="634"/>
      <c r="J33" s="621"/>
      <c r="K33" s="249"/>
      <c r="L33" s="195"/>
    </row>
  </sheetData>
  <mergeCells count="15">
    <mergeCell ref="F2:F5"/>
    <mergeCell ref="E2:E5"/>
    <mergeCell ref="D2:D5"/>
    <mergeCell ref="A2:A5"/>
    <mergeCell ref="K18:K26"/>
    <mergeCell ref="J18:J26"/>
    <mergeCell ref="I18:I26"/>
    <mergeCell ref="I16:I17"/>
    <mergeCell ref="J16:J17"/>
    <mergeCell ref="K16:K17"/>
    <mergeCell ref="K10:K14"/>
    <mergeCell ref="J10:J14"/>
    <mergeCell ref="I10:I14"/>
    <mergeCell ref="C2:C5"/>
    <mergeCell ref="B2:B5"/>
  </mergeCells>
  <phoneticPr fontId="15" type="noConversion"/>
  <hyperlinks>
    <hyperlink ref="F33" location="汇总!A1" display="剩余欠款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M13"/>
  <sheetViews>
    <sheetView workbookViewId="0">
      <pane ySplit="1" topLeftCell="A2" activePane="bottomLeft" state="frozen"/>
      <selection activeCell="C33" sqref="C33"/>
      <selection pane="bottomLeft" activeCell="F13" sqref="F13"/>
    </sheetView>
  </sheetViews>
  <sheetFormatPr defaultRowHeight="14.25"/>
  <cols>
    <col min="1" max="1" width="14" bestFit="1" customWidth="1"/>
    <col min="2" max="2" width="8.875" bestFit="1" customWidth="1"/>
    <col min="3" max="3" width="28" bestFit="1" customWidth="1"/>
    <col min="4" max="4" width="15" bestFit="1" customWidth="1"/>
    <col min="5" max="6" width="11.5" customWidth="1"/>
    <col min="7" max="7" width="11.5" bestFit="1" customWidth="1"/>
    <col min="8" max="8" width="16.75" bestFit="1" customWidth="1"/>
    <col min="9" max="9" width="14.125" bestFit="1" customWidth="1"/>
    <col min="10" max="10" width="12" bestFit="1" customWidth="1"/>
    <col min="11" max="11" width="13.5" customWidth="1"/>
    <col min="12" max="12" width="6.5" bestFit="1" customWidth="1"/>
    <col min="13" max="13" width="13.875" bestFit="1" customWidth="1"/>
  </cols>
  <sheetData>
    <row r="1" spans="1:13" s="96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6" t="s">
        <v>542</v>
      </c>
    </row>
    <row r="2" spans="1:13" ht="15">
      <c r="A2" s="632">
        <v>44510</v>
      </c>
      <c r="B2" s="1124" t="s">
        <v>4138</v>
      </c>
      <c r="C2" s="1124" t="s">
        <v>4599</v>
      </c>
      <c r="D2" s="615" t="s">
        <v>1785</v>
      </c>
      <c r="E2" s="611">
        <v>742.98</v>
      </c>
      <c r="F2" s="731">
        <v>0</v>
      </c>
      <c r="G2" s="611">
        <v>742.98</v>
      </c>
      <c r="H2" s="632">
        <v>44540</v>
      </c>
      <c r="I2" s="611">
        <v>742.98</v>
      </c>
      <c r="J2" s="632">
        <v>44599</v>
      </c>
      <c r="K2" s="243" t="s">
        <v>550</v>
      </c>
      <c r="L2" s="100"/>
      <c r="M2" s="96"/>
    </row>
    <row r="3" spans="1:13" ht="15">
      <c r="A3" s="632">
        <v>44512</v>
      </c>
      <c r="B3" s="1124" t="s">
        <v>4138</v>
      </c>
      <c r="C3" s="1254" t="s">
        <v>4599</v>
      </c>
      <c r="D3" s="615" t="s">
        <v>1786</v>
      </c>
      <c r="E3" s="611">
        <v>1798.65</v>
      </c>
      <c r="F3" s="731">
        <v>0</v>
      </c>
      <c r="G3" s="611">
        <v>1798.65</v>
      </c>
      <c r="H3" s="632">
        <v>44512</v>
      </c>
      <c r="I3" s="1923">
        <v>799.33</v>
      </c>
      <c r="J3" s="1903">
        <v>44704</v>
      </c>
      <c r="K3" s="1935" t="s">
        <v>2453</v>
      </c>
      <c r="L3" s="113"/>
      <c r="M3" s="96"/>
    </row>
    <row r="4" spans="1:13" ht="15">
      <c r="A4" s="632">
        <v>44690</v>
      </c>
      <c r="B4" s="1124" t="s">
        <v>4139</v>
      </c>
      <c r="C4" s="1254" t="s">
        <v>4599</v>
      </c>
      <c r="D4" s="615" t="s">
        <v>2090</v>
      </c>
      <c r="E4" s="611">
        <v>-999.32</v>
      </c>
      <c r="F4" s="731">
        <v>0</v>
      </c>
      <c r="G4" s="611">
        <v>-999.32</v>
      </c>
      <c r="H4" s="632"/>
      <c r="I4" s="1924"/>
      <c r="J4" s="1905"/>
      <c r="K4" s="1947"/>
      <c r="L4" s="100"/>
      <c r="M4" s="96"/>
    </row>
    <row r="5" spans="1:13" ht="15">
      <c r="A5" s="632">
        <v>44587</v>
      </c>
      <c r="B5" s="1124" t="s">
        <v>4138</v>
      </c>
      <c r="C5" s="1254" t="s">
        <v>4599</v>
      </c>
      <c r="D5" s="615" t="s">
        <v>1787</v>
      </c>
      <c r="E5" s="611">
        <v>144.9</v>
      </c>
      <c r="F5" s="731">
        <v>0</v>
      </c>
      <c r="G5" s="611">
        <v>144.9</v>
      </c>
      <c r="H5" s="632">
        <v>44587</v>
      </c>
      <c r="I5" s="611">
        <v>144.9</v>
      </c>
      <c r="J5" s="632">
        <v>44599</v>
      </c>
      <c r="K5" s="243" t="s">
        <v>550</v>
      </c>
      <c r="L5" s="100"/>
      <c r="M5" s="96"/>
    </row>
    <row r="6" spans="1:13" ht="15">
      <c r="A6" s="632"/>
      <c r="B6" s="1126"/>
      <c r="C6" s="1126"/>
      <c r="D6" s="615"/>
      <c r="E6" s="615"/>
      <c r="F6" s="649"/>
      <c r="G6" s="631"/>
      <c r="H6" s="632"/>
      <c r="I6" s="708"/>
      <c r="J6" s="708"/>
      <c r="K6" s="106"/>
      <c r="L6" s="100"/>
      <c r="M6" s="96"/>
    </row>
    <row r="7" spans="1:13" ht="15">
      <c r="A7" s="632"/>
      <c r="B7" s="1126"/>
      <c r="C7" s="1126"/>
      <c r="D7" s="615"/>
      <c r="E7" s="615"/>
      <c r="F7" s="649"/>
      <c r="G7" s="631"/>
      <c r="H7" s="632"/>
      <c r="I7" s="708"/>
      <c r="J7" s="708"/>
      <c r="K7" s="101"/>
      <c r="L7" s="100"/>
    </row>
    <row r="8" spans="1:13" ht="15">
      <c r="A8" s="632"/>
      <c r="B8" s="1126"/>
      <c r="C8" s="1126"/>
      <c r="D8" s="615"/>
      <c r="E8" s="615"/>
      <c r="F8" s="649"/>
      <c r="G8" s="631"/>
      <c r="H8" s="632"/>
      <c r="I8" s="708"/>
      <c r="J8" s="708"/>
      <c r="K8" s="101"/>
      <c r="L8" s="100"/>
    </row>
    <row r="9" spans="1:13" ht="15">
      <c r="A9" s="632"/>
      <c r="B9" s="1126"/>
      <c r="C9" s="1126"/>
      <c r="D9" s="648"/>
      <c r="E9" s="648"/>
      <c r="F9" s="740"/>
      <c r="G9" s="631"/>
      <c r="H9" s="632"/>
      <c r="I9" s="708"/>
      <c r="J9" s="708"/>
      <c r="K9" s="106"/>
      <c r="L9" s="100"/>
    </row>
    <row r="10" spans="1:13" ht="15">
      <c r="A10" s="632"/>
      <c r="B10" s="1126"/>
      <c r="C10" s="1126"/>
      <c r="D10" s="615"/>
      <c r="E10" s="615"/>
      <c r="F10" s="649"/>
      <c r="G10" s="631"/>
      <c r="H10" s="632"/>
      <c r="I10" s="708"/>
      <c r="J10" s="708"/>
      <c r="K10" s="106"/>
      <c r="L10" s="100"/>
    </row>
    <row r="11" spans="1:13" ht="15">
      <c r="A11" s="632"/>
      <c r="B11" s="1126"/>
      <c r="C11" s="1126"/>
      <c r="D11" s="615"/>
      <c r="E11" s="615"/>
      <c r="F11" s="649"/>
      <c r="G11" s="631"/>
      <c r="H11" s="632"/>
      <c r="I11" s="708"/>
      <c r="J11" s="708"/>
      <c r="K11" s="106"/>
      <c r="L11" s="100"/>
    </row>
    <row r="12" spans="1:13" ht="15">
      <c r="A12" s="632"/>
      <c r="B12" s="1126"/>
      <c r="C12" s="1126"/>
      <c r="D12" s="615"/>
      <c r="E12" s="615"/>
      <c r="F12" s="649"/>
      <c r="G12" s="631"/>
      <c r="H12" s="632"/>
      <c r="I12" s="708"/>
      <c r="J12" s="708"/>
      <c r="K12" s="106"/>
      <c r="L12" s="100"/>
    </row>
    <row r="13" spans="1:13" ht="15">
      <c r="A13" s="632"/>
      <c r="B13" s="1126"/>
      <c r="C13" s="1126"/>
      <c r="D13" s="615"/>
      <c r="E13" s="616"/>
      <c r="F13" s="1144" t="s">
        <v>545</v>
      </c>
      <c r="G13" s="645">
        <f>SUM(G2:G12)-SUM(I2:I12)</f>
        <v>0</v>
      </c>
      <c r="H13" s="632"/>
      <c r="I13" s="708"/>
      <c r="J13" s="708"/>
      <c r="K13" s="106"/>
      <c r="L13" s="100"/>
    </row>
  </sheetData>
  <mergeCells count="3">
    <mergeCell ref="K3:K4"/>
    <mergeCell ref="J3:J4"/>
    <mergeCell ref="I3:I4"/>
  </mergeCells>
  <phoneticPr fontId="15" type="noConversion"/>
  <hyperlinks>
    <hyperlink ref="F13" location="汇总!A1" display="剩余欠款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L54"/>
  <sheetViews>
    <sheetView workbookViewId="0">
      <pane ySplit="1" topLeftCell="A26" activePane="bottomLeft" state="frozen"/>
      <selection activeCell="C33" sqref="C33"/>
      <selection pane="bottomLeft" activeCell="F51" sqref="F51"/>
    </sheetView>
  </sheetViews>
  <sheetFormatPr defaultRowHeight="14.25"/>
  <cols>
    <col min="1" max="1" width="13.25" style="96" bestFit="1" customWidth="1"/>
    <col min="2" max="2" width="9" style="96" bestFit="1" customWidth="1"/>
    <col min="3" max="3" width="22.25" style="96" bestFit="1" customWidth="1"/>
    <col min="4" max="4" width="15" bestFit="1" customWidth="1"/>
    <col min="5" max="6" width="11.75" customWidth="1"/>
    <col min="7" max="7" width="12" bestFit="1" customWidth="1"/>
    <col min="8" max="8" width="16.75" bestFit="1" customWidth="1"/>
    <col min="9" max="9" width="16.25" bestFit="1" customWidth="1"/>
    <col min="10" max="10" width="15.125" bestFit="1" customWidth="1"/>
    <col min="11" max="11" width="22.75" bestFit="1" customWidth="1"/>
    <col min="12" max="12" width="18.375" bestFit="1" customWidth="1"/>
  </cols>
  <sheetData>
    <row r="1" spans="1:12" s="96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6" t="s">
        <v>542</v>
      </c>
    </row>
    <row r="2" spans="1:12" ht="15">
      <c r="A2" s="632">
        <v>43634</v>
      </c>
      <c r="B2" s="1124" t="s">
        <v>4136</v>
      </c>
      <c r="C2" s="1124" t="s">
        <v>4137</v>
      </c>
      <c r="D2" s="615" t="s">
        <v>1867</v>
      </c>
      <c r="E2" s="611">
        <v>3988.21</v>
      </c>
      <c r="F2" s="731">
        <v>0</v>
      </c>
      <c r="G2" s="611">
        <v>3988.21</v>
      </c>
      <c r="H2" s="632">
        <v>43646</v>
      </c>
      <c r="I2" s="1981">
        <v>4546.6400000000003</v>
      </c>
      <c r="J2" s="1903">
        <v>43840</v>
      </c>
      <c r="K2" s="1935" t="s">
        <v>1872</v>
      </c>
      <c r="L2" s="113"/>
    </row>
    <row r="3" spans="1:12" ht="15">
      <c r="A3" s="632">
        <v>43707</v>
      </c>
      <c r="B3" s="1124" t="s">
        <v>4136</v>
      </c>
      <c r="C3" s="1124" t="s">
        <v>4137</v>
      </c>
      <c r="D3" s="615" t="s">
        <v>1868</v>
      </c>
      <c r="E3" s="611">
        <v>2680.13</v>
      </c>
      <c r="F3" s="731">
        <v>0</v>
      </c>
      <c r="G3" s="611">
        <v>2680.13</v>
      </c>
      <c r="H3" s="632">
        <v>43738</v>
      </c>
      <c r="I3" s="2168"/>
      <c r="J3" s="1910"/>
      <c r="K3" s="1887"/>
      <c r="L3" s="113"/>
    </row>
    <row r="4" spans="1:12" ht="15">
      <c r="A4" s="632">
        <v>43708</v>
      </c>
      <c r="B4" s="1124" t="s">
        <v>4136</v>
      </c>
      <c r="C4" s="1124" t="s">
        <v>4137</v>
      </c>
      <c r="D4" s="615" t="s">
        <v>1869</v>
      </c>
      <c r="E4" s="611">
        <v>378</v>
      </c>
      <c r="F4" s="731">
        <v>0</v>
      </c>
      <c r="G4" s="611">
        <v>378</v>
      </c>
      <c r="H4" s="632">
        <v>43738</v>
      </c>
      <c r="I4" s="2168"/>
      <c r="J4" s="1910"/>
      <c r="K4" s="1887"/>
      <c r="L4" s="113"/>
    </row>
    <row r="5" spans="1:12" ht="15">
      <c r="A5" s="632">
        <v>43819</v>
      </c>
      <c r="B5" s="1124" t="s">
        <v>4136</v>
      </c>
      <c r="C5" s="1124" t="s">
        <v>4137</v>
      </c>
      <c r="D5" s="615" t="s">
        <v>26</v>
      </c>
      <c r="E5" s="611">
        <v>-2499.6999999999998</v>
      </c>
      <c r="F5" s="731">
        <v>0</v>
      </c>
      <c r="G5" s="611">
        <v>-2499.6999999999998</v>
      </c>
      <c r="H5" s="632" t="s">
        <v>1529</v>
      </c>
      <c r="I5" s="1982"/>
      <c r="J5" s="1911"/>
      <c r="K5" s="1888"/>
      <c r="L5" s="113"/>
    </row>
    <row r="6" spans="1:12" ht="15">
      <c r="A6" s="632">
        <v>44658</v>
      </c>
      <c r="B6" s="1124" t="s">
        <v>521</v>
      </c>
      <c r="C6" s="1124" t="s">
        <v>4137</v>
      </c>
      <c r="D6" s="615" t="s">
        <v>1870</v>
      </c>
      <c r="E6" s="611">
        <v>6713.97</v>
      </c>
      <c r="F6" s="731">
        <v>0</v>
      </c>
      <c r="G6" s="611">
        <v>6713.97</v>
      </c>
      <c r="H6" s="632">
        <v>44659</v>
      </c>
      <c r="I6" s="611">
        <v>6713.97</v>
      </c>
      <c r="J6" s="632">
        <v>44753</v>
      </c>
      <c r="K6" s="450" t="s">
        <v>2423</v>
      </c>
      <c r="L6" s="166" t="s">
        <v>2751</v>
      </c>
    </row>
    <row r="7" spans="1:12" ht="15">
      <c r="A7" s="632">
        <v>44658</v>
      </c>
      <c r="B7" s="1124" t="s">
        <v>521</v>
      </c>
      <c r="C7" s="1124" t="s">
        <v>4137</v>
      </c>
      <c r="D7" s="615" t="s">
        <v>1871</v>
      </c>
      <c r="E7" s="611">
        <v>150.78</v>
      </c>
      <c r="F7" s="731">
        <v>0</v>
      </c>
      <c r="G7" s="611">
        <v>150.78</v>
      </c>
      <c r="H7" s="632">
        <v>44659</v>
      </c>
      <c r="I7" s="1981">
        <v>2111.91</v>
      </c>
      <c r="J7" s="1903">
        <v>44732</v>
      </c>
      <c r="K7" s="1935" t="s">
        <v>2325</v>
      </c>
      <c r="L7" s="2051" t="s">
        <v>2752</v>
      </c>
    </row>
    <row r="8" spans="1:12" ht="15">
      <c r="A8" s="632">
        <v>44705</v>
      </c>
      <c r="B8" s="1124" t="s">
        <v>521</v>
      </c>
      <c r="C8" s="1124" t="s">
        <v>4137</v>
      </c>
      <c r="D8" s="615" t="s">
        <v>2174</v>
      </c>
      <c r="E8" s="611">
        <v>538.25</v>
      </c>
      <c r="F8" s="731">
        <v>0</v>
      </c>
      <c r="G8" s="611">
        <v>538.25</v>
      </c>
      <c r="H8" s="632">
        <v>44765</v>
      </c>
      <c r="I8" s="2168"/>
      <c r="J8" s="1904"/>
      <c r="K8" s="1887"/>
      <c r="L8" s="2124"/>
    </row>
    <row r="9" spans="1:12" ht="15">
      <c r="A9" s="885">
        <v>44721</v>
      </c>
      <c r="B9" s="1124" t="s">
        <v>521</v>
      </c>
      <c r="C9" s="1124" t="s">
        <v>4137</v>
      </c>
      <c r="D9" s="886" t="s">
        <v>2262</v>
      </c>
      <c r="E9" s="611">
        <v>892.13</v>
      </c>
      <c r="F9" s="731">
        <v>0</v>
      </c>
      <c r="G9" s="611">
        <v>892.13</v>
      </c>
      <c r="H9" s="885">
        <v>44781</v>
      </c>
      <c r="I9" s="2168"/>
      <c r="J9" s="1904"/>
      <c r="K9" s="1887"/>
      <c r="L9" s="2124"/>
    </row>
    <row r="10" spans="1:12" ht="15">
      <c r="A10" s="885">
        <v>44721</v>
      </c>
      <c r="B10" s="1124" t="s">
        <v>521</v>
      </c>
      <c r="C10" s="1124" t="s">
        <v>4137</v>
      </c>
      <c r="D10" s="648" t="s">
        <v>2263</v>
      </c>
      <c r="E10" s="611">
        <v>530.75</v>
      </c>
      <c r="F10" s="731">
        <v>0</v>
      </c>
      <c r="G10" s="611">
        <v>530.75</v>
      </c>
      <c r="H10" s="885">
        <v>44781</v>
      </c>
      <c r="I10" s="1982"/>
      <c r="J10" s="1905"/>
      <c r="K10" s="1888"/>
      <c r="L10" s="2125"/>
    </row>
    <row r="11" spans="1:12" ht="15">
      <c r="A11" s="885">
        <v>44760.000497685185</v>
      </c>
      <c r="B11" s="1124" t="s">
        <v>521</v>
      </c>
      <c r="C11" s="1124" t="s">
        <v>4137</v>
      </c>
      <c r="D11" s="886" t="s">
        <v>2477</v>
      </c>
      <c r="E11" s="611">
        <v>105</v>
      </c>
      <c r="F11" s="731">
        <v>0</v>
      </c>
      <c r="G11" s="611">
        <v>105</v>
      </c>
      <c r="H11" s="885">
        <v>44761</v>
      </c>
      <c r="I11" s="1981">
        <v>3324.32</v>
      </c>
      <c r="J11" s="1903">
        <v>44867</v>
      </c>
      <c r="K11" s="1935" t="s">
        <v>3421</v>
      </c>
      <c r="L11" s="113"/>
    </row>
    <row r="12" spans="1:12" ht="15">
      <c r="A12" s="885">
        <v>44760.000497685185</v>
      </c>
      <c r="B12" s="1124" t="s">
        <v>521</v>
      </c>
      <c r="C12" s="1124" t="s">
        <v>4137</v>
      </c>
      <c r="D12" s="886" t="s">
        <v>2478</v>
      </c>
      <c r="E12" s="611">
        <v>1811.82</v>
      </c>
      <c r="F12" s="731">
        <v>0</v>
      </c>
      <c r="G12" s="611">
        <v>1811.82</v>
      </c>
      <c r="H12" s="885">
        <v>44761</v>
      </c>
      <c r="I12" s="2168"/>
      <c r="J12" s="1904"/>
      <c r="K12" s="1887"/>
      <c r="L12" s="113"/>
    </row>
    <row r="13" spans="1:12" ht="15">
      <c r="A13" s="1065">
        <v>44768</v>
      </c>
      <c r="B13" s="1124" t="s">
        <v>521</v>
      </c>
      <c r="C13" s="1124" t="s">
        <v>4137</v>
      </c>
      <c r="D13" s="1068" t="s">
        <v>2548</v>
      </c>
      <c r="E13" s="611">
        <v>912</v>
      </c>
      <c r="F13" s="731">
        <v>0</v>
      </c>
      <c r="G13" s="611">
        <v>912</v>
      </c>
      <c r="H13" s="1065">
        <v>44769</v>
      </c>
      <c r="I13" s="2168"/>
      <c r="J13" s="1904"/>
      <c r="K13" s="1887"/>
      <c r="L13" s="113"/>
    </row>
    <row r="14" spans="1:12" ht="15">
      <c r="A14" s="1903">
        <v>44783.000497685185</v>
      </c>
      <c r="B14" s="1918" t="s">
        <v>2518</v>
      </c>
      <c r="C14" s="1918" t="s">
        <v>4137</v>
      </c>
      <c r="D14" s="1909" t="s">
        <v>2681</v>
      </c>
      <c r="E14" s="1923">
        <v>2550.71</v>
      </c>
      <c r="F14" s="1927">
        <v>0</v>
      </c>
      <c r="G14" s="611">
        <v>495.5</v>
      </c>
      <c r="H14" s="1065">
        <v>44784.000497685185</v>
      </c>
      <c r="I14" s="1982"/>
      <c r="J14" s="1905"/>
      <c r="K14" s="1888"/>
      <c r="L14" s="113"/>
    </row>
    <row r="15" spans="1:12" ht="15">
      <c r="A15" s="1905"/>
      <c r="B15" s="1920"/>
      <c r="C15" s="1920"/>
      <c r="D15" s="1911"/>
      <c r="E15" s="1924"/>
      <c r="F15" s="1928"/>
      <c r="G15" s="611">
        <f>2550.71-495.5</f>
        <v>2055.21</v>
      </c>
      <c r="H15" s="1065">
        <v>44784.000497685185</v>
      </c>
      <c r="I15" s="1923">
        <v>4471.3900000000003</v>
      </c>
      <c r="J15" s="1903">
        <v>44944</v>
      </c>
      <c r="K15" s="1938" t="s">
        <v>4003</v>
      </c>
      <c r="L15" s="113"/>
    </row>
    <row r="16" spans="1:12" ht="15">
      <c r="A16" s="1065">
        <v>44796</v>
      </c>
      <c r="B16" s="1124" t="s">
        <v>2518</v>
      </c>
      <c r="C16" s="1124" t="s">
        <v>4137</v>
      </c>
      <c r="D16" s="1068" t="s">
        <v>2845</v>
      </c>
      <c r="E16" s="611">
        <v>777.37</v>
      </c>
      <c r="F16" s="731">
        <v>0</v>
      </c>
      <c r="G16" s="611">
        <v>777.37</v>
      </c>
      <c r="H16" s="1065">
        <v>44797</v>
      </c>
      <c r="I16" s="1961"/>
      <c r="J16" s="1904"/>
      <c r="K16" s="1887"/>
      <c r="L16" s="113"/>
    </row>
    <row r="17" spans="1:12" ht="15">
      <c r="A17" s="1065">
        <v>44810</v>
      </c>
      <c r="B17" s="1124" t="s">
        <v>2518</v>
      </c>
      <c r="C17" s="1124" t="s">
        <v>4137</v>
      </c>
      <c r="D17" s="1068" t="s">
        <v>2957</v>
      </c>
      <c r="E17" s="611">
        <v>1638.81</v>
      </c>
      <c r="F17" s="731">
        <v>0</v>
      </c>
      <c r="G17" s="611">
        <v>1638.81</v>
      </c>
      <c r="H17" s="1065">
        <v>44811</v>
      </c>
      <c r="I17" s="1924"/>
      <c r="J17" s="1905"/>
      <c r="K17" s="1888"/>
      <c r="L17" s="113"/>
    </row>
    <row r="18" spans="1:12" ht="15">
      <c r="A18" s="1274">
        <v>44872</v>
      </c>
      <c r="B18" s="1274" t="s">
        <v>2518</v>
      </c>
      <c r="C18" s="1274" t="s">
        <v>4137</v>
      </c>
      <c r="D18" s="1276" t="s">
        <v>3446</v>
      </c>
      <c r="E18" s="611">
        <v>1317.24</v>
      </c>
      <c r="F18" s="731">
        <v>0</v>
      </c>
      <c r="G18" s="611">
        <v>1317.24</v>
      </c>
      <c r="H18" s="1274">
        <v>44873</v>
      </c>
      <c r="I18" s="1951">
        <v>3156.45</v>
      </c>
      <c r="J18" s="1903">
        <v>45013</v>
      </c>
      <c r="K18" s="1938" t="s">
        <v>5232</v>
      </c>
      <c r="L18" s="166"/>
    </row>
    <row r="19" spans="1:12" ht="15">
      <c r="A19" s="1274">
        <v>44890</v>
      </c>
      <c r="B19" s="1274" t="s">
        <v>2518</v>
      </c>
      <c r="C19" s="1274" t="s">
        <v>4137</v>
      </c>
      <c r="D19" s="1276" t="s">
        <v>3530</v>
      </c>
      <c r="E19" s="611">
        <v>1871.98</v>
      </c>
      <c r="F19" s="731">
        <v>0</v>
      </c>
      <c r="G19" s="611">
        <v>1871.98</v>
      </c>
      <c r="H19" s="1274">
        <v>44891</v>
      </c>
      <c r="I19" s="1952"/>
      <c r="J19" s="1904"/>
      <c r="K19" s="1950"/>
      <c r="L19" s="166"/>
    </row>
    <row r="20" spans="1:12" ht="15">
      <c r="A20" s="1274">
        <v>44973</v>
      </c>
      <c r="B20" s="1274" t="s">
        <v>2518</v>
      </c>
      <c r="C20" s="1274" t="s">
        <v>4137</v>
      </c>
      <c r="D20" s="1276" t="s">
        <v>4164</v>
      </c>
      <c r="E20" s="611">
        <v>-32.770000000000003</v>
      </c>
      <c r="F20" s="731">
        <v>0</v>
      </c>
      <c r="G20" s="611">
        <v>-32.770000000000003</v>
      </c>
      <c r="H20" s="1274">
        <v>44974</v>
      </c>
      <c r="I20" s="1953"/>
      <c r="J20" s="1905"/>
      <c r="K20" s="1947"/>
      <c r="L20" s="166" t="s">
        <v>4167</v>
      </c>
    </row>
    <row r="21" spans="1:12" ht="28.5">
      <c r="A21" s="1339">
        <v>44943</v>
      </c>
      <c r="B21" s="1339" t="s">
        <v>2518</v>
      </c>
      <c r="C21" s="1339" t="s">
        <v>4137</v>
      </c>
      <c r="D21" s="1341" t="s">
        <v>3962</v>
      </c>
      <c r="E21" s="611">
        <v>2118.48</v>
      </c>
      <c r="F21" s="731">
        <v>0</v>
      </c>
      <c r="G21" s="611">
        <v>2118.48</v>
      </c>
      <c r="H21" s="1339">
        <v>44944</v>
      </c>
      <c r="I21" s="611">
        <v>2118.48</v>
      </c>
      <c r="J21" s="1339">
        <v>45040</v>
      </c>
      <c r="K21" s="1357" t="s">
        <v>4896</v>
      </c>
      <c r="L21" s="166"/>
    </row>
    <row r="22" spans="1:12" ht="15">
      <c r="A22" s="1427">
        <v>44971</v>
      </c>
      <c r="B22" s="1427" t="s">
        <v>2518</v>
      </c>
      <c r="C22" s="1427" t="s">
        <v>4137</v>
      </c>
      <c r="D22" s="1428" t="s">
        <v>4163</v>
      </c>
      <c r="E22" s="611">
        <v>562.5</v>
      </c>
      <c r="F22" s="731">
        <v>0</v>
      </c>
      <c r="G22" s="611">
        <v>562.5</v>
      </c>
      <c r="H22" s="1427">
        <v>45061</v>
      </c>
      <c r="I22" s="1951">
        <v>1890.18</v>
      </c>
      <c r="J22" s="1903">
        <v>45068</v>
      </c>
      <c r="K22" s="1938" t="s">
        <v>5235</v>
      </c>
      <c r="L22" s="113"/>
    </row>
    <row r="23" spans="1:12" ht="15">
      <c r="A23" s="1427">
        <v>44974</v>
      </c>
      <c r="B23" s="1427" t="s">
        <v>2518</v>
      </c>
      <c r="C23" s="1427" t="s">
        <v>4137</v>
      </c>
      <c r="D23" s="1428" t="s">
        <v>4165</v>
      </c>
      <c r="E23" s="611">
        <v>255.48</v>
      </c>
      <c r="F23" s="731">
        <v>0</v>
      </c>
      <c r="G23" s="611">
        <v>255.48</v>
      </c>
      <c r="H23" s="1427">
        <v>45034</v>
      </c>
      <c r="I23" s="1952"/>
      <c r="J23" s="1904"/>
      <c r="K23" s="1950"/>
      <c r="L23" s="113"/>
    </row>
    <row r="24" spans="1:12" ht="15">
      <c r="A24" s="1427">
        <v>44974</v>
      </c>
      <c r="B24" s="1427" t="s">
        <v>2518</v>
      </c>
      <c r="C24" s="1427" t="s">
        <v>4137</v>
      </c>
      <c r="D24" s="1428" t="s">
        <v>4166</v>
      </c>
      <c r="E24" s="611">
        <v>709.2</v>
      </c>
      <c r="F24" s="731">
        <v>0</v>
      </c>
      <c r="G24" s="611">
        <v>709.2</v>
      </c>
      <c r="H24" s="1427">
        <v>45034</v>
      </c>
      <c r="I24" s="1952"/>
      <c r="J24" s="1904"/>
      <c r="K24" s="1950"/>
      <c r="L24" s="113"/>
    </row>
    <row r="25" spans="1:12" ht="15">
      <c r="A25" s="1427">
        <v>44980</v>
      </c>
      <c r="B25" s="1427" t="s">
        <v>2518</v>
      </c>
      <c r="C25" s="1427" t="s">
        <v>4137</v>
      </c>
      <c r="D25" s="1428" t="s">
        <v>4223</v>
      </c>
      <c r="E25" s="611">
        <v>363</v>
      </c>
      <c r="F25" s="731">
        <v>0</v>
      </c>
      <c r="G25" s="611">
        <v>363</v>
      </c>
      <c r="H25" s="1427">
        <v>45040</v>
      </c>
      <c r="I25" s="1953"/>
      <c r="J25" s="1905"/>
      <c r="K25" s="1947"/>
      <c r="L25" s="113"/>
    </row>
    <row r="26" spans="1:12" ht="15">
      <c r="A26" s="1484">
        <v>44986</v>
      </c>
      <c r="B26" s="1484" t="s">
        <v>2518</v>
      </c>
      <c r="C26" s="1484" t="s">
        <v>4137</v>
      </c>
      <c r="D26" s="1486" t="s">
        <v>4364</v>
      </c>
      <c r="E26" s="611">
        <v>721</v>
      </c>
      <c r="F26" s="731">
        <v>0</v>
      </c>
      <c r="G26" s="611">
        <v>721</v>
      </c>
      <c r="H26" s="1484">
        <v>45046</v>
      </c>
      <c r="I26" s="1951">
        <v>3767.5</v>
      </c>
      <c r="J26" s="1903">
        <v>45096</v>
      </c>
      <c r="K26" s="1938" t="s">
        <v>5459</v>
      </c>
      <c r="L26" s="113"/>
    </row>
    <row r="27" spans="1:12" ht="15">
      <c r="A27" s="1484">
        <v>44992</v>
      </c>
      <c r="B27" s="1484" t="s">
        <v>2518</v>
      </c>
      <c r="C27" s="1484" t="s">
        <v>4137</v>
      </c>
      <c r="D27" s="1486" t="s">
        <v>4439</v>
      </c>
      <c r="E27" s="611">
        <v>207.6</v>
      </c>
      <c r="F27" s="731">
        <v>0</v>
      </c>
      <c r="G27" s="611">
        <v>207.6</v>
      </c>
      <c r="H27" s="1484">
        <v>44992</v>
      </c>
      <c r="I27" s="1952"/>
      <c r="J27" s="1904"/>
      <c r="K27" s="1887"/>
      <c r="L27" s="113"/>
    </row>
    <row r="28" spans="1:12" ht="15">
      <c r="A28" s="1484">
        <v>44998</v>
      </c>
      <c r="B28" s="1484" t="s">
        <v>2518</v>
      </c>
      <c r="C28" s="1484" t="s">
        <v>4137</v>
      </c>
      <c r="D28" s="1486" t="s">
        <v>4495</v>
      </c>
      <c r="E28" s="611">
        <v>721</v>
      </c>
      <c r="F28" s="731">
        <v>0</v>
      </c>
      <c r="G28" s="611">
        <v>721</v>
      </c>
      <c r="H28" s="1484">
        <v>45088</v>
      </c>
      <c r="I28" s="1952"/>
      <c r="J28" s="1904"/>
      <c r="K28" s="1887"/>
      <c r="L28" s="113"/>
    </row>
    <row r="29" spans="1:12" ht="15">
      <c r="A29" s="1484">
        <v>45012</v>
      </c>
      <c r="B29" s="1484" t="s">
        <v>2518</v>
      </c>
      <c r="C29" s="1484" t="s">
        <v>4137</v>
      </c>
      <c r="D29" s="1486" t="s">
        <v>4636</v>
      </c>
      <c r="E29" s="611">
        <v>506.5</v>
      </c>
      <c r="F29" s="731">
        <v>0</v>
      </c>
      <c r="G29" s="611">
        <v>506.5</v>
      </c>
      <c r="H29" s="1484">
        <v>45102</v>
      </c>
      <c r="I29" s="1952"/>
      <c r="J29" s="1904"/>
      <c r="K29" s="1887"/>
      <c r="L29" s="113"/>
    </row>
    <row r="30" spans="1:12" ht="15">
      <c r="A30" s="1484">
        <v>45013</v>
      </c>
      <c r="B30" s="1484" t="s">
        <v>2518</v>
      </c>
      <c r="C30" s="1484" t="s">
        <v>4137</v>
      </c>
      <c r="D30" s="1486" t="s">
        <v>4637</v>
      </c>
      <c r="E30" s="611">
        <v>1611.4</v>
      </c>
      <c r="F30" s="731">
        <v>0</v>
      </c>
      <c r="G30" s="611">
        <v>1611.4</v>
      </c>
      <c r="H30" s="1484">
        <v>45073</v>
      </c>
      <c r="I30" s="1953"/>
      <c r="J30" s="1905"/>
      <c r="K30" s="1888"/>
      <c r="L30" s="113"/>
    </row>
    <row r="31" spans="1:12" ht="15">
      <c r="A31" s="1549">
        <v>45036</v>
      </c>
      <c r="B31" s="1549" t="s">
        <v>2518</v>
      </c>
      <c r="C31" s="1549" t="s">
        <v>4137</v>
      </c>
      <c r="D31" s="1551" t="s">
        <v>4809</v>
      </c>
      <c r="E31" s="611">
        <v>1082</v>
      </c>
      <c r="F31" s="731">
        <v>0</v>
      </c>
      <c r="G31" s="611">
        <v>1082</v>
      </c>
      <c r="H31" s="1549">
        <v>45126</v>
      </c>
      <c r="I31" s="1951">
        <v>1383.62</v>
      </c>
      <c r="J31" s="1903">
        <v>45125</v>
      </c>
      <c r="K31" s="1938" t="s">
        <v>5670</v>
      </c>
      <c r="L31" s="113"/>
    </row>
    <row r="32" spans="1:12" ht="15">
      <c r="A32" s="1549">
        <v>45037</v>
      </c>
      <c r="B32" s="1549" t="s">
        <v>2518</v>
      </c>
      <c r="C32" s="1549" t="s">
        <v>4137</v>
      </c>
      <c r="D32" s="1551" t="s">
        <v>4810</v>
      </c>
      <c r="E32" s="611">
        <v>301.62</v>
      </c>
      <c r="F32" s="731">
        <v>0</v>
      </c>
      <c r="G32" s="611">
        <v>301.62</v>
      </c>
      <c r="H32" s="1549">
        <v>45127</v>
      </c>
      <c r="I32" s="1953"/>
      <c r="J32" s="1905"/>
      <c r="K32" s="2031"/>
      <c r="L32" s="113"/>
    </row>
    <row r="33" spans="1:12" ht="15">
      <c r="A33" s="1645">
        <v>45063</v>
      </c>
      <c r="B33" s="1645" t="s">
        <v>2518</v>
      </c>
      <c r="C33" s="1645" t="s">
        <v>4137</v>
      </c>
      <c r="D33" s="1648" t="s">
        <v>5108</v>
      </c>
      <c r="E33" s="611">
        <v>1972.94</v>
      </c>
      <c r="F33" s="731">
        <v>0</v>
      </c>
      <c r="G33" s="611">
        <v>1972.94</v>
      </c>
      <c r="H33" s="1645">
        <v>45153</v>
      </c>
      <c r="I33" s="611">
        <v>1972.94</v>
      </c>
      <c r="J33" s="1645">
        <v>45162</v>
      </c>
      <c r="K33" s="1644" t="s">
        <v>5934</v>
      </c>
      <c r="L33" s="113"/>
    </row>
    <row r="34" spans="1:12" ht="15">
      <c r="A34" s="1738">
        <v>45090</v>
      </c>
      <c r="B34" s="1738" t="s">
        <v>2518</v>
      </c>
      <c r="C34" s="1738" t="s">
        <v>4137</v>
      </c>
      <c r="D34" s="1742" t="s">
        <v>5383</v>
      </c>
      <c r="E34" s="611">
        <v>3449</v>
      </c>
      <c r="F34" s="731">
        <v>0</v>
      </c>
      <c r="G34" s="611">
        <v>3449</v>
      </c>
      <c r="H34" s="1738">
        <v>45180</v>
      </c>
      <c r="I34" s="1951">
        <v>2790.61</v>
      </c>
      <c r="J34" s="1903">
        <v>45196</v>
      </c>
      <c r="K34" s="1938" t="s">
        <v>6445</v>
      </c>
      <c r="L34" s="113"/>
    </row>
    <row r="35" spans="1:12" ht="15">
      <c r="A35" s="1738">
        <v>45098</v>
      </c>
      <c r="B35" s="1738" t="s">
        <v>2518</v>
      </c>
      <c r="C35" s="1738" t="s">
        <v>4137</v>
      </c>
      <c r="D35" s="1742" t="s">
        <v>5410</v>
      </c>
      <c r="E35" s="611">
        <v>-36.270000000000003</v>
      </c>
      <c r="F35" s="731">
        <v>0</v>
      </c>
      <c r="G35" s="611">
        <v>-36.270000000000003</v>
      </c>
      <c r="H35" s="1738"/>
      <c r="I35" s="1952"/>
      <c r="J35" s="1904"/>
      <c r="K35" s="1887"/>
      <c r="L35" s="113"/>
    </row>
    <row r="36" spans="1:12" ht="15">
      <c r="A36" s="1738">
        <v>45098</v>
      </c>
      <c r="B36" s="1738" t="s">
        <v>2518</v>
      </c>
      <c r="C36" s="1738" t="s">
        <v>4137</v>
      </c>
      <c r="D36" s="1742" t="s">
        <v>5411</v>
      </c>
      <c r="E36" s="611">
        <v>-2.66</v>
      </c>
      <c r="F36" s="731">
        <v>0</v>
      </c>
      <c r="G36" s="611">
        <v>-2.66</v>
      </c>
      <c r="H36" s="1738"/>
      <c r="I36" s="1952"/>
      <c r="J36" s="1904"/>
      <c r="K36" s="1887"/>
      <c r="L36" s="113"/>
    </row>
    <row r="37" spans="1:12" ht="15">
      <c r="A37" s="1738">
        <v>45098</v>
      </c>
      <c r="B37" s="1738" t="s">
        <v>2518</v>
      </c>
      <c r="C37" s="1738" t="s">
        <v>4137</v>
      </c>
      <c r="D37" s="1742" t="s">
        <v>5412</v>
      </c>
      <c r="E37" s="611">
        <v>-619.46</v>
      </c>
      <c r="F37" s="731">
        <v>0</v>
      </c>
      <c r="G37" s="611">
        <v>-619.46</v>
      </c>
      <c r="H37" s="1738"/>
      <c r="I37" s="1953"/>
      <c r="J37" s="1905"/>
      <c r="K37" s="1888"/>
      <c r="L37" s="113"/>
    </row>
    <row r="38" spans="1:12" ht="15">
      <c r="A38" s="1798">
        <v>45110</v>
      </c>
      <c r="B38" s="1798" t="s">
        <v>2518</v>
      </c>
      <c r="C38" s="1798" t="s">
        <v>4137</v>
      </c>
      <c r="D38" s="1801" t="s">
        <v>5547</v>
      </c>
      <c r="E38" s="611">
        <v>915.5</v>
      </c>
      <c r="F38" s="731">
        <v>0</v>
      </c>
      <c r="G38" s="611">
        <v>915.5</v>
      </c>
      <c r="H38" s="1798">
        <v>45200</v>
      </c>
      <c r="I38" s="1951">
        <v>2417.39</v>
      </c>
      <c r="J38" s="1903">
        <v>45229</v>
      </c>
      <c r="K38" s="1938" t="s">
        <v>6446</v>
      </c>
      <c r="L38" s="113"/>
    </row>
    <row r="39" spans="1:12" ht="15">
      <c r="A39" s="1798">
        <v>45124</v>
      </c>
      <c r="B39" s="1798" t="s">
        <v>2518</v>
      </c>
      <c r="C39" s="1798" t="s">
        <v>4137</v>
      </c>
      <c r="D39" s="1801" t="s">
        <v>5637</v>
      </c>
      <c r="E39" s="611">
        <v>1501.89</v>
      </c>
      <c r="F39" s="731">
        <v>0</v>
      </c>
      <c r="G39" s="611">
        <v>1501.89</v>
      </c>
      <c r="H39" s="1798">
        <v>45214</v>
      </c>
      <c r="I39" s="1953"/>
      <c r="J39" s="1905"/>
      <c r="K39" s="1888"/>
      <c r="L39" s="113"/>
    </row>
    <row r="40" spans="1:12" ht="15">
      <c r="A40" s="623">
        <v>45138</v>
      </c>
      <c r="B40" s="623" t="s">
        <v>2518</v>
      </c>
      <c r="C40" s="623" t="s">
        <v>4137</v>
      </c>
      <c r="D40" s="624" t="s">
        <v>5744</v>
      </c>
      <c r="E40" s="605">
        <v>240.36</v>
      </c>
      <c r="F40" s="732">
        <v>0</v>
      </c>
      <c r="G40" s="605">
        <v>240.36</v>
      </c>
      <c r="H40" s="623">
        <v>45228</v>
      </c>
      <c r="I40" s="611"/>
      <c r="J40" s="1549"/>
      <c r="K40" s="1554"/>
      <c r="L40" s="113"/>
    </row>
    <row r="41" spans="1:12" ht="15">
      <c r="A41" s="623">
        <v>45161</v>
      </c>
      <c r="B41" s="623" t="s">
        <v>2518</v>
      </c>
      <c r="C41" s="623" t="s">
        <v>4137</v>
      </c>
      <c r="D41" s="624" t="s">
        <v>5916</v>
      </c>
      <c r="E41" s="605">
        <v>1374.08</v>
      </c>
      <c r="F41" s="732">
        <v>0</v>
      </c>
      <c r="G41" s="605">
        <v>1374.08</v>
      </c>
      <c r="H41" s="623">
        <v>45250</v>
      </c>
      <c r="I41" s="611"/>
      <c r="J41" s="1549"/>
      <c r="K41" s="1554"/>
      <c r="L41" s="113"/>
    </row>
    <row r="42" spans="1:12" ht="15">
      <c r="A42" s="623">
        <v>45187</v>
      </c>
      <c r="B42" s="623" t="s">
        <v>2518</v>
      </c>
      <c r="C42" s="623" t="s">
        <v>4137</v>
      </c>
      <c r="D42" s="624" t="s">
        <v>6098</v>
      </c>
      <c r="E42" s="605">
        <v>1831</v>
      </c>
      <c r="F42" s="732">
        <v>0</v>
      </c>
      <c r="G42" s="605">
        <v>1831</v>
      </c>
      <c r="H42" s="623">
        <v>45276</v>
      </c>
      <c r="I42" s="611"/>
      <c r="J42" s="1549"/>
      <c r="K42" s="1554"/>
      <c r="L42" s="113"/>
    </row>
    <row r="43" spans="1:12" ht="15">
      <c r="A43" s="623">
        <v>45196</v>
      </c>
      <c r="B43" s="623" t="s">
        <v>2518</v>
      </c>
      <c r="C43" s="623" t="s">
        <v>4137</v>
      </c>
      <c r="D43" s="624" t="s">
        <v>6199</v>
      </c>
      <c r="E43" s="605">
        <v>180</v>
      </c>
      <c r="F43" s="732">
        <v>0</v>
      </c>
      <c r="G43" s="605">
        <v>180</v>
      </c>
      <c r="H43" s="623">
        <v>45285</v>
      </c>
      <c r="I43" s="611"/>
      <c r="J43" s="1549"/>
      <c r="K43" s="1554"/>
      <c r="L43" s="113"/>
    </row>
    <row r="44" spans="1:12" ht="15">
      <c r="A44" s="623">
        <v>45196</v>
      </c>
      <c r="B44" s="623" t="s">
        <v>2518</v>
      </c>
      <c r="C44" s="623" t="s">
        <v>4137</v>
      </c>
      <c r="D44" s="624" t="s">
        <v>6200</v>
      </c>
      <c r="E44" s="605">
        <v>918.2</v>
      </c>
      <c r="F44" s="732">
        <v>0</v>
      </c>
      <c r="G44" s="605">
        <v>918.2</v>
      </c>
      <c r="H44" s="623">
        <v>45285</v>
      </c>
      <c r="I44" s="611"/>
      <c r="J44" s="1549"/>
      <c r="K44" s="1554"/>
      <c r="L44" s="113"/>
    </row>
    <row r="45" spans="1:12" ht="15">
      <c r="A45" s="623">
        <v>45219.333831018521</v>
      </c>
      <c r="B45" s="623" t="s">
        <v>2518</v>
      </c>
      <c r="C45" s="623" t="s">
        <v>4137</v>
      </c>
      <c r="D45" s="624" t="s">
        <v>6361</v>
      </c>
      <c r="E45" s="605">
        <v>456.78</v>
      </c>
      <c r="F45" s="732">
        <v>0</v>
      </c>
      <c r="G45" s="605">
        <v>456.78</v>
      </c>
      <c r="H45" s="623">
        <v>45308.333831018521</v>
      </c>
      <c r="I45" s="611"/>
      <c r="J45" s="1549"/>
      <c r="K45" s="1554"/>
      <c r="L45" s="113"/>
    </row>
    <row r="46" spans="1:12" ht="15">
      <c r="A46" s="623"/>
      <c r="B46" s="623"/>
      <c r="C46" s="623"/>
      <c r="D46" s="624"/>
      <c r="E46" s="605"/>
      <c r="F46" s="732"/>
      <c r="G46" s="605"/>
      <c r="H46" s="623"/>
      <c r="I46" s="611"/>
      <c r="J46" s="1549"/>
      <c r="K46" s="1554"/>
      <c r="L46" s="113"/>
    </row>
    <row r="47" spans="1:12" ht="15">
      <c r="A47" s="623"/>
      <c r="B47" s="623"/>
      <c r="C47" s="623"/>
      <c r="D47" s="624"/>
      <c r="E47" s="605"/>
      <c r="F47" s="732"/>
      <c r="G47" s="605"/>
      <c r="H47" s="623"/>
      <c r="I47" s="611"/>
      <c r="J47" s="1403"/>
      <c r="K47" s="1411"/>
      <c r="L47" s="113"/>
    </row>
    <row r="48" spans="1:12" ht="15">
      <c r="A48" s="623"/>
      <c r="B48" s="623"/>
      <c r="C48" s="623"/>
      <c r="D48" s="624"/>
      <c r="E48" s="605"/>
      <c r="F48" s="732"/>
      <c r="G48" s="605"/>
      <c r="H48" s="623"/>
      <c r="I48" s="611"/>
      <c r="J48" s="1403"/>
      <c r="K48" s="1411"/>
      <c r="L48" s="113"/>
    </row>
    <row r="49" spans="1:12" ht="15">
      <c r="A49" s="623"/>
      <c r="B49" s="623"/>
      <c r="C49" s="623"/>
      <c r="D49" s="624"/>
      <c r="E49" s="605"/>
      <c r="F49" s="732"/>
      <c r="G49" s="605"/>
      <c r="H49" s="623"/>
      <c r="I49" s="611"/>
      <c r="J49" s="1274"/>
      <c r="K49" s="1270"/>
      <c r="L49" s="113"/>
    </row>
    <row r="50" spans="1:12" ht="15">
      <c r="A50" s="623"/>
      <c r="B50" s="623"/>
      <c r="C50" s="623"/>
      <c r="D50" s="624"/>
      <c r="E50" s="605"/>
      <c r="F50" s="732"/>
      <c r="G50" s="605"/>
      <c r="H50" s="623"/>
      <c r="I50" s="611"/>
      <c r="J50" s="1274"/>
      <c r="K50" s="1270"/>
      <c r="L50" s="113"/>
    </row>
    <row r="51" spans="1:12" ht="15">
      <c r="A51" s="632"/>
      <c r="B51" s="1126"/>
      <c r="C51" s="1126"/>
      <c r="D51" s="615"/>
      <c r="E51" s="616"/>
      <c r="F51" s="1144" t="s">
        <v>545</v>
      </c>
      <c r="G51" s="617">
        <f>SUM(G2:G50)-SUM(I2:I50)</f>
        <v>5000.4199999999983</v>
      </c>
      <c r="H51" s="632"/>
      <c r="I51" s="611"/>
      <c r="J51" s="1274"/>
      <c r="K51" s="1270"/>
      <c r="L51" s="113"/>
    </row>
    <row r="52" spans="1:12">
      <c r="I52" s="114"/>
      <c r="K52" s="96"/>
    </row>
    <row r="53" spans="1:12">
      <c r="I53" s="114"/>
      <c r="K53" s="96"/>
    </row>
    <row r="54" spans="1:12">
      <c r="I54" s="114"/>
      <c r="K54" s="96"/>
    </row>
  </sheetData>
  <mergeCells count="37">
    <mergeCell ref="I2:I5"/>
    <mergeCell ref="J2:J5"/>
    <mergeCell ref="K2:K5"/>
    <mergeCell ref="I7:I10"/>
    <mergeCell ref="K7:K10"/>
    <mergeCell ref="J7:J10"/>
    <mergeCell ref="L7:L10"/>
    <mergeCell ref="K11:K14"/>
    <mergeCell ref="J11:J14"/>
    <mergeCell ref="F14:F15"/>
    <mergeCell ref="K26:K30"/>
    <mergeCell ref="J26:J30"/>
    <mergeCell ref="I26:I30"/>
    <mergeCell ref="K22:K25"/>
    <mergeCell ref="J22:J25"/>
    <mergeCell ref="I22:I25"/>
    <mergeCell ref="K15:K17"/>
    <mergeCell ref="J15:J17"/>
    <mergeCell ref="I15:I17"/>
    <mergeCell ref="J18:J20"/>
    <mergeCell ref="I18:I20"/>
    <mergeCell ref="K18:K20"/>
    <mergeCell ref="K38:K39"/>
    <mergeCell ref="J38:J39"/>
    <mergeCell ref="I38:I39"/>
    <mergeCell ref="A14:A15"/>
    <mergeCell ref="I11:I14"/>
    <mergeCell ref="D14:D15"/>
    <mergeCell ref="C14:C15"/>
    <mergeCell ref="B14:B15"/>
    <mergeCell ref="E14:E15"/>
    <mergeCell ref="J34:J37"/>
    <mergeCell ref="K34:K37"/>
    <mergeCell ref="I34:I37"/>
    <mergeCell ref="K31:K32"/>
    <mergeCell ref="J31:J32"/>
    <mergeCell ref="I31:I32"/>
  </mergeCells>
  <phoneticPr fontId="15" type="noConversion"/>
  <hyperlinks>
    <hyperlink ref="F51" location="汇总!A1" display="剩余欠款"/>
  </hyperlinks>
  <pageMargins left="0.7" right="0.7" top="0.75" bottom="0.75" header="0.3" footer="0.3"/>
  <pageSetup paperSize="9"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L22"/>
  <sheetViews>
    <sheetView workbookViewId="0">
      <pane ySplit="1" topLeftCell="A2" activePane="bottomLeft" state="frozen"/>
      <selection activeCell="C33" sqref="C33"/>
      <selection pane="bottomLeft" activeCell="C2" sqref="C2:C3"/>
    </sheetView>
  </sheetViews>
  <sheetFormatPr defaultRowHeight="14.25"/>
  <cols>
    <col min="1" max="1" width="11.5" bestFit="1" customWidth="1"/>
    <col min="2" max="2" width="8.875" bestFit="1" customWidth="1"/>
    <col min="3" max="3" width="20.5" bestFit="1" customWidth="1"/>
    <col min="4" max="4" width="15" bestFit="1" customWidth="1"/>
    <col min="5" max="6" width="11.625" customWidth="1"/>
    <col min="7" max="7" width="12.875" bestFit="1" customWidth="1"/>
    <col min="8" max="8" width="16.75" bestFit="1" customWidth="1"/>
    <col min="9" max="9" width="14.125" bestFit="1" customWidth="1"/>
    <col min="10" max="10" width="12" bestFit="1" customWidth="1"/>
    <col min="11" max="11" width="11.375" bestFit="1" customWidth="1"/>
    <col min="12" max="12" width="6.5" bestFit="1" customWidth="1"/>
  </cols>
  <sheetData>
    <row r="1" spans="1:12" s="96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6" t="s">
        <v>542</v>
      </c>
    </row>
    <row r="2" spans="1:12" ht="15">
      <c r="A2" s="1903">
        <v>44292</v>
      </c>
      <c r="B2" s="1918" t="s">
        <v>4121</v>
      </c>
      <c r="C2" s="1918" t="s">
        <v>4135</v>
      </c>
      <c r="D2" s="1909" t="s">
        <v>995</v>
      </c>
      <c r="E2" s="2143">
        <v>3551.76</v>
      </c>
      <c r="F2" s="1921">
        <v>0</v>
      </c>
      <c r="G2" s="1906">
        <v>3551.76</v>
      </c>
      <c r="H2" s="1903">
        <v>44292</v>
      </c>
      <c r="I2" s="611">
        <v>3549.46</v>
      </c>
      <c r="J2" s="632">
        <v>44329</v>
      </c>
      <c r="K2" s="247" t="s">
        <v>550</v>
      </c>
      <c r="L2" s="113"/>
    </row>
    <row r="3" spans="1:12" ht="15">
      <c r="A3" s="1905"/>
      <c r="B3" s="1920"/>
      <c r="C3" s="1920"/>
      <c r="D3" s="1911"/>
      <c r="E3" s="2144"/>
      <c r="F3" s="1922"/>
      <c r="G3" s="1908"/>
      <c r="H3" s="1905"/>
      <c r="I3" s="611">
        <v>2.2999999999999998</v>
      </c>
      <c r="J3" s="632">
        <v>44329</v>
      </c>
      <c r="K3" s="247" t="s">
        <v>809</v>
      </c>
      <c r="L3" s="113"/>
    </row>
    <row r="4" spans="1:12" ht="15">
      <c r="A4" s="615"/>
      <c r="B4" s="1133"/>
      <c r="C4" s="1133"/>
      <c r="D4" s="615"/>
      <c r="E4" s="615"/>
      <c r="F4" s="615"/>
      <c r="G4" s="631"/>
      <c r="H4" s="708"/>
      <c r="I4" s="611"/>
      <c r="J4" s="708"/>
      <c r="K4" s="100"/>
      <c r="L4" s="113"/>
    </row>
    <row r="5" spans="1:12" ht="15">
      <c r="A5" s="615"/>
      <c r="B5" s="1133"/>
      <c r="C5" s="1133"/>
      <c r="D5" s="615"/>
      <c r="E5" s="615"/>
      <c r="F5" s="615"/>
      <c r="G5" s="631"/>
      <c r="H5" s="708"/>
      <c r="I5" s="611"/>
      <c r="J5" s="708"/>
      <c r="K5" s="100"/>
      <c r="L5" s="113"/>
    </row>
    <row r="6" spans="1:12" ht="15">
      <c r="A6" s="624"/>
      <c r="B6" s="624"/>
      <c r="C6" s="624"/>
      <c r="D6" s="624"/>
      <c r="E6" s="624"/>
      <c r="F6" s="624"/>
      <c r="G6" s="631"/>
      <c r="H6" s="741"/>
      <c r="I6" s="605"/>
      <c r="J6" s="741"/>
      <c r="K6" s="219"/>
      <c r="L6" s="113"/>
    </row>
    <row r="7" spans="1:12" ht="15">
      <c r="A7" s="624"/>
      <c r="B7" s="624"/>
      <c r="C7" s="624"/>
      <c r="D7" s="624"/>
      <c r="E7" s="624"/>
      <c r="F7" s="624"/>
      <c r="G7" s="631"/>
      <c r="H7" s="741"/>
      <c r="I7" s="605"/>
      <c r="J7" s="741"/>
      <c r="K7" s="219"/>
      <c r="L7" s="113"/>
    </row>
    <row r="8" spans="1:12" ht="15">
      <c r="A8" s="624"/>
      <c r="B8" s="624"/>
      <c r="C8" s="624"/>
      <c r="D8" s="624"/>
      <c r="E8" s="624"/>
      <c r="F8" s="624"/>
      <c r="G8" s="631"/>
      <c r="H8" s="741"/>
      <c r="I8" s="605"/>
      <c r="J8" s="741"/>
      <c r="K8" s="219"/>
      <c r="L8" s="113"/>
    </row>
    <row r="9" spans="1:12" ht="15">
      <c r="A9" s="624"/>
      <c r="B9" s="624"/>
      <c r="C9" s="624"/>
      <c r="D9" s="624"/>
      <c r="E9" s="624"/>
      <c r="F9" s="624"/>
      <c r="G9" s="631"/>
      <c r="H9" s="741"/>
      <c r="I9" s="605"/>
      <c r="J9" s="741"/>
      <c r="K9" s="219"/>
      <c r="L9" s="113"/>
    </row>
    <row r="10" spans="1:12" ht="15">
      <c r="A10" s="624"/>
      <c r="B10" s="624"/>
      <c r="C10" s="624"/>
      <c r="D10" s="624"/>
      <c r="E10" s="624"/>
      <c r="F10" s="624"/>
      <c r="G10" s="631"/>
      <c r="H10" s="741"/>
      <c r="I10" s="605"/>
      <c r="J10" s="741"/>
      <c r="K10" s="219"/>
      <c r="L10" s="113"/>
    </row>
    <row r="11" spans="1:12" ht="15">
      <c r="A11" s="624"/>
      <c r="B11" s="624"/>
      <c r="C11" s="624"/>
      <c r="D11" s="624"/>
      <c r="E11" s="624"/>
      <c r="F11" s="624"/>
      <c r="G11" s="631"/>
      <c r="H11" s="741"/>
      <c r="I11" s="605"/>
      <c r="J11" s="741"/>
      <c r="K11" s="219"/>
      <c r="L11" s="113"/>
    </row>
    <row r="12" spans="1:12" ht="15">
      <c r="A12" s="624"/>
      <c r="B12" s="624"/>
      <c r="C12" s="624"/>
      <c r="D12" s="624"/>
      <c r="E12" s="624"/>
      <c r="F12" s="624"/>
      <c r="G12" s="631"/>
      <c r="H12" s="741"/>
      <c r="I12" s="605"/>
      <c r="J12" s="741"/>
      <c r="K12" s="219"/>
      <c r="L12" s="113"/>
    </row>
    <row r="13" spans="1:12" ht="15">
      <c r="A13" s="624"/>
      <c r="B13" s="624"/>
      <c r="C13" s="624"/>
      <c r="D13" s="624"/>
      <c r="E13" s="624"/>
      <c r="F13" s="624"/>
      <c r="G13" s="631"/>
      <c r="H13" s="741"/>
      <c r="I13" s="605"/>
      <c r="J13" s="741"/>
      <c r="K13" s="219"/>
      <c r="L13" s="113"/>
    </row>
    <row r="14" spans="1:12" ht="15">
      <c r="A14" s="624"/>
      <c r="B14" s="624"/>
      <c r="C14" s="624"/>
      <c r="D14" s="624"/>
      <c r="E14" s="624"/>
      <c r="F14" s="624"/>
      <c r="G14" s="631"/>
      <c r="H14" s="741"/>
      <c r="I14" s="605"/>
      <c r="J14" s="741"/>
      <c r="K14" s="219"/>
      <c r="L14" s="113"/>
    </row>
    <row r="15" spans="1:12" ht="15">
      <c r="A15" s="624"/>
      <c r="B15" s="624"/>
      <c r="C15" s="624"/>
      <c r="D15" s="624"/>
      <c r="E15" s="624"/>
      <c r="F15" s="624"/>
      <c r="G15" s="631"/>
      <c r="H15" s="741"/>
      <c r="I15" s="605"/>
      <c r="J15" s="741"/>
      <c r="K15" s="219"/>
      <c r="L15" s="113"/>
    </row>
    <row r="16" spans="1:12" ht="15">
      <c r="A16" s="615"/>
      <c r="B16" s="1133"/>
      <c r="C16" s="1133"/>
      <c r="D16" s="624"/>
      <c r="E16" s="616"/>
      <c r="F16" s="1144" t="s">
        <v>545</v>
      </c>
      <c r="G16" s="645">
        <f>SUM(G2:G15)-SUM(I2:I15)</f>
        <v>0</v>
      </c>
      <c r="H16" s="708"/>
      <c r="I16" s="708"/>
      <c r="J16" s="708"/>
      <c r="K16" s="100"/>
      <c r="L16" s="113"/>
    </row>
    <row r="17" spans="1:7">
      <c r="A17" s="96"/>
      <c r="B17" s="96"/>
      <c r="C17" s="96"/>
      <c r="D17" s="96"/>
      <c r="E17" s="96"/>
      <c r="F17" s="96"/>
    </row>
    <row r="22" spans="1:7">
      <c r="G22" s="114"/>
    </row>
  </sheetData>
  <mergeCells count="8">
    <mergeCell ref="H2:H3"/>
    <mergeCell ref="G2:G3"/>
    <mergeCell ref="D2:D3"/>
    <mergeCell ref="A2:A3"/>
    <mergeCell ref="F2:F3"/>
    <mergeCell ref="E2:E3"/>
    <mergeCell ref="C2:C3"/>
    <mergeCell ref="B2:B3"/>
  </mergeCells>
  <phoneticPr fontId="15" type="noConversion"/>
  <hyperlinks>
    <hyperlink ref="F16" location="汇总!A1" display="剩余欠款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M21"/>
  <sheetViews>
    <sheetView workbookViewId="0">
      <pane ySplit="1" topLeftCell="A2" activePane="bottomLeft" state="frozen"/>
      <selection activeCell="C33" sqref="C33"/>
      <selection pane="bottomLeft" activeCell="F16" sqref="F16"/>
    </sheetView>
  </sheetViews>
  <sheetFormatPr defaultColWidth="8.75" defaultRowHeight="14.25"/>
  <cols>
    <col min="1" max="1" width="13.25" style="99" bestFit="1" customWidth="1"/>
    <col min="2" max="2" width="8.875" style="99" bestFit="1" customWidth="1"/>
    <col min="3" max="3" width="26.875" style="99" bestFit="1" customWidth="1"/>
    <col min="4" max="4" width="15" style="99" bestFit="1" customWidth="1"/>
    <col min="5" max="6" width="11.625" style="99" customWidth="1"/>
    <col min="7" max="7" width="11.5" style="99" bestFit="1" customWidth="1"/>
    <col min="8" max="8" width="16.75" style="99" bestFit="1" customWidth="1"/>
    <col min="9" max="10" width="15.125" style="99" bestFit="1" customWidth="1"/>
    <col min="11" max="11" width="11.375" style="99" bestFit="1" customWidth="1"/>
    <col min="12" max="12" width="20" style="99" customWidth="1"/>
    <col min="13" max="13" width="8.75" style="129" bestFit="1"/>
    <col min="14" max="16384" width="8.75" style="129"/>
  </cols>
  <sheetData>
    <row r="1" spans="1:13" s="96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6" t="s">
        <v>542</v>
      </c>
    </row>
    <row r="2" spans="1:13" s="128" customFormat="1" ht="15">
      <c r="A2" s="1903">
        <v>44447</v>
      </c>
      <c r="B2" s="1918" t="s">
        <v>4121</v>
      </c>
      <c r="C2" s="1918" t="s">
        <v>4612</v>
      </c>
      <c r="D2" s="1909" t="s">
        <v>996</v>
      </c>
      <c r="E2" s="1923">
        <v>33798.42</v>
      </c>
      <c r="F2" s="1921">
        <v>0</v>
      </c>
      <c r="G2" s="622">
        <f>33798.42-13798.42</f>
        <v>20000</v>
      </c>
      <c r="H2" s="632">
        <v>44448</v>
      </c>
      <c r="I2" s="742">
        <v>20000</v>
      </c>
      <c r="J2" s="632">
        <v>44463</v>
      </c>
      <c r="K2" s="243" t="s">
        <v>550</v>
      </c>
      <c r="L2" s="100"/>
    </row>
    <row r="3" spans="1:13" s="128" customFormat="1" ht="15">
      <c r="A3" s="1904"/>
      <c r="B3" s="1919"/>
      <c r="C3" s="1919"/>
      <c r="D3" s="1910"/>
      <c r="E3" s="1961"/>
      <c r="F3" s="2037"/>
      <c r="G3" s="622">
        <v>2800</v>
      </c>
      <c r="H3" s="632">
        <v>44448</v>
      </c>
      <c r="I3" s="742">
        <v>2800</v>
      </c>
      <c r="J3" s="632">
        <v>44504</v>
      </c>
      <c r="K3" s="243" t="s">
        <v>544</v>
      </c>
      <c r="L3" s="100"/>
    </row>
    <row r="4" spans="1:13" s="128" customFormat="1" ht="15">
      <c r="A4" s="1904"/>
      <c r="B4" s="1919"/>
      <c r="C4" s="1919"/>
      <c r="D4" s="1910"/>
      <c r="E4" s="1961"/>
      <c r="F4" s="2037"/>
      <c r="G4" s="622">
        <v>5500</v>
      </c>
      <c r="H4" s="632">
        <v>44448</v>
      </c>
      <c r="I4" s="742">
        <v>5500</v>
      </c>
      <c r="J4" s="632">
        <v>44519</v>
      </c>
      <c r="K4" s="243" t="s">
        <v>544</v>
      </c>
      <c r="L4" s="100"/>
    </row>
    <row r="5" spans="1:13" s="128" customFormat="1" ht="15">
      <c r="A5" s="1904"/>
      <c r="B5" s="1919"/>
      <c r="C5" s="1919"/>
      <c r="D5" s="1910"/>
      <c r="E5" s="1961"/>
      <c r="F5" s="2037"/>
      <c r="G5" s="622">
        <v>0.72</v>
      </c>
      <c r="H5" s="632">
        <v>44448</v>
      </c>
      <c r="I5" s="742">
        <v>0.72</v>
      </c>
      <c r="J5" s="632">
        <v>44617</v>
      </c>
      <c r="K5" s="475" t="s">
        <v>2454</v>
      </c>
      <c r="L5" s="100"/>
    </row>
    <row r="6" spans="1:13" s="128" customFormat="1" ht="15">
      <c r="A6" s="1905"/>
      <c r="B6" s="1920"/>
      <c r="C6" s="1920"/>
      <c r="D6" s="1911"/>
      <c r="E6" s="1924"/>
      <c r="F6" s="1922"/>
      <c r="G6" s="622">
        <f>5498.42-0.72</f>
        <v>5497.7</v>
      </c>
      <c r="H6" s="632">
        <v>44448</v>
      </c>
      <c r="I6" s="2209">
        <v>3267</v>
      </c>
      <c r="J6" s="2040">
        <v>44543</v>
      </c>
      <c r="K6" s="2041" t="s">
        <v>544</v>
      </c>
      <c r="L6" s="166"/>
      <c r="M6" s="369"/>
    </row>
    <row r="7" spans="1:13" s="128" customFormat="1" ht="15">
      <c r="A7" s="632">
        <v>44459</v>
      </c>
      <c r="B7" s="1124" t="s">
        <v>4121</v>
      </c>
      <c r="C7" s="1254" t="s">
        <v>4598</v>
      </c>
      <c r="D7" s="615" t="s">
        <v>997</v>
      </c>
      <c r="E7" s="609">
        <v>-2230.6999999999998</v>
      </c>
      <c r="F7" s="610">
        <v>0</v>
      </c>
      <c r="G7" s="622">
        <v>-2230.6999999999998</v>
      </c>
      <c r="H7" s="632">
        <v>44460</v>
      </c>
      <c r="I7" s="2209"/>
      <c r="J7" s="2142"/>
      <c r="K7" s="2041"/>
      <c r="L7" s="166"/>
      <c r="M7" s="369"/>
    </row>
    <row r="8" spans="1:13" s="128" customFormat="1" ht="15">
      <c r="A8" s="632">
        <v>44461</v>
      </c>
      <c r="B8" s="1124" t="s">
        <v>4121</v>
      </c>
      <c r="C8" s="1254" t="s">
        <v>4598</v>
      </c>
      <c r="D8" s="615" t="s">
        <v>998</v>
      </c>
      <c r="E8" s="609">
        <v>441.9</v>
      </c>
      <c r="F8" s="610">
        <v>0</v>
      </c>
      <c r="G8" s="622">
        <v>441.9</v>
      </c>
      <c r="H8" s="632">
        <v>44462</v>
      </c>
      <c r="I8" s="742">
        <v>441.9</v>
      </c>
      <c r="J8" s="632">
        <v>44560</v>
      </c>
      <c r="K8" s="368" t="s">
        <v>550</v>
      </c>
      <c r="L8" s="166"/>
      <c r="M8" s="369"/>
    </row>
    <row r="9" spans="1:13" ht="15">
      <c r="A9" s="620">
        <v>44559</v>
      </c>
      <c r="B9" s="1124" t="s">
        <v>4119</v>
      </c>
      <c r="C9" s="1254" t="s">
        <v>4612</v>
      </c>
      <c r="D9" s="621" t="s">
        <v>999</v>
      </c>
      <c r="E9" s="609">
        <v>797.1</v>
      </c>
      <c r="F9" s="610">
        <v>0</v>
      </c>
      <c r="G9" s="622">
        <v>797.1</v>
      </c>
      <c r="H9" s="632">
        <v>44589</v>
      </c>
      <c r="I9" s="1981">
        <v>11.89</v>
      </c>
      <c r="J9" s="1903">
        <v>44676</v>
      </c>
      <c r="K9" s="1935" t="s">
        <v>1999</v>
      </c>
      <c r="L9" s="166"/>
      <c r="M9" s="369"/>
    </row>
    <row r="10" spans="1:13" ht="15">
      <c r="A10" s="620">
        <v>44580</v>
      </c>
      <c r="B10" s="1124" t="s">
        <v>4121</v>
      </c>
      <c r="C10" s="1254" t="s">
        <v>4598</v>
      </c>
      <c r="D10" s="621" t="s">
        <v>1000</v>
      </c>
      <c r="E10" s="609">
        <v>908.25</v>
      </c>
      <c r="F10" s="610">
        <v>0</v>
      </c>
      <c r="G10" s="622">
        <v>908.25</v>
      </c>
      <c r="H10" s="632">
        <v>44581</v>
      </c>
      <c r="I10" s="2168"/>
      <c r="J10" s="1904"/>
      <c r="K10" s="1950"/>
      <c r="L10" s="166"/>
      <c r="M10" s="369"/>
    </row>
    <row r="11" spans="1:13" ht="15">
      <c r="A11" s="620">
        <v>44622</v>
      </c>
      <c r="B11" s="1124" t="s">
        <v>4121</v>
      </c>
      <c r="C11" s="1254" t="s">
        <v>4598</v>
      </c>
      <c r="D11" s="621" t="s">
        <v>1001</v>
      </c>
      <c r="E11" s="609">
        <v>-1144.01</v>
      </c>
      <c r="F11" s="610">
        <v>0</v>
      </c>
      <c r="G11" s="622">
        <v>-1144.01</v>
      </c>
      <c r="H11" s="632" t="s">
        <v>1529</v>
      </c>
      <c r="I11" s="2168"/>
      <c r="J11" s="1904"/>
      <c r="K11" s="1950"/>
      <c r="L11" s="166"/>
      <c r="M11" s="369"/>
    </row>
    <row r="12" spans="1:13" ht="15">
      <c r="A12" s="620">
        <v>44657</v>
      </c>
      <c r="B12" s="1124" t="s">
        <v>4119</v>
      </c>
      <c r="C12" s="1124" t="s">
        <v>4598</v>
      </c>
      <c r="D12" s="621" t="s">
        <v>1873</v>
      </c>
      <c r="E12" s="609">
        <v>-549.45000000000005</v>
      </c>
      <c r="F12" s="610">
        <v>0</v>
      </c>
      <c r="G12" s="622">
        <v>-549.45000000000005</v>
      </c>
      <c r="H12" s="634"/>
      <c r="I12" s="1982"/>
      <c r="J12" s="1905"/>
      <c r="K12" s="1947"/>
      <c r="L12" s="166"/>
      <c r="M12" s="369"/>
    </row>
    <row r="13" spans="1:13" ht="15">
      <c r="A13" s="620"/>
      <c r="B13" s="1124"/>
      <c r="C13" s="1124"/>
      <c r="D13" s="621"/>
      <c r="E13" s="621"/>
      <c r="F13" s="633"/>
      <c r="G13" s="622"/>
      <c r="H13" s="634"/>
      <c r="I13" s="708"/>
      <c r="J13" s="708"/>
      <c r="K13" s="166"/>
      <c r="L13" s="166"/>
      <c r="M13" s="369"/>
    </row>
    <row r="14" spans="1:13" ht="15">
      <c r="A14" s="620"/>
      <c r="B14" s="1124"/>
      <c r="C14" s="1124"/>
      <c r="D14" s="621"/>
      <c r="E14" s="621"/>
      <c r="F14" s="621"/>
      <c r="G14" s="622"/>
      <c r="H14" s="634"/>
      <c r="I14" s="708"/>
      <c r="J14" s="708"/>
      <c r="K14" s="166"/>
      <c r="L14" s="166"/>
      <c r="M14" s="369"/>
    </row>
    <row r="15" spans="1:13" ht="15">
      <c r="A15" s="621"/>
      <c r="B15" s="1125"/>
      <c r="C15" s="1125"/>
      <c r="D15" s="621"/>
      <c r="E15" s="621"/>
      <c r="F15" s="621"/>
      <c r="G15" s="622"/>
      <c r="H15" s="634"/>
      <c r="I15" s="708"/>
      <c r="J15" s="708"/>
      <c r="K15" s="166"/>
      <c r="L15" s="166"/>
      <c r="M15" s="369"/>
    </row>
    <row r="16" spans="1:13" ht="15">
      <c r="A16" s="621"/>
      <c r="B16" s="1125"/>
      <c r="C16" s="1125"/>
      <c r="D16" s="621"/>
      <c r="E16" s="619"/>
      <c r="F16" s="1144" t="s">
        <v>545</v>
      </c>
      <c r="G16" s="625">
        <f>SUM(G2:G15)-SUM(I2:I15)</f>
        <v>0</v>
      </c>
      <c r="H16" s="634"/>
      <c r="I16" s="708"/>
      <c r="J16" s="708"/>
      <c r="K16" s="166"/>
      <c r="L16" s="166"/>
      <c r="M16" s="369"/>
    </row>
    <row r="17" spans="1:13">
      <c r="A17" s="87"/>
      <c r="B17" s="173"/>
      <c r="C17" s="173"/>
      <c r="D17" s="87"/>
      <c r="E17" s="173"/>
      <c r="F17" s="173"/>
      <c r="G17" s="87"/>
      <c r="H17" s="173"/>
      <c r="I17" s="369"/>
      <c r="J17" s="369"/>
      <c r="K17" s="369"/>
      <c r="L17" s="369"/>
      <c r="M17" s="369"/>
    </row>
    <row r="18" spans="1:13">
      <c r="I18" s="369"/>
      <c r="J18" s="369"/>
      <c r="K18" s="369"/>
      <c r="L18" s="369"/>
      <c r="M18" s="369"/>
    </row>
    <row r="21" spans="1:13">
      <c r="G21" s="311"/>
    </row>
  </sheetData>
  <mergeCells count="12">
    <mergeCell ref="I9:I12"/>
    <mergeCell ref="K9:K12"/>
    <mergeCell ref="J9:J12"/>
    <mergeCell ref="A2:A6"/>
    <mergeCell ref="D2:D6"/>
    <mergeCell ref="I6:I7"/>
    <mergeCell ref="J6:J7"/>
    <mergeCell ref="K6:K7"/>
    <mergeCell ref="E2:E6"/>
    <mergeCell ref="F2:F6"/>
    <mergeCell ref="C2:C6"/>
    <mergeCell ref="B2:B6"/>
  </mergeCells>
  <phoneticPr fontId="15" type="noConversion"/>
  <hyperlinks>
    <hyperlink ref="F16" location="汇总!A1" display="剩余欠款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N235"/>
  <sheetViews>
    <sheetView workbookViewId="0">
      <pane ySplit="1" topLeftCell="A196" activePane="bottomLeft" state="frozen"/>
      <selection activeCell="C33" sqref="C33"/>
      <selection pane="bottomLeft" activeCell="F229" sqref="F229"/>
    </sheetView>
  </sheetViews>
  <sheetFormatPr defaultColWidth="8.75" defaultRowHeight="14.25"/>
  <cols>
    <col min="1" max="1" width="13.25" style="125" bestFit="1" customWidth="1"/>
    <col min="2" max="2" width="8.875" style="189" bestFit="1" customWidth="1"/>
    <col min="3" max="3" width="31.375" style="189" bestFit="1" customWidth="1"/>
    <col min="4" max="4" width="15" style="237" bestFit="1" customWidth="1"/>
    <col min="5" max="5" width="15" style="509" customWidth="1"/>
    <col min="6" max="6" width="13.125" style="512" bestFit="1" customWidth="1"/>
    <col min="7" max="7" width="17.375" style="102" bestFit="1" customWidth="1"/>
    <col min="8" max="8" width="17.75" style="168" customWidth="1"/>
    <col min="9" max="9" width="14.125" style="509" bestFit="1" customWidth="1"/>
    <col min="10" max="10" width="13.25" style="102" bestFit="1" customWidth="1"/>
    <col min="11" max="11" width="18.375" style="102" bestFit="1" customWidth="1"/>
    <col min="12" max="12" width="61.625" style="102" bestFit="1" customWidth="1"/>
    <col min="13" max="13" width="13.875" style="102" bestFit="1" customWidth="1"/>
    <col min="14" max="16384" width="8.75" style="102"/>
  </cols>
  <sheetData>
    <row r="1" spans="1:13" s="96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65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6" t="s">
        <v>542</v>
      </c>
    </row>
    <row r="2" spans="1:13" ht="15">
      <c r="A2" s="620">
        <v>44354</v>
      </c>
      <c r="B2" s="1124" t="s">
        <v>522</v>
      </c>
      <c r="C2" s="1124" t="s">
        <v>4410</v>
      </c>
      <c r="D2" s="621" t="s">
        <v>1002</v>
      </c>
      <c r="E2" s="613">
        <v>7293.22</v>
      </c>
      <c r="F2" s="633">
        <v>0</v>
      </c>
      <c r="G2" s="622">
        <v>7293.22</v>
      </c>
      <c r="H2" s="620">
        <v>44354</v>
      </c>
      <c r="I2" s="2213">
        <v>6812</v>
      </c>
      <c r="J2" s="1948">
        <v>44393</v>
      </c>
      <c r="K2" s="1879" t="s">
        <v>1874</v>
      </c>
      <c r="L2" s="1879"/>
      <c r="M2" s="190"/>
    </row>
    <row r="3" spans="1:13" ht="15">
      <c r="A3" s="620">
        <v>44354</v>
      </c>
      <c r="B3" s="1124" t="s">
        <v>522</v>
      </c>
      <c r="C3" s="1124" t="s">
        <v>4410</v>
      </c>
      <c r="D3" s="621" t="s">
        <v>1003</v>
      </c>
      <c r="E3" s="613">
        <v>-481.35</v>
      </c>
      <c r="F3" s="633">
        <v>0</v>
      </c>
      <c r="G3" s="622">
        <v>-481.35</v>
      </c>
      <c r="H3" s="620">
        <v>44354</v>
      </c>
      <c r="I3" s="2213"/>
      <c r="J3" s="1949"/>
      <c r="K3" s="1879"/>
      <c r="L3" s="1879"/>
      <c r="M3" s="190"/>
    </row>
    <row r="4" spans="1:13" ht="15">
      <c r="A4" s="620">
        <v>44364</v>
      </c>
      <c r="B4" s="1124" t="s">
        <v>522</v>
      </c>
      <c r="C4" s="1124" t="s">
        <v>4410</v>
      </c>
      <c r="D4" s="621" t="s">
        <v>1004</v>
      </c>
      <c r="E4" s="613">
        <v>1955.25</v>
      </c>
      <c r="F4" s="633">
        <v>0</v>
      </c>
      <c r="G4" s="622">
        <v>1955.25</v>
      </c>
      <c r="H4" s="620">
        <v>44364</v>
      </c>
      <c r="I4" s="2213">
        <v>8978.7900000000009</v>
      </c>
      <c r="J4" s="1948">
        <v>44438</v>
      </c>
      <c r="K4" s="1879" t="s">
        <v>550</v>
      </c>
      <c r="L4" s="226"/>
      <c r="M4" s="190"/>
    </row>
    <row r="5" spans="1:13" ht="15">
      <c r="A5" s="620">
        <v>44369</v>
      </c>
      <c r="B5" s="1124" t="s">
        <v>522</v>
      </c>
      <c r="C5" s="1124" t="s">
        <v>4410</v>
      </c>
      <c r="D5" s="621" t="s">
        <v>1005</v>
      </c>
      <c r="E5" s="613">
        <v>-129.05000000000001</v>
      </c>
      <c r="F5" s="633">
        <v>0</v>
      </c>
      <c r="G5" s="622">
        <v>-129.05000000000001</v>
      </c>
      <c r="H5" s="620">
        <v>44369</v>
      </c>
      <c r="I5" s="2213"/>
      <c r="J5" s="1949"/>
      <c r="K5" s="1879"/>
      <c r="L5" s="226"/>
      <c r="M5" s="190"/>
    </row>
    <row r="6" spans="1:13" ht="15">
      <c r="A6" s="620">
        <v>44375</v>
      </c>
      <c r="B6" s="1124" t="s">
        <v>522</v>
      </c>
      <c r="C6" s="1124" t="s">
        <v>4410</v>
      </c>
      <c r="D6" s="621" t="s">
        <v>1006</v>
      </c>
      <c r="E6" s="613">
        <v>2968.5</v>
      </c>
      <c r="F6" s="633">
        <v>0</v>
      </c>
      <c r="G6" s="622">
        <v>2968.5</v>
      </c>
      <c r="H6" s="620">
        <v>44375</v>
      </c>
      <c r="I6" s="2213"/>
      <c r="J6" s="1949"/>
      <c r="K6" s="1879"/>
      <c r="L6" s="226"/>
      <c r="M6" s="190"/>
    </row>
    <row r="7" spans="1:13" ht="15">
      <c r="A7" s="620">
        <v>44389</v>
      </c>
      <c r="B7" s="1124" t="s">
        <v>522</v>
      </c>
      <c r="C7" s="1124" t="s">
        <v>4410</v>
      </c>
      <c r="D7" s="621" t="s">
        <v>1007</v>
      </c>
      <c r="E7" s="613">
        <v>-195.92</v>
      </c>
      <c r="F7" s="633">
        <v>0</v>
      </c>
      <c r="G7" s="622">
        <v>-195.92</v>
      </c>
      <c r="H7" s="620">
        <v>44389</v>
      </c>
      <c r="I7" s="2213"/>
      <c r="J7" s="1949"/>
      <c r="K7" s="1879"/>
      <c r="L7" s="226"/>
      <c r="M7" s="190"/>
    </row>
    <row r="8" spans="1:13" ht="15">
      <c r="A8" s="620">
        <v>44391</v>
      </c>
      <c r="B8" s="1124" t="s">
        <v>522</v>
      </c>
      <c r="C8" s="1124" t="s">
        <v>4410</v>
      </c>
      <c r="D8" s="621" t="s">
        <v>1008</v>
      </c>
      <c r="E8" s="613">
        <v>1760.25</v>
      </c>
      <c r="F8" s="633">
        <v>0</v>
      </c>
      <c r="G8" s="622">
        <v>1760.25</v>
      </c>
      <c r="H8" s="620">
        <v>44391</v>
      </c>
      <c r="I8" s="2213"/>
      <c r="J8" s="1949"/>
      <c r="K8" s="1879"/>
      <c r="L8" s="226"/>
      <c r="M8" s="190"/>
    </row>
    <row r="9" spans="1:13" ht="15">
      <c r="A9" s="620">
        <v>44391</v>
      </c>
      <c r="B9" s="1124" t="s">
        <v>522</v>
      </c>
      <c r="C9" s="1124" t="s">
        <v>4410</v>
      </c>
      <c r="D9" s="621" t="s">
        <v>1009</v>
      </c>
      <c r="E9" s="613">
        <v>-117.23</v>
      </c>
      <c r="F9" s="633">
        <v>0</v>
      </c>
      <c r="G9" s="622">
        <v>-117.23</v>
      </c>
      <c r="H9" s="620">
        <v>44391</v>
      </c>
      <c r="I9" s="2213"/>
      <c r="J9" s="1949"/>
      <c r="K9" s="1879"/>
      <c r="L9" s="226"/>
      <c r="M9" s="190"/>
    </row>
    <row r="10" spans="1:13" ht="15">
      <c r="A10" s="620">
        <v>44396</v>
      </c>
      <c r="B10" s="1124" t="s">
        <v>522</v>
      </c>
      <c r="C10" s="1124" t="s">
        <v>4410</v>
      </c>
      <c r="D10" s="621" t="s">
        <v>1010</v>
      </c>
      <c r="E10" s="613">
        <v>2930.4</v>
      </c>
      <c r="F10" s="633">
        <v>0</v>
      </c>
      <c r="G10" s="622">
        <v>2930.4</v>
      </c>
      <c r="H10" s="620">
        <v>44396</v>
      </c>
      <c r="I10" s="2213"/>
      <c r="J10" s="1949"/>
      <c r="K10" s="1879"/>
      <c r="L10" s="226"/>
      <c r="M10" s="190"/>
    </row>
    <row r="11" spans="1:13" ht="15">
      <c r="A11" s="620">
        <v>44403</v>
      </c>
      <c r="B11" s="1124" t="s">
        <v>522</v>
      </c>
      <c r="C11" s="1124" t="s">
        <v>4410</v>
      </c>
      <c r="D11" s="621" t="s">
        <v>1011</v>
      </c>
      <c r="E11" s="613">
        <v>-193.41</v>
      </c>
      <c r="F11" s="633">
        <v>0</v>
      </c>
      <c r="G11" s="622">
        <v>-193.41</v>
      </c>
      <c r="H11" s="620">
        <v>44403</v>
      </c>
      <c r="I11" s="2213"/>
      <c r="J11" s="1949"/>
      <c r="K11" s="1879"/>
      <c r="L11" s="226"/>
      <c r="M11" s="190"/>
    </row>
    <row r="12" spans="1:13" ht="15">
      <c r="A12" s="620">
        <v>44413</v>
      </c>
      <c r="B12" s="1124" t="s">
        <v>522</v>
      </c>
      <c r="C12" s="1124" t="s">
        <v>4410</v>
      </c>
      <c r="D12" s="621" t="s">
        <v>1012</v>
      </c>
      <c r="E12" s="613">
        <v>5634</v>
      </c>
      <c r="F12" s="633">
        <v>0</v>
      </c>
      <c r="G12" s="622">
        <v>5634</v>
      </c>
      <c r="H12" s="620">
        <v>44413</v>
      </c>
      <c r="I12" s="2213">
        <v>8871.9599999999991</v>
      </c>
      <c r="J12" s="1948">
        <v>44494</v>
      </c>
      <c r="K12" s="1879" t="s">
        <v>550</v>
      </c>
      <c r="L12" s="226"/>
      <c r="M12" s="190"/>
    </row>
    <row r="13" spans="1:13" ht="15">
      <c r="A13" s="620">
        <v>44417</v>
      </c>
      <c r="B13" s="1124" t="s">
        <v>522</v>
      </c>
      <c r="C13" s="1124" t="s">
        <v>4410</v>
      </c>
      <c r="D13" s="621" t="s">
        <v>1013</v>
      </c>
      <c r="E13" s="613">
        <v>-371.84</v>
      </c>
      <c r="F13" s="633">
        <v>0</v>
      </c>
      <c r="G13" s="622">
        <v>-371.84</v>
      </c>
      <c r="H13" s="620">
        <v>44417</v>
      </c>
      <c r="I13" s="2213"/>
      <c r="J13" s="1949"/>
      <c r="K13" s="1879"/>
      <c r="L13" s="226"/>
      <c r="M13" s="190"/>
    </row>
    <row r="14" spans="1:13" ht="15">
      <c r="A14" s="620">
        <v>44439</v>
      </c>
      <c r="B14" s="1124" t="s">
        <v>522</v>
      </c>
      <c r="C14" s="1124" t="s">
        <v>4410</v>
      </c>
      <c r="D14" s="621" t="s">
        <v>1014</v>
      </c>
      <c r="E14" s="613">
        <v>3867.38</v>
      </c>
      <c r="F14" s="633">
        <v>0</v>
      </c>
      <c r="G14" s="622">
        <v>3867.38</v>
      </c>
      <c r="H14" s="620">
        <v>44439</v>
      </c>
      <c r="I14" s="2213"/>
      <c r="J14" s="1949"/>
      <c r="K14" s="1879"/>
      <c r="L14" s="226"/>
      <c r="M14" s="190"/>
    </row>
    <row r="15" spans="1:13" ht="15">
      <c r="A15" s="620">
        <v>44439</v>
      </c>
      <c r="B15" s="1124" t="s">
        <v>522</v>
      </c>
      <c r="C15" s="1124" t="s">
        <v>4410</v>
      </c>
      <c r="D15" s="621" t="s">
        <v>1015</v>
      </c>
      <c r="E15" s="613">
        <v>-257.57</v>
      </c>
      <c r="F15" s="633">
        <v>0</v>
      </c>
      <c r="G15" s="622">
        <v>-257.57</v>
      </c>
      <c r="H15" s="620">
        <v>44439</v>
      </c>
      <c r="I15" s="2213"/>
      <c r="J15" s="1949"/>
      <c r="K15" s="1879"/>
      <c r="L15" s="226"/>
      <c r="M15" s="190"/>
    </row>
    <row r="16" spans="1:13" ht="15">
      <c r="A16" s="620">
        <v>44476</v>
      </c>
      <c r="B16" s="1124" t="s">
        <v>522</v>
      </c>
      <c r="C16" s="1124" t="s">
        <v>4410</v>
      </c>
      <c r="D16" s="621" t="s">
        <v>1016</v>
      </c>
      <c r="E16" s="613">
        <v>2666.89</v>
      </c>
      <c r="F16" s="633">
        <v>0</v>
      </c>
      <c r="G16" s="622">
        <v>2666.89</v>
      </c>
      <c r="H16" s="620">
        <v>44476</v>
      </c>
      <c r="I16" s="2213">
        <v>13433.16</v>
      </c>
      <c r="J16" s="1948">
        <v>44539</v>
      </c>
      <c r="K16" s="1879" t="s">
        <v>550</v>
      </c>
      <c r="L16" s="226" t="s">
        <v>1017</v>
      </c>
      <c r="M16" s="190"/>
    </row>
    <row r="17" spans="1:13" ht="15">
      <c r="A17" s="620">
        <v>44476</v>
      </c>
      <c r="B17" s="1124" t="s">
        <v>522</v>
      </c>
      <c r="C17" s="1124" t="s">
        <v>4410</v>
      </c>
      <c r="D17" s="621" t="s">
        <v>1018</v>
      </c>
      <c r="E17" s="613">
        <v>-177.61</v>
      </c>
      <c r="F17" s="633">
        <v>0</v>
      </c>
      <c r="G17" s="622">
        <v>-177.61</v>
      </c>
      <c r="H17" s="620">
        <v>44476</v>
      </c>
      <c r="I17" s="2213"/>
      <c r="J17" s="1949"/>
      <c r="K17" s="1879"/>
      <c r="L17" s="226" t="s">
        <v>1019</v>
      </c>
      <c r="M17" s="190"/>
    </row>
    <row r="18" spans="1:13" ht="15">
      <c r="A18" s="620">
        <v>44480</v>
      </c>
      <c r="B18" s="1124" t="s">
        <v>522</v>
      </c>
      <c r="C18" s="1124" t="s">
        <v>4410</v>
      </c>
      <c r="D18" s="621" t="s">
        <v>1021</v>
      </c>
      <c r="E18" s="613">
        <v>876</v>
      </c>
      <c r="F18" s="633">
        <v>0</v>
      </c>
      <c r="G18" s="622">
        <v>876</v>
      </c>
      <c r="H18" s="620">
        <v>44480</v>
      </c>
      <c r="I18" s="2213"/>
      <c r="J18" s="1949"/>
      <c r="K18" s="1879"/>
      <c r="L18" s="226"/>
      <c r="M18" s="190"/>
    </row>
    <row r="19" spans="1:13" ht="15">
      <c r="A19" s="620">
        <v>44494</v>
      </c>
      <c r="B19" s="1124" t="s">
        <v>522</v>
      </c>
      <c r="C19" s="1124" t="s">
        <v>4410</v>
      </c>
      <c r="D19" s="621" t="s">
        <v>1022</v>
      </c>
      <c r="E19" s="613">
        <v>-58.34</v>
      </c>
      <c r="F19" s="633">
        <v>0</v>
      </c>
      <c r="G19" s="622">
        <v>-58.34</v>
      </c>
      <c r="H19" s="620">
        <v>44494</v>
      </c>
      <c r="I19" s="2213"/>
      <c r="J19" s="1949"/>
      <c r="K19" s="1879"/>
      <c r="L19" s="226"/>
      <c r="M19" s="190"/>
    </row>
    <row r="20" spans="1:13" ht="15">
      <c r="A20" s="620">
        <v>44494</v>
      </c>
      <c r="B20" s="1124" t="s">
        <v>522</v>
      </c>
      <c r="C20" s="1124" t="s">
        <v>4410</v>
      </c>
      <c r="D20" s="621" t="s">
        <v>1023</v>
      </c>
      <c r="E20" s="613">
        <v>8464.5</v>
      </c>
      <c r="F20" s="633">
        <v>0</v>
      </c>
      <c r="G20" s="622">
        <v>8464.5</v>
      </c>
      <c r="H20" s="620">
        <v>44494</v>
      </c>
      <c r="I20" s="2213"/>
      <c r="J20" s="1949"/>
      <c r="K20" s="1879"/>
      <c r="L20" s="226"/>
      <c r="M20" s="190"/>
    </row>
    <row r="21" spans="1:13" ht="15">
      <c r="A21" s="620">
        <v>44494</v>
      </c>
      <c r="B21" s="1124" t="s">
        <v>522</v>
      </c>
      <c r="C21" s="1124" t="s">
        <v>4410</v>
      </c>
      <c r="D21" s="621" t="s">
        <v>1024</v>
      </c>
      <c r="E21" s="613">
        <v>-563.74</v>
      </c>
      <c r="F21" s="633">
        <v>0</v>
      </c>
      <c r="G21" s="622">
        <v>-563.74</v>
      </c>
      <c r="H21" s="620">
        <v>44494</v>
      </c>
      <c r="I21" s="2213"/>
      <c r="J21" s="1949"/>
      <c r="K21" s="1879"/>
      <c r="L21" s="226"/>
      <c r="M21" s="190"/>
    </row>
    <row r="22" spans="1:13" ht="15">
      <c r="A22" s="620">
        <v>44505</v>
      </c>
      <c r="B22" s="1124" t="s">
        <v>522</v>
      </c>
      <c r="C22" s="1124" t="s">
        <v>4410</v>
      </c>
      <c r="D22" s="621" t="s">
        <v>1025</v>
      </c>
      <c r="E22" s="613">
        <v>2384.25</v>
      </c>
      <c r="F22" s="633">
        <v>0</v>
      </c>
      <c r="G22" s="622">
        <v>2384.25</v>
      </c>
      <c r="H22" s="620">
        <v>44505</v>
      </c>
      <c r="I22" s="2213"/>
      <c r="J22" s="1949"/>
      <c r="K22" s="1879"/>
      <c r="L22" s="226" t="s">
        <v>1017</v>
      </c>
      <c r="M22" s="190"/>
    </row>
    <row r="23" spans="1:13" ht="15">
      <c r="A23" s="620">
        <v>44526</v>
      </c>
      <c r="B23" s="1124" t="s">
        <v>522</v>
      </c>
      <c r="C23" s="1124" t="s">
        <v>4410</v>
      </c>
      <c r="D23" s="621" t="s">
        <v>1026</v>
      </c>
      <c r="E23" s="613">
        <v>-158.79</v>
      </c>
      <c r="F23" s="633">
        <v>0</v>
      </c>
      <c r="G23" s="622">
        <v>-158.79</v>
      </c>
      <c r="H23" s="620">
        <v>44526</v>
      </c>
      <c r="I23" s="2213"/>
      <c r="J23" s="1949"/>
      <c r="K23" s="1879"/>
      <c r="L23" s="226" t="s">
        <v>1027</v>
      </c>
      <c r="M23" s="190"/>
    </row>
    <row r="24" spans="1:13" ht="15">
      <c r="A24" s="620"/>
      <c r="B24" s="1124"/>
      <c r="C24" s="1124"/>
      <c r="D24" s="621"/>
      <c r="E24" s="613"/>
      <c r="F24" s="633" t="s">
        <v>3098</v>
      </c>
      <c r="G24" s="622">
        <f>SUM(G16:G23)-I16</f>
        <v>0</v>
      </c>
      <c r="H24" s="620"/>
      <c r="I24" s="680"/>
      <c r="J24" s="621"/>
      <c r="K24" s="236"/>
      <c r="L24" s="226"/>
      <c r="M24" s="190"/>
    </row>
    <row r="25" spans="1:13" ht="15">
      <c r="A25" s="620">
        <v>44539</v>
      </c>
      <c r="B25" s="1124" t="s">
        <v>522</v>
      </c>
      <c r="C25" s="1124" t="s">
        <v>4410</v>
      </c>
      <c r="D25" s="621" t="s">
        <v>1028</v>
      </c>
      <c r="E25" s="613">
        <v>11231.58</v>
      </c>
      <c r="F25" s="633">
        <v>0</v>
      </c>
      <c r="G25" s="622">
        <v>11231.58</v>
      </c>
      <c r="H25" s="620">
        <v>44539</v>
      </c>
      <c r="I25" s="680">
        <v>6000</v>
      </c>
      <c r="J25" s="620">
        <v>44602</v>
      </c>
      <c r="K25" s="236" t="s">
        <v>550</v>
      </c>
      <c r="L25" s="226"/>
      <c r="M25" s="190"/>
    </row>
    <row r="26" spans="1:13" ht="15">
      <c r="A26" s="620"/>
      <c r="B26" s="1124"/>
      <c r="C26" s="1124"/>
      <c r="D26" s="621"/>
      <c r="E26" s="613"/>
      <c r="F26" s="633" t="s">
        <v>3098</v>
      </c>
      <c r="G26" s="622">
        <f>G25-I25</f>
        <v>5231.58</v>
      </c>
      <c r="H26" s="620"/>
      <c r="I26" s="2213">
        <v>7515.01</v>
      </c>
      <c r="J26" s="1948">
        <v>44605</v>
      </c>
      <c r="K26" s="1879" t="s">
        <v>544</v>
      </c>
      <c r="L26" s="226"/>
      <c r="M26" s="190"/>
    </row>
    <row r="27" spans="1:13" ht="15">
      <c r="A27" s="620">
        <v>44539</v>
      </c>
      <c r="B27" s="1124" t="s">
        <v>522</v>
      </c>
      <c r="C27" s="1124" t="s">
        <v>4410</v>
      </c>
      <c r="D27" s="621" t="s">
        <v>1029</v>
      </c>
      <c r="E27" s="613">
        <v>-44.09</v>
      </c>
      <c r="F27" s="633">
        <v>0</v>
      </c>
      <c r="G27" s="622">
        <v>-44.09</v>
      </c>
      <c r="H27" s="620" t="s">
        <v>1529</v>
      </c>
      <c r="I27" s="2213"/>
      <c r="J27" s="1949"/>
      <c r="K27" s="1879"/>
      <c r="L27" s="226"/>
      <c r="M27" s="190"/>
    </row>
    <row r="28" spans="1:13" ht="15">
      <c r="A28" s="620">
        <v>44544</v>
      </c>
      <c r="B28" s="1124" t="s">
        <v>522</v>
      </c>
      <c r="C28" s="1124" t="s">
        <v>4410</v>
      </c>
      <c r="D28" s="621" t="s">
        <v>1030</v>
      </c>
      <c r="E28" s="613">
        <v>100.02</v>
      </c>
      <c r="F28" s="633">
        <v>0</v>
      </c>
      <c r="G28" s="622">
        <v>100.02</v>
      </c>
      <c r="H28" s="620">
        <v>44544</v>
      </c>
      <c r="I28" s="2213"/>
      <c r="J28" s="1949"/>
      <c r="K28" s="1879"/>
      <c r="L28" s="91"/>
      <c r="M28" s="190"/>
    </row>
    <row r="29" spans="1:13" ht="15">
      <c r="A29" s="620">
        <v>44558</v>
      </c>
      <c r="B29" s="1124" t="s">
        <v>522</v>
      </c>
      <c r="C29" s="1124" t="s">
        <v>4410</v>
      </c>
      <c r="D29" s="621" t="s">
        <v>1031</v>
      </c>
      <c r="E29" s="613">
        <v>1782</v>
      </c>
      <c r="F29" s="633">
        <v>0</v>
      </c>
      <c r="G29" s="622">
        <v>1782</v>
      </c>
      <c r="H29" s="620">
        <v>44558</v>
      </c>
      <c r="I29" s="2213"/>
      <c r="J29" s="1949"/>
      <c r="K29" s="1879"/>
      <c r="L29" s="226"/>
      <c r="M29" s="190"/>
    </row>
    <row r="30" spans="1:13" ht="15">
      <c r="A30" s="620">
        <v>44560</v>
      </c>
      <c r="B30" s="1124" t="s">
        <v>522</v>
      </c>
      <c r="C30" s="1124" t="s">
        <v>4410</v>
      </c>
      <c r="D30" s="621" t="s">
        <v>1032</v>
      </c>
      <c r="E30" s="613">
        <v>445.5</v>
      </c>
      <c r="F30" s="633">
        <v>0</v>
      </c>
      <c r="G30" s="622">
        <v>445.5</v>
      </c>
      <c r="H30" s="620">
        <v>44560</v>
      </c>
      <c r="I30" s="2213"/>
      <c r="J30" s="1949"/>
      <c r="K30" s="1879"/>
      <c r="L30" s="226"/>
      <c r="M30" s="190"/>
    </row>
    <row r="31" spans="1:13" ht="15">
      <c r="A31" s="620">
        <v>44575</v>
      </c>
      <c r="B31" s="1124" t="s">
        <v>522</v>
      </c>
      <c r="C31" s="1124" t="s">
        <v>4410</v>
      </c>
      <c r="D31" s="621" t="s">
        <v>1033</v>
      </c>
      <c r="E31" s="613">
        <v>-445.5</v>
      </c>
      <c r="F31" s="633">
        <v>0</v>
      </c>
      <c r="G31" s="622">
        <v>-445.5</v>
      </c>
      <c r="H31" s="620" t="s">
        <v>1529</v>
      </c>
      <c r="I31" s="2213"/>
      <c r="J31" s="1949"/>
      <c r="K31" s="1879"/>
      <c r="L31" s="226" t="s">
        <v>389</v>
      </c>
      <c r="M31" s="190"/>
    </row>
    <row r="32" spans="1:13" ht="15">
      <c r="A32" s="620">
        <v>44578</v>
      </c>
      <c r="B32" s="1124" t="s">
        <v>522</v>
      </c>
      <c r="C32" s="1124" t="s">
        <v>4410</v>
      </c>
      <c r="D32" s="621" t="s">
        <v>1034</v>
      </c>
      <c r="E32" s="613">
        <v>12559.5</v>
      </c>
      <c r="F32" s="633">
        <v>0</v>
      </c>
      <c r="G32" s="622">
        <v>12559.5</v>
      </c>
      <c r="H32" s="620">
        <v>44578</v>
      </c>
      <c r="I32" s="2213"/>
      <c r="J32" s="1949"/>
      <c r="K32" s="1879"/>
      <c r="L32" s="226"/>
      <c r="M32" s="190"/>
    </row>
    <row r="33" spans="1:13" ht="15">
      <c r="A33" s="620"/>
      <c r="B33" s="1124"/>
      <c r="C33" s="1124"/>
      <c r="D33" s="621"/>
      <c r="E33" s="613"/>
      <c r="F33" s="633" t="s">
        <v>3098</v>
      </c>
      <c r="G33" s="622">
        <f>SUM(G26:G32)-I26</f>
        <v>12114.000000000002</v>
      </c>
      <c r="H33" s="620"/>
      <c r="I33" s="680">
        <v>8000</v>
      </c>
      <c r="J33" s="620">
        <v>44655</v>
      </c>
      <c r="K33" s="236" t="s">
        <v>1872</v>
      </c>
      <c r="L33" s="226"/>
      <c r="M33" s="190"/>
    </row>
    <row r="34" spans="1:13" s="168" customFormat="1" ht="15">
      <c r="A34" s="620"/>
      <c r="B34" s="1124"/>
      <c r="C34" s="1124"/>
      <c r="D34" s="621"/>
      <c r="E34" s="613"/>
      <c r="F34" s="633" t="s">
        <v>3098</v>
      </c>
      <c r="G34" s="622">
        <f>G33-I33</f>
        <v>4114.0000000000018</v>
      </c>
      <c r="H34" s="620"/>
      <c r="I34" s="680">
        <v>1796.5</v>
      </c>
      <c r="J34" s="620">
        <v>44670</v>
      </c>
      <c r="K34" s="364" t="s">
        <v>1817</v>
      </c>
      <c r="L34" s="226"/>
      <c r="M34" s="190"/>
    </row>
    <row r="35" spans="1:13" s="168" customFormat="1" ht="15">
      <c r="A35" s="620"/>
      <c r="B35" s="1124"/>
      <c r="C35" s="1124"/>
      <c r="D35" s="621"/>
      <c r="E35" s="613"/>
      <c r="F35" s="633" t="s">
        <v>3098</v>
      </c>
      <c r="G35" s="622">
        <f>G34-I34</f>
        <v>2317.5000000000018</v>
      </c>
      <c r="H35" s="620"/>
      <c r="I35" s="2210">
        <v>10000</v>
      </c>
      <c r="J35" s="1918">
        <v>44673</v>
      </c>
      <c r="K35" s="1968" t="s">
        <v>1953</v>
      </c>
      <c r="L35" s="226"/>
      <c r="M35" s="190"/>
    </row>
    <row r="36" spans="1:13" ht="15">
      <c r="A36" s="620">
        <v>44585</v>
      </c>
      <c r="B36" s="1124" t="s">
        <v>522</v>
      </c>
      <c r="C36" s="1124" t="s">
        <v>4410</v>
      </c>
      <c r="D36" s="621" t="s">
        <v>1035</v>
      </c>
      <c r="E36" s="613">
        <v>3956.25</v>
      </c>
      <c r="F36" s="633">
        <v>0</v>
      </c>
      <c r="G36" s="622">
        <v>3956.25</v>
      </c>
      <c r="H36" s="620">
        <v>44585</v>
      </c>
      <c r="I36" s="2212"/>
      <c r="J36" s="1919"/>
      <c r="K36" s="1962"/>
      <c r="L36" s="226"/>
      <c r="M36" s="190"/>
    </row>
    <row r="37" spans="1:13" ht="15">
      <c r="A37" s="620">
        <v>44596</v>
      </c>
      <c r="B37" s="1124" t="s">
        <v>521</v>
      </c>
      <c r="C37" s="1124" t="s">
        <v>4410</v>
      </c>
      <c r="D37" s="621" t="s">
        <v>1036</v>
      </c>
      <c r="E37" s="613">
        <v>900.75</v>
      </c>
      <c r="F37" s="633">
        <v>0</v>
      </c>
      <c r="G37" s="689">
        <v>900.75</v>
      </c>
      <c r="H37" s="620">
        <v>44596</v>
      </c>
      <c r="I37" s="2212"/>
      <c r="J37" s="1919"/>
      <c r="K37" s="1962"/>
      <c r="L37" s="226"/>
      <c r="M37" s="190"/>
    </row>
    <row r="38" spans="1:13" ht="15">
      <c r="A38" s="620">
        <v>44606</v>
      </c>
      <c r="B38" s="1124" t="s">
        <v>521</v>
      </c>
      <c r="C38" s="1124" t="s">
        <v>4410</v>
      </c>
      <c r="D38" s="621" t="s">
        <v>1037</v>
      </c>
      <c r="E38" s="613">
        <v>1062</v>
      </c>
      <c r="F38" s="633">
        <v>0</v>
      </c>
      <c r="G38" s="622">
        <v>1062</v>
      </c>
      <c r="H38" s="620">
        <v>44606</v>
      </c>
      <c r="I38" s="2212"/>
      <c r="J38" s="1919"/>
      <c r="K38" s="1962"/>
      <c r="L38" s="226"/>
      <c r="M38" s="190"/>
    </row>
    <row r="39" spans="1:13" ht="15">
      <c r="A39" s="620">
        <v>44613</v>
      </c>
      <c r="B39" s="1124" t="s">
        <v>521</v>
      </c>
      <c r="C39" s="1124" t="s">
        <v>4410</v>
      </c>
      <c r="D39" s="621" t="s">
        <v>1038</v>
      </c>
      <c r="E39" s="613">
        <v>3315.38</v>
      </c>
      <c r="F39" s="633">
        <v>0</v>
      </c>
      <c r="G39" s="622">
        <v>3315.38</v>
      </c>
      <c r="H39" s="620">
        <v>44613</v>
      </c>
      <c r="I39" s="2212"/>
      <c r="J39" s="1919"/>
      <c r="K39" s="1962"/>
      <c r="L39" s="226"/>
      <c r="M39" s="190"/>
    </row>
    <row r="40" spans="1:13" ht="15">
      <c r="A40" s="620">
        <v>44616</v>
      </c>
      <c r="B40" s="1124" t="s">
        <v>521</v>
      </c>
      <c r="C40" s="1124" t="s">
        <v>4410</v>
      </c>
      <c r="D40" s="621" t="s">
        <v>1039</v>
      </c>
      <c r="E40" s="613">
        <v>-741.28</v>
      </c>
      <c r="F40" s="633">
        <v>0</v>
      </c>
      <c r="G40" s="622">
        <v>-741.28</v>
      </c>
      <c r="H40" s="620">
        <v>44616</v>
      </c>
      <c r="I40" s="2212"/>
      <c r="J40" s="1919"/>
      <c r="K40" s="1962"/>
      <c r="L40" s="91" t="s">
        <v>1040</v>
      </c>
      <c r="M40" s="190"/>
    </row>
    <row r="41" spans="1:13" ht="15">
      <c r="A41" s="620">
        <v>44616</v>
      </c>
      <c r="B41" s="1124" t="s">
        <v>521</v>
      </c>
      <c r="C41" s="1124" t="s">
        <v>4410</v>
      </c>
      <c r="D41" s="621" t="s">
        <v>1041</v>
      </c>
      <c r="E41" s="613">
        <v>-6.6</v>
      </c>
      <c r="F41" s="633">
        <v>0</v>
      </c>
      <c r="G41" s="622">
        <v>-6.6</v>
      </c>
      <c r="H41" s="620">
        <v>44616</v>
      </c>
      <c r="I41" s="2212"/>
      <c r="J41" s="1919"/>
      <c r="K41" s="1962"/>
      <c r="L41" s="91" t="s">
        <v>1042</v>
      </c>
      <c r="M41" s="190"/>
    </row>
    <row r="42" spans="1:13" ht="15">
      <c r="A42" s="620">
        <v>44616</v>
      </c>
      <c r="B42" s="1124" t="s">
        <v>521</v>
      </c>
      <c r="C42" s="1124" t="s">
        <v>4410</v>
      </c>
      <c r="D42" s="647" t="s">
        <v>1043</v>
      </c>
      <c r="E42" s="613">
        <v>-117.61</v>
      </c>
      <c r="F42" s="633">
        <v>0</v>
      </c>
      <c r="G42" s="622">
        <v>-117.61</v>
      </c>
      <c r="H42" s="620">
        <v>44616</v>
      </c>
      <c r="I42" s="2212"/>
      <c r="J42" s="1919"/>
      <c r="K42" s="1962"/>
      <c r="L42" s="91" t="s">
        <v>1044</v>
      </c>
      <c r="M42" s="190"/>
    </row>
    <row r="43" spans="1:13" ht="15">
      <c r="A43" s="620">
        <v>44616</v>
      </c>
      <c r="B43" s="1124" t="s">
        <v>521</v>
      </c>
      <c r="C43" s="1124" t="s">
        <v>4410</v>
      </c>
      <c r="D43" s="621" t="s">
        <v>1045</v>
      </c>
      <c r="E43" s="613">
        <v>-828.93</v>
      </c>
      <c r="F43" s="633">
        <v>0</v>
      </c>
      <c r="G43" s="622">
        <v>-828.93</v>
      </c>
      <c r="H43" s="620">
        <v>44616</v>
      </c>
      <c r="I43" s="2212"/>
      <c r="J43" s="1919"/>
      <c r="K43" s="1962"/>
      <c r="L43" s="91" t="s">
        <v>1046</v>
      </c>
      <c r="M43" s="190"/>
    </row>
    <row r="44" spans="1:13" ht="15">
      <c r="A44" s="620">
        <v>44616</v>
      </c>
      <c r="B44" s="1124" t="s">
        <v>521</v>
      </c>
      <c r="C44" s="1124" t="s">
        <v>4410</v>
      </c>
      <c r="D44" s="621" t="s">
        <v>1047</v>
      </c>
      <c r="E44" s="613">
        <v>-261.11</v>
      </c>
      <c r="F44" s="633">
        <v>0</v>
      </c>
      <c r="G44" s="622">
        <f>-261.11</f>
        <v>-261.11</v>
      </c>
      <c r="H44" s="620">
        <v>44616</v>
      </c>
      <c r="I44" s="2212"/>
      <c r="J44" s="1919"/>
      <c r="K44" s="1962"/>
      <c r="L44" s="91" t="s">
        <v>1048</v>
      </c>
      <c r="M44" s="190"/>
    </row>
    <row r="45" spans="1:13" ht="15">
      <c r="A45" s="620">
        <v>44616</v>
      </c>
      <c r="B45" s="1124" t="s">
        <v>521</v>
      </c>
      <c r="C45" s="1124" t="s">
        <v>4410</v>
      </c>
      <c r="D45" s="621" t="s">
        <v>1049</v>
      </c>
      <c r="E45" s="613">
        <v>-59.45</v>
      </c>
      <c r="F45" s="633">
        <v>0</v>
      </c>
      <c r="G45" s="622">
        <f>-59.45</f>
        <v>-59.45</v>
      </c>
      <c r="H45" s="620">
        <v>44616</v>
      </c>
      <c r="I45" s="2212"/>
      <c r="J45" s="1919"/>
      <c r="K45" s="1962"/>
      <c r="L45" s="91" t="s">
        <v>1050</v>
      </c>
      <c r="M45" s="190"/>
    </row>
    <row r="46" spans="1:13" ht="15">
      <c r="A46" s="620">
        <v>44616</v>
      </c>
      <c r="B46" s="1124" t="s">
        <v>521</v>
      </c>
      <c r="C46" s="1124" t="s">
        <v>4410</v>
      </c>
      <c r="D46" s="621" t="s">
        <v>1051</v>
      </c>
      <c r="E46" s="613">
        <v>-70.09</v>
      </c>
      <c r="F46" s="633">
        <v>0</v>
      </c>
      <c r="G46" s="622">
        <v>-70.09</v>
      </c>
      <c r="H46" s="620">
        <v>44616</v>
      </c>
      <c r="I46" s="2212"/>
      <c r="J46" s="1919"/>
      <c r="K46" s="1962"/>
      <c r="L46" s="121" t="s">
        <v>1052</v>
      </c>
      <c r="M46" s="190"/>
    </row>
    <row r="47" spans="1:13" ht="15">
      <c r="A47" s="620">
        <v>44616</v>
      </c>
      <c r="B47" s="1124" t="s">
        <v>521</v>
      </c>
      <c r="C47" s="1124" t="s">
        <v>4410</v>
      </c>
      <c r="D47" s="621" t="s">
        <v>1053</v>
      </c>
      <c r="E47" s="613">
        <v>-218.82</v>
      </c>
      <c r="F47" s="633">
        <v>0</v>
      </c>
      <c r="G47" s="622">
        <f>-218.82</f>
        <v>-218.82</v>
      </c>
      <c r="H47" s="620">
        <v>44616</v>
      </c>
      <c r="I47" s="2212"/>
      <c r="J47" s="1919"/>
      <c r="K47" s="1962"/>
      <c r="L47" s="121" t="s">
        <v>1759</v>
      </c>
      <c r="M47" s="190"/>
    </row>
    <row r="48" spans="1:13" ht="15">
      <c r="A48" s="620">
        <v>44622</v>
      </c>
      <c r="B48" s="1124" t="s">
        <v>521</v>
      </c>
      <c r="C48" s="1124" t="s">
        <v>4410</v>
      </c>
      <c r="D48" s="621" t="s">
        <v>1054</v>
      </c>
      <c r="E48" s="613">
        <v>9346.7999999999993</v>
      </c>
      <c r="F48" s="633">
        <v>0</v>
      </c>
      <c r="G48" s="622">
        <v>9346.7999999999993</v>
      </c>
      <c r="H48" s="620">
        <v>44622</v>
      </c>
      <c r="I48" s="2212"/>
      <c r="J48" s="1919"/>
      <c r="K48" s="1962"/>
      <c r="L48" s="250"/>
      <c r="M48" s="190"/>
    </row>
    <row r="49" spans="1:13" ht="15">
      <c r="A49" s="620">
        <v>44640</v>
      </c>
      <c r="B49" s="1124" t="s">
        <v>521</v>
      </c>
      <c r="C49" s="1124" t="s">
        <v>4410</v>
      </c>
      <c r="D49" s="621" t="s">
        <v>1788</v>
      </c>
      <c r="E49" s="613">
        <v>-616.89</v>
      </c>
      <c r="F49" s="633">
        <v>0</v>
      </c>
      <c r="G49" s="622">
        <v>-616.89</v>
      </c>
      <c r="H49" s="620">
        <v>44640</v>
      </c>
      <c r="I49" s="2211"/>
      <c r="J49" s="1920"/>
      <c r="K49" s="1957"/>
      <c r="L49" s="250" t="s">
        <v>1760</v>
      </c>
      <c r="M49" s="190"/>
    </row>
    <row r="50" spans="1:13" s="168" customFormat="1" ht="15">
      <c r="A50" s="620"/>
      <c r="B50" s="1124"/>
      <c r="C50" s="1124"/>
      <c r="D50" s="621"/>
      <c r="E50" s="613"/>
      <c r="F50" s="633" t="s">
        <v>3098</v>
      </c>
      <c r="G50" s="622">
        <f>SUM(G35:G49)-I35</f>
        <v>7977.8999999999978</v>
      </c>
      <c r="H50" s="620"/>
      <c r="I50" s="680"/>
      <c r="J50" s="620"/>
      <c r="K50" s="364"/>
      <c r="L50" s="366"/>
      <c r="M50" s="190"/>
    </row>
    <row r="51" spans="1:13" ht="15">
      <c r="A51" s="620">
        <v>44662</v>
      </c>
      <c r="B51" s="1124" t="s">
        <v>521</v>
      </c>
      <c r="C51" s="1124" t="s">
        <v>4410</v>
      </c>
      <c r="D51" s="621" t="s">
        <v>1930</v>
      </c>
      <c r="E51" s="613">
        <v>94.24</v>
      </c>
      <c r="F51" s="633">
        <v>0</v>
      </c>
      <c r="G51" s="622">
        <v>94.24</v>
      </c>
      <c r="H51" s="620">
        <v>44662</v>
      </c>
      <c r="I51" s="680"/>
      <c r="J51" s="620"/>
      <c r="K51" s="364"/>
      <c r="L51" s="226"/>
      <c r="M51" s="190"/>
    </row>
    <row r="52" spans="1:13" s="168" customFormat="1" ht="15">
      <c r="A52" s="620">
        <v>44662</v>
      </c>
      <c r="B52" s="1124" t="s">
        <v>521</v>
      </c>
      <c r="C52" s="1124" t="s">
        <v>4410</v>
      </c>
      <c r="D52" s="621" t="s">
        <v>1951</v>
      </c>
      <c r="E52" s="613">
        <v>-6.22</v>
      </c>
      <c r="F52" s="633">
        <v>0</v>
      </c>
      <c r="G52" s="622">
        <v>-6.22</v>
      </c>
      <c r="H52" s="620">
        <v>44673</v>
      </c>
      <c r="I52" s="680"/>
      <c r="J52" s="620"/>
      <c r="K52" s="364"/>
      <c r="L52" s="226" t="s">
        <v>1952</v>
      </c>
      <c r="M52" s="190"/>
    </row>
    <row r="53" spans="1:13" s="168" customFormat="1" ht="15">
      <c r="A53" s="620"/>
      <c r="B53" s="1124"/>
      <c r="C53" s="1124"/>
      <c r="D53" s="621"/>
      <c r="E53" s="613"/>
      <c r="F53" s="633" t="s">
        <v>3098</v>
      </c>
      <c r="G53" s="622">
        <f>SUM(G50:G52)</f>
        <v>8065.9199999999973</v>
      </c>
      <c r="H53" s="620"/>
      <c r="I53" s="680">
        <v>8065.92</v>
      </c>
      <c r="J53" s="620">
        <v>44701</v>
      </c>
      <c r="K53" s="367" t="s">
        <v>2130</v>
      </c>
      <c r="L53" s="226"/>
      <c r="M53" s="190"/>
    </row>
    <row r="54" spans="1:13" s="168" customFormat="1" ht="15">
      <c r="A54" s="620"/>
      <c r="B54" s="1124"/>
      <c r="C54" s="1124"/>
      <c r="D54" s="621"/>
      <c r="E54" s="613"/>
      <c r="F54" s="633" t="s">
        <v>3098</v>
      </c>
      <c r="G54" s="622">
        <f>G53-I53</f>
        <v>0</v>
      </c>
      <c r="H54" s="620"/>
      <c r="I54" s="680"/>
      <c r="J54" s="620"/>
      <c r="K54" s="384"/>
      <c r="L54" s="226"/>
      <c r="M54" s="190"/>
    </row>
    <row r="55" spans="1:13" s="168" customFormat="1" ht="15">
      <c r="A55" s="632">
        <v>44673</v>
      </c>
      <c r="B55" s="1124" t="s">
        <v>521</v>
      </c>
      <c r="C55" s="1124" t="s">
        <v>4410</v>
      </c>
      <c r="D55" s="615" t="s">
        <v>1954</v>
      </c>
      <c r="E55" s="613">
        <v>4648.6499999999996</v>
      </c>
      <c r="F55" s="633">
        <v>0</v>
      </c>
      <c r="G55" s="631">
        <v>4648.6499999999996</v>
      </c>
      <c r="H55" s="632">
        <v>44673</v>
      </c>
      <c r="I55" s="2210">
        <v>14087.34</v>
      </c>
      <c r="J55" s="1918">
        <v>44736</v>
      </c>
      <c r="K55" s="1968" t="s">
        <v>2417</v>
      </c>
      <c r="L55" s="226"/>
      <c r="M55" s="190"/>
    </row>
    <row r="56" spans="1:13" s="168" customFormat="1" ht="15">
      <c r="A56" s="632">
        <v>44692</v>
      </c>
      <c r="B56" s="1124" t="s">
        <v>4119</v>
      </c>
      <c r="C56" s="1124" t="s">
        <v>4410</v>
      </c>
      <c r="D56" s="615" t="s">
        <v>2091</v>
      </c>
      <c r="E56" s="613">
        <v>2053.0500000000002</v>
      </c>
      <c r="F56" s="633">
        <v>0</v>
      </c>
      <c r="G56" s="631">
        <v>2053.0500000000002</v>
      </c>
      <c r="H56" s="632">
        <v>44737</v>
      </c>
      <c r="I56" s="2212"/>
      <c r="J56" s="1919"/>
      <c r="K56" s="1962"/>
      <c r="L56" s="226"/>
      <c r="M56" s="190"/>
    </row>
    <row r="57" spans="1:13" s="168" customFormat="1" ht="15">
      <c r="A57" s="632">
        <v>44694</v>
      </c>
      <c r="B57" s="1124" t="s">
        <v>4119</v>
      </c>
      <c r="C57" s="1124" t="s">
        <v>4410</v>
      </c>
      <c r="D57" s="615" t="s">
        <v>2092</v>
      </c>
      <c r="E57" s="613">
        <v>4395.1499999999996</v>
      </c>
      <c r="F57" s="633">
        <v>0</v>
      </c>
      <c r="G57" s="631">
        <v>4395.1499999999996</v>
      </c>
      <c r="H57" s="632">
        <v>44694</v>
      </c>
      <c r="I57" s="2212"/>
      <c r="J57" s="1919"/>
      <c r="K57" s="1962"/>
      <c r="L57" s="226"/>
      <c r="M57" s="190"/>
    </row>
    <row r="58" spans="1:13" s="168" customFormat="1" ht="15">
      <c r="A58" s="632">
        <v>44701</v>
      </c>
      <c r="B58" s="1124" t="s">
        <v>4119</v>
      </c>
      <c r="C58" s="1124" t="s">
        <v>4410</v>
      </c>
      <c r="D58" s="615" t="s">
        <v>2131</v>
      </c>
      <c r="E58" s="613">
        <v>3985.95</v>
      </c>
      <c r="F58" s="633">
        <v>0</v>
      </c>
      <c r="G58" s="631">
        <v>3985.95</v>
      </c>
      <c r="H58" s="632">
        <v>44701</v>
      </c>
      <c r="I58" s="2212"/>
      <c r="J58" s="1919"/>
      <c r="K58" s="1962"/>
      <c r="L58" s="226"/>
      <c r="M58" s="190"/>
    </row>
    <row r="59" spans="1:13" s="168" customFormat="1" ht="15">
      <c r="A59" s="632">
        <v>44704</v>
      </c>
      <c r="B59" s="1124" t="s">
        <v>4119</v>
      </c>
      <c r="C59" s="1124" t="s">
        <v>4410</v>
      </c>
      <c r="D59" s="615" t="s">
        <v>2175</v>
      </c>
      <c r="E59" s="613">
        <v>-306.81</v>
      </c>
      <c r="F59" s="633">
        <v>0</v>
      </c>
      <c r="G59" s="631">
        <v>-306.81</v>
      </c>
      <c r="H59" s="632">
        <v>44704</v>
      </c>
      <c r="I59" s="2212"/>
      <c r="J59" s="1919"/>
      <c r="K59" s="1962"/>
      <c r="L59" s="226" t="s">
        <v>2179</v>
      </c>
      <c r="M59" s="190"/>
    </row>
    <row r="60" spans="1:13" s="168" customFormat="1" ht="15">
      <c r="A60" s="632">
        <v>44704</v>
      </c>
      <c r="B60" s="1124" t="s">
        <v>4119</v>
      </c>
      <c r="C60" s="1124" t="s">
        <v>4410</v>
      </c>
      <c r="D60" s="615" t="s">
        <v>2176</v>
      </c>
      <c r="E60" s="613">
        <v>-135.5</v>
      </c>
      <c r="F60" s="633">
        <v>0</v>
      </c>
      <c r="G60" s="631">
        <v>-135.5</v>
      </c>
      <c r="H60" s="632">
        <v>44704</v>
      </c>
      <c r="I60" s="2212"/>
      <c r="J60" s="1919"/>
      <c r="K60" s="1962"/>
      <c r="L60" s="226" t="s">
        <v>2180</v>
      </c>
      <c r="M60" s="190"/>
    </row>
    <row r="61" spans="1:13" s="168" customFormat="1" ht="15">
      <c r="A61" s="632">
        <v>44704</v>
      </c>
      <c r="B61" s="1124" t="s">
        <v>4119</v>
      </c>
      <c r="C61" s="1124" t="s">
        <v>4410</v>
      </c>
      <c r="D61" s="615" t="s">
        <v>2177</v>
      </c>
      <c r="E61" s="613">
        <v>-290.08</v>
      </c>
      <c r="F61" s="633">
        <v>0</v>
      </c>
      <c r="G61" s="631">
        <v>-290.08</v>
      </c>
      <c r="H61" s="632">
        <v>44704</v>
      </c>
      <c r="I61" s="2212"/>
      <c r="J61" s="1919"/>
      <c r="K61" s="1962"/>
      <c r="L61" s="226" t="s">
        <v>2181</v>
      </c>
      <c r="M61" s="190"/>
    </row>
    <row r="62" spans="1:13" s="168" customFormat="1" ht="15">
      <c r="A62" s="632">
        <v>44704</v>
      </c>
      <c r="B62" s="1124" t="s">
        <v>4119</v>
      </c>
      <c r="C62" s="1124" t="s">
        <v>4410</v>
      </c>
      <c r="D62" s="615" t="s">
        <v>2178</v>
      </c>
      <c r="E62" s="613">
        <v>-263.07</v>
      </c>
      <c r="F62" s="633">
        <v>0</v>
      </c>
      <c r="G62" s="631">
        <v>-263.07</v>
      </c>
      <c r="H62" s="632">
        <v>44704</v>
      </c>
      <c r="I62" s="2211"/>
      <c r="J62" s="1920"/>
      <c r="K62" s="1957"/>
      <c r="L62" s="226" t="s">
        <v>2182</v>
      </c>
      <c r="M62" s="190"/>
    </row>
    <row r="63" spans="1:13" s="168" customFormat="1" ht="15">
      <c r="A63" s="632">
        <v>44712</v>
      </c>
      <c r="B63" s="1124" t="s">
        <v>4119</v>
      </c>
      <c r="C63" s="1124" t="s">
        <v>4410</v>
      </c>
      <c r="D63" s="615" t="s">
        <v>2237</v>
      </c>
      <c r="E63" s="609">
        <v>2007</v>
      </c>
      <c r="F63" s="649">
        <v>0</v>
      </c>
      <c r="G63" s="631">
        <v>2007</v>
      </c>
      <c r="H63" s="632">
        <v>44712</v>
      </c>
      <c r="I63" s="2143">
        <v>10000</v>
      </c>
      <c r="J63" s="1918">
        <v>44781</v>
      </c>
      <c r="K63" s="1968" t="s">
        <v>2720</v>
      </c>
      <c r="L63" s="2004" t="s">
        <v>2724</v>
      </c>
      <c r="M63" s="190"/>
    </row>
    <row r="64" spans="1:13" s="168" customFormat="1" ht="15">
      <c r="A64" s="632">
        <v>44712</v>
      </c>
      <c r="B64" s="1124" t="s">
        <v>4119</v>
      </c>
      <c r="C64" s="1124" t="s">
        <v>4410</v>
      </c>
      <c r="D64" s="615" t="s">
        <v>2238</v>
      </c>
      <c r="E64" s="718">
        <v>3667.5</v>
      </c>
      <c r="F64" s="649">
        <v>0</v>
      </c>
      <c r="G64" s="631">
        <v>3667.5</v>
      </c>
      <c r="H64" s="632">
        <v>44712</v>
      </c>
      <c r="I64" s="2145"/>
      <c r="J64" s="1919"/>
      <c r="K64" s="1962"/>
      <c r="L64" s="2005"/>
      <c r="M64" s="190"/>
    </row>
    <row r="65" spans="1:13" s="168" customFormat="1" ht="15">
      <c r="A65" s="632">
        <v>44712</v>
      </c>
      <c r="B65" s="1124" t="s">
        <v>4119</v>
      </c>
      <c r="C65" s="1124" t="s">
        <v>4410</v>
      </c>
      <c r="D65" s="615" t="s">
        <v>2239</v>
      </c>
      <c r="E65" s="718">
        <v>684</v>
      </c>
      <c r="F65" s="649">
        <v>0</v>
      </c>
      <c r="G65" s="631">
        <v>684</v>
      </c>
      <c r="H65" s="632">
        <v>44712</v>
      </c>
      <c r="I65" s="2145"/>
      <c r="J65" s="1919"/>
      <c r="K65" s="1962"/>
      <c r="L65" s="2005"/>
      <c r="M65" s="190"/>
    </row>
    <row r="66" spans="1:13" s="168" customFormat="1" ht="15">
      <c r="A66" s="632">
        <v>44712</v>
      </c>
      <c r="B66" s="1124" t="s">
        <v>4119</v>
      </c>
      <c r="C66" s="1124" t="s">
        <v>4410</v>
      </c>
      <c r="D66" s="615" t="s">
        <v>2240</v>
      </c>
      <c r="E66" s="718">
        <v>612</v>
      </c>
      <c r="F66" s="649">
        <v>0</v>
      </c>
      <c r="G66" s="631">
        <v>612</v>
      </c>
      <c r="H66" s="632">
        <v>44712</v>
      </c>
      <c r="I66" s="2145"/>
      <c r="J66" s="1919"/>
      <c r="K66" s="1962"/>
      <c r="L66" s="2005"/>
      <c r="M66" s="190"/>
    </row>
    <row r="67" spans="1:13" s="168" customFormat="1" ht="15">
      <c r="A67" s="1903">
        <v>44729</v>
      </c>
      <c r="B67" s="1918" t="s">
        <v>4119</v>
      </c>
      <c r="C67" s="1918" t="s">
        <v>4410</v>
      </c>
      <c r="D67" s="1909" t="s">
        <v>2295</v>
      </c>
      <c r="E67" s="1923">
        <v>15016.5</v>
      </c>
      <c r="F67" s="1927">
        <v>0</v>
      </c>
      <c r="G67" s="631">
        <v>3029.5</v>
      </c>
      <c r="H67" s="632">
        <v>44729</v>
      </c>
      <c r="I67" s="2144"/>
      <c r="J67" s="1920"/>
      <c r="K67" s="1957"/>
      <c r="L67" s="2006"/>
      <c r="M67" s="190"/>
    </row>
    <row r="68" spans="1:13" s="168" customFormat="1" ht="15">
      <c r="A68" s="1904"/>
      <c r="B68" s="1919"/>
      <c r="C68" s="1919"/>
      <c r="D68" s="1910"/>
      <c r="E68" s="1961"/>
      <c r="F68" s="1960"/>
      <c r="G68" s="631">
        <v>9919.65</v>
      </c>
      <c r="H68" s="632">
        <v>44729</v>
      </c>
      <c r="I68" s="718">
        <v>9919.65</v>
      </c>
      <c r="J68" s="620">
        <v>44791</v>
      </c>
      <c r="K68" s="495" t="s">
        <v>2820</v>
      </c>
      <c r="L68" s="226"/>
      <c r="M68" s="190"/>
    </row>
    <row r="69" spans="1:13" s="168" customFormat="1" ht="15">
      <c r="A69" s="1905"/>
      <c r="B69" s="1920"/>
      <c r="C69" s="1920"/>
      <c r="D69" s="1911"/>
      <c r="E69" s="1924"/>
      <c r="F69" s="1928"/>
      <c r="G69" s="631">
        <f>15016.5-3029.5-9919.65</f>
        <v>2067.3500000000004</v>
      </c>
      <c r="H69" s="632">
        <v>44729</v>
      </c>
      <c r="I69" s="1923">
        <v>10000</v>
      </c>
      <c r="J69" s="1903">
        <v>44802</v>
      </c>
      <c r="K69" s="1968" t="s">
        <v>2942</v>
      </c>
      <c r="L69" s="2004" t="s">
        <v>2943</v>
      </c>
      <c r="M69" s="190"/>
    </row>
    <row r="70" spans="1:13" s="168" customFormat="1" ht="15">
      <c r="A70" s="632">
        <v>44729</v>
      </c>
      <c r="B70" s="1124" t="s">
        <v>4119</v>
      </c>
      <c r="C70" s="1124" t="s">
        <v>4410</v>
      </c>
      <c r="D70" s="615" t="s">
        <v>2296</v>
      </c>
      <c r="E70" s="718">
        <v>1785</v>
      </c>
      <c r="F70" s="649">
        <v>0</v>
      </c>
      <c r="G70" s="631">
        <v>1785</v>
      </c>
      <c r="H70" s="632">
        <v>44729</v>
      </c>
      <c r="I70" s="1961"/>
      <c r="J70" s="1904"/>
      <c r="K70" s="1962"/>
      <c r="L70" s="2005"/>
      <c r="M70" s="190"/>
    </row>
    <row r="71" spans="1:13" s="168" customFormat="1" ht="15">
      <c r="A71" s="632">
        <v>44735</v>
      </c>
      <c r="B71" s="1124" t="s">
        <v>4119</v>
      </c>
      <c r="C71" s="1124" t="s">
        <v>4410</v>
      </c>
      <c r="D71" s="615" t="s">
        <v>2328</v>
      </c>
      <c r="E71" s="718">
        <v>686.25</v>
      </c>
      <c r="F71" s="649">
        <v>0</v>
      </c>
      <c r="G71" s="631">
        <v>686.25</v>
      </c>
      <c r="H71" s="632">
        <v>44735</v>
      </c>
      <c r="I71" s="1961"/>
      <c r="J71" s="1904"/>
      <c r="K71" s="1962"/>
      <c r="L71" s="2005"/>
      <c r="M71" s="190"/>
    </row>
    <row r="72" spans="1:13" s="168" customFormat="1" ht="15">
      <c r="A72" s="632">
        <v>44735</v>
      </c>
      <c r="B72" s="1124" t="s">
        <v>4119</v>
      </c>
      <c r="C72" s="1124" t="s">
        <v>4410</v>
      </c>
      <c r="D72" s="615" t="s">
        <v>2329</v>
      </c>
      <c r="E72" s="718">
        <v>576</v>
      </c>
      <c r="F72" s="649">
        <v>0</v>
      </c>
      <c r="G72" s="631">
        <v>576</v>
      </c>
      <c r="H72" s="632">
        <v>44735</v>
      </c>
      <c r="I72" s="1961"/>
      <c r="J72" s="1904"/>
      <c r="K72" s="1962"/>
      <c r="L72" s="2005"/>
      <c r="M72" s="190"/>
    </row>
    <row r="73" spans="1:13" s="168" customFormat="1" ht="15">
      <c r="A73" s="1903">
        <v>44736</v>
      </c>
      <c r="B73" s="1918" t="s">
        <v>4119</v>
      </c>
      <c r="C73" s="1918" t="s">
        <v>4410</v>
      </c>
      <c r="D73" s="1909" t="s">
        <v>2330</v>
      </c>
      <c r="E73" s="1923">
        <v>8439.66</v>
      </c>
      <c r="F73" s="1927">
        <v>0</v>
      </c>
      <c r="G73" s="631">
        <v>4885.3999999999996</v>
      </c>
      <c r="H73" s="632">
        <v>44736</v>
      </c>
      <c r="I73" s="1924"/>
      <c r="J73" s="1905"/>
      <c r="K73" s="1957"/>
      <c r="L73" s="2006"/>
      <c r="M73" s="190"/>
    </row>
    <row r="74" spans="1:13" s="168" customFormat="1" ht="15">
      <c r="A74" s="1905"/>
      <c r="B74" s="1920"/>
      <c r="C74" s="1920"/>
      <c r="D74" s="1911"/>
      <c r="E74" s="1924"/>
      <c r="F74" s="1928"/>
      <c r="G74" s="631">
        <f>8439.66-4885.4</f>
        <v>3554.26</v>
      </c>
      <c r="H74" s="632">
        <v>44736</v>
      </c>
      <c r="I74" s="1923">
        <v>5661.76</v>
      </c>
      <c r="J74" s="1918">
        <v>44823</v>
      </c>
      <c r="K74" s="1968" t="s">
        <v>3080</v>
      </c>
      <c r="L74" s="2004" t="s">
        <v>3082</v>
      </c>
      <c r="M74" s="190"/>
    </row>
    <row r="75" spans="1:13" s="168" customFormat="1" ht="15">
      <c r="A75" s="632">
        <v>44760.000497685185</v>
      </c>
      <c r="B75" s="1124" t="s">
        <v>521</v>
      </c>
      <c r="C75" s="1124" t="s">
        <v>4410</v>
      </c>
      <c r="D75" s="615" t="s">
        <v>2479</v>
      </c>
      <c r="E75" s="718">
        <v>1080</v>
      </c>
      <c r="F75" s="649">
        <v>0</v>
      </c>
      <c r="G75" s="631">
        <v>1080</v>
      </c>
      <c r="H75" s="632">
        <v>44760</v>
      </c>
      <c r="I75" s="1961"/>
      <c r="J75" s="1919"/>
      <c r="K75" s="1962"/>
      <c r="L75" s="2005"/>
      <c r="M75" s="190"/>
    </row>
    <row r="76" spans="1:13" s="168" customFormat="1" ht="15">
      <c r="A76" s="632">
        <v>44761.000497685185</v>
      </c>
      <c r="B76" s="1124" t="s">
        <v>521</v>
      </c>
      <c r="C76" s="1124" t="s">
        <v>4410</v>
      </c>
      <c r="D76" s="615" t="s">
        <v>2481</v>
      </c>
      <c r="E76" s="609">
        <v>1027.5</v>
      </c>
      <c r="F76" s="649">
        <v>0</v>
      </c>
      <c r="G76" s="631">
        <v>1027.5</v>
      </c>
      <c r="H76" s="632">
        <v>44761</v>
      </c>
      <c r="I76" s="1924"/>
      <c r="J76" s="1920"/>
      <c r="K76" s="1957"/>
      <c r="L76" s="2006"/>
      <c r="M76" s="190"/>
    </row>
    <row r="77" spans="1:13" s="168" customFormat="1" ht="15">
      <c r="A77" s="632">
        <v>44762.000497685185</v>
      </c>
      <c r="B77" s="1124" t="s">
        <v>521</v>
      </c>
      <c r="C77" s="1124" t="s">
        <v>4410</v>
      </c>
      <c r="D77" s="615" t="s">
        <v>2482</v>
      </c>
      <c r="E77" s="609">
        <v>146.69999999999999</v>
      </c>
      <c r="F77" s="649">
        <v>0</v>
      </c>
      <c r="G77" s="631">
        <v>146.69999999999999</v>
      </c>
      <c r="H77" s="632">
        <v>44762</v>
      </c>
      <c r="I77" s="2201">
        <v>0</v>
      </c>
      <c r="J77" s="1918">
        <v>44775</v>
      </c>
      <c r="K77" s="1968" t="s">
        <v>2632</v>
      </c>
      <c r="L77" s="1968"/>
      <c r="M77" s="190"/>
    </row>
    <row r="78" spans="1:13" s="168" customFormat="1" ht="15">
      <c r="A78" s="632">
        <v>44762.000497685185</v>
      </c>
      <c r="B78" s="1124" t="s">
        <v>521</v>
      </c>
      <c r="C78" s="1124" t="s">
        <v>4410</v>
      </c>
      <c r="D78" s="615" t="s">
        <v>2483</v>
      </c>
      <c r="E78" s="609">
        <v>86.4</v>
      </c>
      <c r="F78" s="649">
        <v>0</v>
      </c>
      <c r="G78" s="631">
        <v>86.4</v>
      </c>
      <c r="H78" s="632">
        <v>44762</v>
      </c>
      <c r="I78" s="2202"/>
      <c r="J78" s="1919"/>
      <c r="K78" s="1962"/>
      <c r="L78" s="1962"/>
      <c r="M78" s="190"/>
    </row>
    <row r="79" spans="1:13" s="168" customFormat="1" ht="15">
      <c r="A79" s="1903">
        <v>44740</v>
      </c>
      <c r="B79" s="1918" t="s">
        <v>4119</v>
      </c>
      <c r="C79" s="1918" t="s">
        <v>4410</v>
      </c>
      <c r="D79" s="1909" t="s">
        <v>2365</v>
      </c>
      <c r="E79" s="1923">
        <v>-297.68</v>
      </c>
      <c r="F79" s="1927">
        <v>0</v>
      </c>
      <c r="G79" s="631">
        <v>-233.1</v>
      </c>
      <c r="H79" s="632"/>
      <c r="I79" s="2203"/>
      <c r="J79" s="1920"/>
      <c r="K79" s="1957"/>
      <c r="L79" s="1957"/>
      <c r="M79" s="190"/>
    </row>
    <row r="80" spans="1:13" s="168" customFormat="1" ht="15">
      <c r="A80" s="1905"/>
      <c r="B80" s="1920"/>
      <c r="C80" s="1920"/>
      <c r="D80" s="1911"/>
      <c r="E80" s="1924"/>
      <c r="F80" s="1928"/>
      <c r="G80" s="631">
        <f>-297.68+233.1</f>
        <v>-64.580000000000013</v>
      </c>
      <c r="H80" s="632"/>
      <c r="I80" s="718">
        <v>-64.580000000000013</v>
      </c>
      <c r="J80" s="620">
        <v>44823</v>
      </c>
      <c r="K80" s="488" t="s">
        <v>3080</v>
      </c>
      <c r="L80" s="90" t="s">
        <v>3082</v>
      </c>
      <c r="M80" s="190"/>
    </row>
    <row r="81" spans="1:14" s="168" customFormat="1" ht="15">
      <c r="A81" s="632">
        <v>44739</v>
      </c>
      <c r="B81" s="1124" t="s">
        <v>4119</v>
      </c>
      <c r="C81" s="1124" t="s">
        <v>4410</v>
      </c>
      <c r="D81" s="615" t="s">
        <v>2364</v>
      </c>
      <c r="E81" s="680">
        <v>0.01</v>
      </c>
      <c r="F81" s="633">
        <v>0</v>
      </c>
      <c r="G81" s="631">
        <v>0.01</v>
      </c>
      <c r="H81" s="632">
        <v>44739</v>
      </c>
      <c r="I81" s="718">
        <v>0.01</v>
      </c>
      <c r="J81" s="632">
        <v>44746</v>
      </c>
      <c r="K81" s="446" t="s">
        <v>2416</v>
      </c>
      <c r="L81" s="226" t="s">
        <v>2366</v>
      </c>
      <c r="M81" s="190"/>
    </row>
    <row r="82" spans="1:14" s="168" customFormat="1" ht="15">
      <c r="A82" s="991">
        <v>44761.000497685185</v>
      </c>
      <c r="B82" s="1124" t="s">
        <v>521</v>
      </c>
      <c r="C82" s="1124" t="s">
        <v>4410</v>
      </c>
      <c r="D82" s="992" t="s">
        <v>2480</v>
      </c>
      <c r="E82" s="993">
        <v>0.01</v>
      </c>
      <c r="F82" s="649">
        <v>0</v>
      </c>
      <c r="G82" s="631">
        <v>0.01</v>
      </c>
      <c r="H82" s="632">
        <v>44761</v>
      </c>
      <c r="I82" s="718">
        <v>0.01</v>
      </c>
      <c r="J82" s="620">
        <v>44775</v>
      </c>
      <c r="K82" s="478" t="s">
        <v>809</v>
      </c>
      <c r="L82" s="226" t="s">
        <v>2228</v>
      </c>
      <c r="M82" s="190"/>
    </row>
    <row r="83" spans="1:14" s="168" customFormat="1" ht="15">
      <c r="A83" s="991">
        <v>44775</v>
      </c>
      <c r="B83" s="1124" t="s">
        <v>521</v>
      </c>
      <c r="C83" s="1124" t="s">
        <v>4410</v>
      </c>
      <c r="D83" s="992" t="s">
        <v>2609</v>
      </c>
      <c r="E83" s="993">
        <v>1485</v>
      </c>
      <c r="F83" s="649">
        <v>0</v>
      </c>
      <c r="G83" s="631">
        <v>1485</v>
      </c>
      <c r="H83" s="991">
        <v>44775</v>
      </c>
      <c r="I83" s="1923">
        <v>9919.65</v>
      </c>
      <c r="J83" s="1903">
        <v>44910</v>
      </c>
      <c r="K83" s="1935" t="s">
        <v>3724</v>
      </c>
      <c r="L83" s="166"/>
      <c r="M83" s="190"/>
      <c r="N83" s="190"/>
    </row>
    <row r="84" spans="1:14" s="168" customFormat="1" ht="15">
      <c r="A84" s="991">
        <v>44781.000497685185</v>
      </c>
      <c r="B84" s="1124" t="s">
        <v>2644</v>
      </c>
      <c r="C84" s="1124" t="s">
        <v>4410</v>
      </c>
      <c r="D84" s="992" t="s">
        <v>2682</v>
      </c>
      <c r="E84" s="993">
        <v>837</v>
      </c>
      <c r="F84" s="649">
        <v>0</v>
      </c>
      <c r="G84" s="631">
        <v>837</v>
      </c>
      <c r="H84" s="991">
        <v>44782.000497685185</v>
      </c>
      <c r="I84" s="1961"/>
      <c r="J84" s="1904"/>
      <c r="K84" s="1950"/>
      <c r="L84" s="166"/>
      <c r="M84" s="190"/>
      <c r="N84" s="190"/>
    </row>
    <row r="85" spans="1:14" s="168" customFormat="1" ht="15">
      <c r="A85" s="1903">
        <v>44781.000497685185</v>
      </c>
      <c r="B85" s="1918" t="s">
        <v>2644</v>
      </c>
      <c r="C85" s="1918" t="s">
        <v>4410</v>
      </c>
      <c r="D85" s="1909" t="s">
        <v>2683</v>
      </c>
      <c r="E85" s="1923">
        <v>10406.549999999999</v>
      </c>
      <c r="F85" s="1927">
        <v>0</v>
      </c>
      <c r="G85" s="631">
        <v>7597.65</v>
      </c>
      <c r="H85" s="991">
        <v>44782.000497685185</v>
      </c>
      <c r="I85" s="1924"/>
      <c r="J85" s="1905"/>
      <c r="K85" s="1947"/>
      <c r="L85" s="166"/>
      <c r="M85" s="190"/>
      <c r="N85" s="190"/>
    </row>
    <row r="86" spans="1:14" s="168" customFormat="1" ht="15">
      <c r="A86" s="1905"/>
      <c r="B86" s="1920"/>
      <c r="C86" s="1920"/>
      <c r="D86" s="1911"/>
      <c r="E86" s="1924"/>
      <c r="F86" s="1928"/>
      <c r="G86" s="631">
        <f>10406.55-7597.65</f>
        <v>2808.8999999999996</v>
      </c>
      <c r="H86" s="991">
        <v>44782.000497685185</v>
      </c>
      <c r="I86" s="1923">
        <v>7414.5</v>
      </c>
      <c r="J86" s="1903">
        <v>44911</v>
      </c>
      <c r="K86" s="1935" t="s">
        <v>3721</v>
      </c>
      <c r="L86" s="166"/>
      <c r="M86" s="190"/>
      <c r="N86" s="190"/>
    </row>
    <row r="87" spans="1:14" s="168" customFormat="1" ht="15">
      <c r="A87" s="991">
        <v>44781.000497685185</v>
      </c>
      <c r="B87" s="1124" t="s">
        <v>2644</v>
      </c>
      <c r="C87" s="1124" t="s">
        <v>4410</v>
      </c>
      <c r="D87" s="992" t="s">
        <v>2684</v>
      </c>
      <c r="E87" s="993">
        <v>450</v>
      </c>
      <c r="F87" s="649">
        <v>0</v>
      </c>
      <c r="G87" s="631">
        <v>450</v>
      </c>
      <c r="H87" s="991">
        <v>44782.000497685185</v>
      </c>
      <c r="I87" s="1961"/>
      <c r="J87" s="1904"/>
      <c r="K87" s="1950"/>
      <c r="L87" s="166"/>
      <c r="M87" s="190"/>
      <c r="N87" s="190"/>
    </row>
    <row r="88" spans="1:14" s="168" customFormat="1" ht="15">
      <c r="A88" s="991">
        <v>44790.000497685185</v>
      </c>
      <c r="B88" s="1124" t="s">
        <v>2644</v>
      </c>
      <c r="C88" s="1124" t="s">
        <v>4410</v>
      </c>
      <c r="D88" s="992" t="s">
        <v>2777</v>
      </c>
      <c r="E88" s="993">
        <v>-132.46</v>
      </c>
      <c r="F88" s="649">
        <v>0</v>
      </c>
      <c r="G88" s="631">
        <v>-132.46</v>
      </c>
      <c r="H88" s="991">
        <v>44791.000497685185</v>
      </c>
      <c r="I88" s="1961"/>
      <c r="J88" s="1904"/>
      <c r="K88" s="1950"/>
      <c r="L88" s="166" t="s">
        <v>2795</v>
      </c>
      <c r="M88" s="190"/>
      <c r="N88" s="190"/>
    </row>
    <row r="89" spans="1:14" s="168" customFormat="1" ht="15">
      <c r="A89" s="991">
        <v>44790.000497685185</v>
      </c>
      <c r="B89" s="1124" t="s">
        <v>2644</v>
      </c>
      <c r="C89" s="1124" t="s">
        <v>4410</v>
      </c>
      <c r="D89" s="992" t="s">
        <v>2778</v>
      </c>
      <c r="E89" s="993">
        <v>-242.06</v>
      </c>
      <c r="F89" s="649">
        <v>0</v>
      </c>
      <c r="G89" s="631">
        <v>-242.06</v>
      </c>
      <c r="H89" s="991">
        <v>44791.000497685185</v>
      </c>
      <c r="I89" s="1961"/>
      <c r="J89" s="1904"/>
      <c r="K89" s="1950"/>
      <c r="L89" s="166" t="s">
        <v>2796</v>
      </c>
      <c r="M89" s="190"/>
      <c r="N89" s="190"/>
    </row>
    <row r="90" spans="1:14" s="168" customFormat="1" ht="15">
      <c r="A90" s="991">
        <v>44790.000497685185</v>
      </c>
      <c r="B90" s="1124" t="s">
        <v>2644</v>
      </c>
      <c r="C90" s="1124" t="s">
        <v>4410</v>
      </c>
      <c r="D90" s="992" t="s">
        <v>2779</v>
      </c>
      <c r="E90" s="993">
        <v>-45.14</v>
      </c>
      <c r="F90" s="649">
        <v>0</v>
      </c>
      <c r="G90" s="631">
        <v>-45.14</v>
      </c>
      <c r="H90" s="991">
        <v>44791.000497685185</v>
      </c>
      <c r="I90" s="1961"/>
      <c r="J90" s="1904"/>
      <c r="K90" s="1950"/>
      <c r="L90" s="166" t="s">
        <v>2797</v>
      </c>
      <c r="M90" s="190"/>
      <c r="N90" s="190"/>
    </row>
    <row r="91" spans="1:14" s="168" customFormat="1" ht="15">
      <c r="A91" s="991">
        <v>44790.000497685185</v>
      </c>
      <c r="B91" s="1124" t="s">
        <v>2644</v>
      </c>
      <c r="C91" s="1124" t="s">
        <v>4410</v>
      </c>
      <c r="D91" s="992" t="s">
        <v>2780</v>
      </c>
      <c r="E91" s="993">
        <v>-40.39</v>
      </c>
      <c r="F91" s="649">
        <v>0</v>
      </c>
      <c r="G91" s="631">
        <v>-40.39</v>
      </c>
      <c r="H91" s="991">
        <v>44791.000497685185</v>
      </c>
      <c r="I91" s="1961"/>
      <c r="J91" s="1904"/>
      <c r="K91" s="1950"/>
      <c r="L91" s="166" t="s">
        <v>2798</v>
      </c>
      <c r="M91" s="190"/>
      <c r="N91" s="190"/>
    </row>
    <row r="92" spans="1:14" s="168" customFormat="1" ht="15">
      <c r="A92" s="991">
        <v>44790.000497685185</v>
      </c>
      <c r="B92" s="1124" t="s">
        <v>2644</v>
      </c>
      <c r="C92" s="1124" t="s">
        <v>4410</v>
      </c>
      <c r="D92" s="992" t="s">
        <v>2781</v>
      </c>
      <c r="E92" s="993">
        <v>-791.14</v>
      </c>
      <c r="F92" s="649">
        <v>0</v>
      </c>
      <c r="G92" s="631">
        <v>-791.14</v>
      </c>
      <c r="H92" s="991">
        <v>44791.000497685185</v>
      </c>
      <c r="I92" s="1961"/>
      <c r="J92" s="1904"/>
      <c r="K92" s="1950"/>
      <c r="L92" s="166" t="s">
        <v>2799</v>
      </c>
      <c r="M92" s="190"/>
      <c r="N92" s="190"/>
    </row>
    <row r="93" spans="1:14" s="168" customFormat="1" ht="15">
      <c r="A93" s="991">
        <v>44790.000497685185</v>
      </c>
      <c r="B93" s="1124" t="s">
        <v>2644</v>
      </c>
      <c r="C93" s="1124" t="s">
        <v>4410</v>
      </c>
      <c r="D93" s="992" t="s">
        <v>2782</v>
      </c>
      <c r="E93" s="993">
        <v>-117.81</v>
      </c>
      <c r="F93" s="649">
        <v>0</v>
      </c>
      <c r="G93" s="631">
        <v>-117.81</v>
      </c>
      <c r="H93" s="991">
        <v>44791.000497685185</v>
      </c>
      <c r="I93" s="1961"/>
      <c r="J93" s="1904"/>
      <c r="K93" s="1950"/>
      <c r="L93" s="166" t="s">
        <v>2800</v>
      </c>
      <c r="M93" s="190"/>
      <c r="N93" s="190"/>
    </row>
    <row r="94" spans="1:14" s="168" customFormat="1" ht="15">
      <c r="A94" s="991">
        <v>44790.000497685185</v>
      </c>
      <c r="B94" s="1124" t="s">
        <v>2644</v>
      </c>
      <c r="C94" s="1124" t="s">
        <v>4410</v>
      </c>
      <c r="D94" s="992" t="s">
        <v>2783</v>
      </c>
      <c r="E94" s="993">
        <v>-45.29</v>
      </c>
      <c r="F94" s="649">
        <v>0</v>
      </c>
      <c r="G94" s="631">
        <v>-45.29</v>
      </c>
      <c r="H94" s="991">
        <v>44791.000497685185</v>
      </c>
      <c r="I94" s="1961"/>
      <c r="J94" s="1904"/>
      <c r="K94" s="1950"/>
      <c r="L94" s="166" t="s">
        <v>2801</v>
      </c>
      <c r="M94" s="190"/>
      <c r="N94" s="190"/>
    </row>
    <row r="95" spans="1:14" s="168" customFormat="1" ht="15">
      <c r="A95" s="991">
        <v>44790.000497685185</v>
      </c>
      <c r="B95" s="1124" t="s">
        <v>2644</v>
      </c>
      <c r="C95" s="1124" t="s">
        <v>4410</v>
      </c>
      <c r="D95" s="992" t="s">
        <v>2784</v>
      </c>
      <c r="E95" s="993">
        <v>-38.01</v>
      </c>
      <c r="F95" s="649">
        <v>0</v>
      </c>
      <c r="G95" s="631">
        <v>-38.01</v>
      </c>
      <c r="H95" s="991">
        <v>44791.000497685185</v>
      </c>
      <c r="I95" s="1961"/>
      <c r="J95" s="1904"/>
      <c r="K95" s="1950"/>
      <c r="L95" s="166" t="s">
        <v>2802</v>
      </c>
      <c r="M95" s="190"/>
      <c r="N95" s="190"/>
    </row>
    <row r="96" spans="1:14" s="168" customFormat="1" ht="15">
      <c r="A96" s="991">
        <v>44790.000497685185</v>
      </c>
      <c r="B96" s="1124" t="s">
        <v>2644</v>
      </c>
      <c r="C96" s="1124" t="s">
        <v>4410</v>
      </c>
      <c r="D96" s="992" t="s">
        <v>2785</v>
      </c>
      <c r="E96" s="993">
        <v>-557.02</v>
      </c>
      <c r="F96" s="649">
        <v>0</v>
      </c>
      <c r="G96" s="631">
        <v>-557.02</v>
      </c>
      <c r="H96" s="991">
        <v>44791.000497685185</v>
      </c>
      <c r="I96" s="1961"/>
      <c r="J96" s="1904"/>
      <c r="K96" s="1950"/>
      <c r="L96" s="166" t="s">
        <v>2803</v>
      </c>
      <c r="M96" s="190"/>
      <c r="N96" s="190"/>
    </row>
    <row r="97" spans="1:14" s="168" customFormat="1" ht="15">
      <c r="A97" s="991">
        <v>44790.000497685185</v>
      </c>
      <c r="B97" s="1124" t="s">
        <v>2644</v>
      </c>
      <c r="C97" s="1124" t="s">
        <v>4410</v>
      </c>
      <c r="D97" s="992" t="s">
        <v>2786</v>
      </c>
      <c r="E97" s="993">
        <v>-71.28</v>
      </c>
      <c r="F97" s="649">
        <v>0</v>
      </c>
      <c r="G97" s="631">
        <v>-71.28</v>
      </c>
      <c r="H97" s="991">
        <v>44791.000497685185</v>
      </c>
      <c r="I97" s="1961"/>
      <c r="J97" s="1904"/>
      <c r="K97" s="1950"/>
      <c r="L97" s="166" t="s">
        <v>2804</v>
      </c>
      <c r="M97" s="190"/>
      <c r="N97" s="190"/>
    </row>
    <row r="98" spans="1:14" s="168" customFormat="1" ht="15">
      <c r="A98" s="991">
        <v>44790.000497685185</v>
      </c>
      <c r="B98" s="1124" t="s">
        <v>2644</v>
      </c>
      <c r="C98" s="1124" t="s">
        <v>4410</v>
      </c>
      <c r="D98" s="992" t="s">
        <v>2787</v>
      </c>
      <c r="E98" s="993">
        <v>-67.819999999999993</v>
      </c>
      <c r="F98" s="649">
        <v>0</v>
      </c>
      <c r="G98" s="631">
        <v>-67.819999999999993</v>
      </c>
      <c r="H98" s="991">
        <v>44791.000497685185</v>
      </c>
      <c r="I98" s="1961"/>
      <c r="J98" s="1904"/>
      <c r="K98" s="1950"/>
      <c r="L98" s="166" t="s">
        <v>2805</v>
      </c>
      <c r="M98" s="190"/>
      <c r="N98" s="190"/>
    </row>
    <row r="99" spans="1:14" s="168" customFormat="1" ht="15">
      <c r="A99" s="991">
        <v>44790.000497685185</v>
      </c>
      <c r="B99" s="1124" t="s">
        <v>2644</v>
      </c>
      <c r="C99" s="1124" t="s">
        <v>4410</v>
      </c>
      <c r="D99" s="992" t="s">
        <v>2788</v>
      </c>
      <c r="E99" s="993">
        <v>-9.68</v>
      </c>
      <c r="F99" s="649">
        <v>0</v>
      </c>
      <c r="G99" s="631">
        <v>-9.68</v>
      </c>
      <c r="H99" s="991">
        <v>44791.000497685185</v>
      </c>
      <c r="I99" s="1961"/>
      <c r="J99" s="1904"/>
      <c r="K99" s="1950"/>
      <c r="L99" s="166" t="s">
        <v>2806</v>
      </c>
      <c r="M99" s="190"/>
      <c r="N99" s="190"/>
    </row>
    <row r="100" spans="1:14" s="168" customFormat="1" ht="15">
      <c r="A100" s="991">
        <v>44790.000497685185</v>
      </c>
      <c r="B100" s="1124" t="s">
        <v>2644</v>
      </c>
      <c r="C100" s="1124" t="s">
        <v>4410</v>
      </c>
      <c r="D100" s="992" t="s">
        <v>2789</v>
      </c>
      <c r="E100" s="993">
        <v>-5.7</v>
      </c>
      <c r="F100" s="649">
        <v>0</v>
      </c>
      <c r="G100" s="631">
        <v>-5.7</v>
      </c>
      <c r="H100" s="991">
        <v>44791.000497685185</v>
      </c>
      <c r="I100" s="1961"/>
      <c r="J100" s="1904"/>
      <c r="K100" s="1950"/>
      <c r="L100" s="166" t="s">
        <v>2807</v>
      </c>
      <c r="M100" s="190"/>
      <c r="N100" s="190"/>
    </row>
    <row r="101" spans="1:14" s="168" customFormat="1" ht="15">
      <c r="A101" s="991">
        <v>44790.000497685185</v>
      </c>
      <c r="B101" s="1124" t="s">
        <v>2644</v>
      </c>
      <c r="C101" s="1124" t="s">
        <v>4410</v>
      </c>
      <c r="D101" s="992" t="s">
        <v>2790</v>
      </c>
      <c r="E101" s="993">
        <v>-98.01</v>
      </c>
      <c r="F101" s="649">
        <v>0</v>
      </c>
      <c r="G101" s="631">
        <v>-98.01</v>
      </c>
      <c r="H101" s="991">
        <v>44791.000497685185</v>
      </c>
      <c r="I101" s="1961"/>
      <c r="J101" s="1904"/>
      <c r="K101" s="1950"/>
      <c r="L101" s="166" t="s">
        <v>2808</v>
      </c>
      <c r="M101" s="190"/>
      <c r="N101" s="190"/>
    </row>
    <row r="102" spans="1:14" s="168" customFormat="1" ht="15">
      <c r="A102" s="991">
        <v>44790.000497685185</v>
      </c>
      <c r="B102" s="1124" t="s">
        <v>2644</v>
      </c>
      <c r="C102" s="1124" t="s">
        <v>4410</v>
      </c>
      <c r="D102" s="992" t="s">
        <v>2791</v>
      </c>
      <c r="E102" s="993">
        <v>-55.24</v>
      </c>
      <c r="F102" s="649">
        <v>0</v>
      </c>
      <c r="G102" s="631">
        <v>-55.24</v>
      </c>
      <c r="H102" s="991">
        <v>44791.000497685185</v>
      </c>
      <c r="I102" s="1961"/>
      <c r="J102" s="1904"/>
      <c r="K102" s="1950"/>
      <c r="L102" s="166" t="s">
        <v>2809</v>
      </c>
      <c r="M102" s="190"/>
      <c r="N102" s="190"/>
    </row>
    <row r="103" spans="1:14" s="168" customFormat="1" ht="15">
      <c r="A103" s="991">
        <v>44790.000497685185</v>
      </c>
      <c r="B103" s="1124" t="s">
        <v>2644</v>
      </c>
      <c r="C103" s="1124" t="s">
        <v>4410</v>
      </c>
      <c r="D103" s="992" t="s">
        <v>2792</v>
      </c>
      <c r="E103" s="993">
        <v>-686.83</v>
      </c>
      <c r="F103" s="649">
        <v>0</v>
      </c>
      <c r="G103" s="631">
        <v>-686.83</v>
      </c>
      <c r="H103" s="991">
        <v>44791.000497685185</v>
      </c>
      <c r="I103" s="1961"/>
      <c r="J103" s="1904"/>
      <c r="K103" s="1950"/>
      <c r="L103" s="166" t="s">
        <v>2810</v>
      </c>
      <c r="M103" s="190"/>
      <c r="N103" s="190"/>
    </row>
    <row r="104" spans="1:14" s="168" customFormat="1" ht="15">
      <c r="A104" s="991">
        <v>44790.000497685185</v>
      </c>
      <c r="B104" s="1124" t="s">
        <v>2644</v>
      </c>
      <c r="C104" s="1124" t="s">
        <v>4410</v>
      </c>
      <c r="D104" s="992" t="s">
        <v>2793</v>
      </c>
      <c r="E104" s="993">
        <v>-29.7</v>
      </c>
      <c r="F104" s="649">
        <v>0</v>
      </c>
      <c r="G104" s="631">
        <v>-29.7</v>
      </c>
      <c r="H104" s="991">
        <v>44791.000497685185</v>
      </c>
      <c r="I104" s="1961"/>
      <c r="J104" s="1904"/>
      <c r="K104" s="1950"/>
      <c r="L104" s="166" t="s">
        <v>2811</v>
      </c>
      <c r="M104" s="190"/>
      <c r="N104" s="190"/>
    </row>
    <row r="105" spans="1:14" s="168" customFormat="1" ht="15">
      <c r="A105" s="991">
        <v>44790.000497685185</v>
      </c>
      <c r="B105" s="1124" t="s">
        <v>2644</v>
      </c>
      <c r="C105" s="1124" t="s">
        <v>4410</v>
      </c>
      <c r="D105" s="992" t="s">
        <v>2794</v>
      </c>
      <c r="E105" s="993">
        <v>-544.33000000000004</v>
      </c>
      <c r="F105" s="649">
        <v>0</v>
      </c>
      <c r="G105" s="631">
        <v>-544.33000000000004</v>
      </c>
      <c r="H105" s="991">
        <v>44791.000497685185</v>
      </c>
      <c r="I105" s="1961"/>
      <c r="J105" s="1904"/>
      <c r="K105" s="1950"/>
      <c r="L105" s="166" t="s">
        <v>2812</v>
      </c>
      <c r="M105" s="190"/>
      <c r="N105" s="190"/>
    </row>
    <row r="106" spans="1:14" s="168" customFormat="1" ht="15">
      <c r="A106" s="991">
        <v>44796</v>
      </c>
      <c r="B106" s="1124" t="s">
        <v>2644</v>
      </c>
      <c r="C106" s="1124" t="s">
        <v>4410</v>
      </c>
      <c r="D106" s="992" t="s">
        <v>2846</v>
      </c>
      <c r="E106" s="993">
        <v>1735.58</v>
      </c>
      <c r="F106" s="649">
        <v>0</v>
      </c>
      <c r="G106" s="631">
        <v>1735.58</v>
      </c>
      <c r="H106" s="991">
        <v>44797</v>
      </c>
      <c r="I106" s="1961"/>
      <c r="J106" s="1904"/>
      <c r="K106" s="1950"/>
      <c r="L106" s="166"/>
      <c r="M106" s="190"/>
      <c r="N106" s="190"/>
    </row>
    <row r="107" spans="1:14" s="168" customFormat="1" ht="15">
      <c r="A107" s="991">
        <v>44796</v>
      </c>
      <c r="B107" s="1124" t="s">
        <v>2644</v>
      </c>
      <c r="C107" s="1124" t="s">
        <v>4410</v>
      </c>
      <c r="D107" s="992" t="s">
        <v>2847</v>
      </c>
      <c r="E107" s="993">
        <v>102</v>
      </c>
      <c r="F107" s="649">
        <v>0</v>
      </c>
      <c r="G107" s="631">
        <v>102</v>
      </c>
      <c r="H107" s="991">
        <v>44797</v>
      </c>
      <c r="I107" s="1961"/>
      <c r="J107" s="1904"/>
      <c r="K107" s="1950"/>
      <c r="L107" s="166"/>
      <c r="M107" s="190"/>
      <c r="N107" s="190"/>
    </row>
    <row r="108" spans="1:14" s="168" customFormat="1" ht="15">
      <c r="A108" s="991">
        <v>44802</v>
      </c>
      <c r="B108" s="1124" t="s">
        <v>2644</v>
      </c>
      <c r="C108" s="1124" t="s">
        <v>4410</v>
      </c>
      <c r="D108" s="992" t="s">
        <v>2914</v>
      </c>
      <c r="E108" s="993">
        <v>4543.84</v>
      </c>
      <c r="F108" s="649">
        <v>0</v>
      </c>
      <c r="G108" s="631">
        <v>4543.84</v>
      </c>
      <c r="H108" s="991">
        <v>44803</v>
      </c>
      <c r="I108" s="1961"/>
      <c r="J108" s="1904"/>
      <c r="K108" s="1950"/>
      <c r="L108" s="166"/>
      <c r="M108" s="190"/>
      <c r="N108" s="190"/>
    </row>
    <row r="109" spans="1:14" s="168" customFormat="1" ht="15">
      <c r="A109" s="991">
        <v>44802</v>
      </c>
      <c r="B109" s="1124" t="s">
        <v>2644</v>
      </c>
      <c r="C109" s="1124" t="s">
        <v>4410</v>
      </c>
      <c r="D109" s="992" t="s">
        <v>2915</v>
      </c>
      <c r="E109" s="993">
        <v>-1122.3499999999999</v>
      </c>
      <c r="F109" s="649">
        <v>0</v>
      </c>
      <c r="G109" s="631">
        <v>-1122.3499999999999</v>
      </c>
      <c r="H109" s="991"/>
      <c r="I109" s="1961"/>
      <c r="J109" s="1904"/>
      <c r="K109" s="1950"/>
      <c r="L109" s="166"/>
      <c r="M109" s="190"/>
      <c r="N109" s="190"/>
    </row>
    <row r="110" spans="1:14" s="168" customFormat="1" ht="15">
      <c r="A110" s="991">
        <v>44804</v>
      </c>
      <c r="B110" s="1124" t="s">
        <v>2644</v>
      </c>
      <c r="C110" s="1124" t="s">
        <v>4410</v>
      </c>
      <c r="D110" s="992" t="s">
        <v>2916</v>
      </c>
      <c r="E110" s="993">
        <v>960</v>
      </c>
      <c r="F110" s="649">
        <v>0</v>
      </c>
      <c r="G110" s="631">
        <v>960</v>
      </c>
      <c r="H110" s="991">
        <v>44805</v>
      </c>
      <c r="I110" s="1961"/>
      <c r="J110" s="1904"/>
      <c r="K110" s="1950"/>
      <c r="L110" s="166"/>
      <c r="M110" s="190"/>
      <c r="N110" s="190"/>
    </row>
    <row r="111" spans="1:14" s="168" customFormat="1" ht="15">
      <c r="A111" s="991">
        <v>44823</v>
      </c>
      <c r="B111" s="1124" t="s">
        <v>2644</v>
      </c>
      <c r="C111" s="1124" t="s">
        <v>4410</v>
      </c>
      <c r="D111" s="992" t="s">
        <v>3058</v>
      </c>
      <c r="E111" s="993">
        <v>-279</v>
      </c>
      <c r="F111" s="649">
        <v>0</v>
      </c>
      <c r="G111" s="631">
        <v>-279</v>
      </c>
      <c r="H111" s="991"/>
      <c r="I111" s="1961"/>
      <c r="J111" s="1904"/>
      <c r="K111" s="1950"/>
      <c r="L111" s="166"/>
      <c r="M111" s="190"/>
      <c r="N111" s="190"/>
    </row>
    <row r="112" spans="1:14" s="168" customFormat="1" ht="15">
      <c r="A112" s="1903">
        <v>44824</v>
      </c>
      <c r="B112" s="1903" t="s">
        <v>2644</v>
      </c>
      <c r="C112" s="1903" t="s">
        <v>4410</v>
      </c>
      <c r="D112" s="1909" t="s">
        <v>3059</v>
      </c>
      <c r="E112" s="1923">
        <v>7538.1</v>
      </c>
      <c r="F112" s="1927">
        <v>0</v>
      </c>
      <c r="G112" s="631">
        <v>1793.44</v>
      </c>
      <c r="H112" s="1152">
        <v>44825</v>
      </c>
      <c r="I112" s="1924"/>
      <c r="J112" s="1905"/>
      <c r="K112" s="1947"/>
      <c r="L112" s="166"/>
      <c r="M112" s="190"/>
      <c r="N112" s="190"/>
    </row>
    <row r="113" spans="1:14" s="168" customFormat="1" ht="15">
      <c r="A113" s="1905"/>
      <c r="B113" s="1905"/>
      <c r="C113" s="1905"/>
      <c r="D113" s="1911"/>
      <c r="E113" s="1924"/>
      <c r="F113" s="1928"/>
      <c r="G113" s="631">
        <f>7538.1-1793.44</f>
        <v>5744.66</v>
      </c>
      <c r="H113" s="1152">
        <v>44825</v>
      </c>
      <c r="I113" s="2143">
        <v>10000</v>
      </c>
      <c r="J113" s="1903">
        <v>44974</v>
      </c>
      <c r="K113" s="1935" t="s">
        <v>4195</v>
      </c>
      <c r="L113" s="166"/>
      <c r="M113" s="190"/>
      <c r="N113" s="190"/>
    </row>
    <row r="114" spans="1:14" s="168" customFormat="1" ht="15">
      <c r="A114" s="1152">
        <v>44830</v>
      </c>
      <c r="B114" s="1152" t="s">
        <v>2644</v>
      </c>
      <c r="C114" s="1152" t="s">
        <v>4410</v>
      </c>
      <c r="D114" s="1154" t="s">
        <v>3182</v>
      </c>
      <c r="E114" s="1159">
        <v>317.25</v>
      </c>
      <c r="F114" s="649">
        <v>0</v>
      </c>
      <c r="G114" s="631">
        <v>317.25</v>
      </c>
      <c r="H114" s="1152">
        <v>44831.000497685185</v>
      </c>
      <c r="I114" s="2145"/>
      <c r="J114" s="1904"/>
      <c r="K114" s="1950"/>
      <c r="L114" s="219"/>
      <c r="M114" s="190"/>
      <c r="N114" s="190"/>
    </row>
    <row r="115" spans="1:14" s="168" customFormat="1" ht="15">
      <c r="A115" s="1903">
        <v>44841</v>
      </c>
      <c r="B115" s="1903" t="s">
        <v>2644</v>
      </c>
      <c r="C115" s="1903" t="s">
        <v>4410</v>
      </c>
      <c r="D115" s="1909" t="s">
        <v>3218</v>
      </c>
      <c r="E115" s="1923">
        <v>4500</v>
      </c>
      <c r="F115" s="1927">
        <v>0</v>
      </c>
      <c r="G115" s="631">
        <v>3938.09</v>
      </c>
      <c r="H115" s="1258">
        <v>44842</v>
      </c>
      <c r="I115" s="2144"/>
      <c r="J115" s="1905"/>
      <c r="K115" s="1947"/>
      <c r="L115" s="219"/>
      <c r="M115" s="190"/>
      <c r="N115" s="190"/>
    </row>
    <row r="116" spans="1:14" s="168" customFormat="1" ht="42.75">
      <c r="A116" s="1905"/>
      <c r="B116" s="1905"/>
      <c r="C116" s="1905"/>
      <c r="D116" s="1911"/>
      <c r="E116" s="1924"/>
      <c r="F116" s="1928"/>
      <c r="G116" s="631">
        <f>4500-3938.09</f>
        <v>561.90999999999985</v>
      </c>
      <c r="H116" s="1258">
        <v>44842</v>
      </c>
      <c r="I116" s="1155">
        <v>561.90999999999985</v>
      </c>
      <c r="J116" s="1149">
        <v>45007</v>
      </c>
      <c r="K116" s="1255" t="s">
        <v>4587</v>
      </c>
      <c r="L116" s="219"/>
      <c r="M116" s="190"/>
      <c r="N116" s="190"/>
    </row>
    <row r="117" spans="1:14" s="168" customFormat="1" ht="15">
      <c r="A117" s="1258">
        <v>44841</v>
      </c>
      <c r="B117" s="1258" t="s">
        <v>2644</v>
      </c>
      <c r="C117" s="1258" t="s">
        <v>4410</v>
      </c>
      <c r="D117" s="1262" t="s">
        <v>3219</v>
      </c>
      <c r="E117" s="1264">
        <v>3256.2</v>
      </c>
      <c r="F117" s="649">
        <v>0</v>
      </c>
      <c r="G117" s="631">
        <v>3256.2</v>
      </c>
      <c r="H117" s="1031">
        <v>44842</v>
      </c>
      <c r="I117" s="1915">
        <v>7576.51</v>
      </c>
      <c r="J117" s="1918">
        <v>44932</v>
      </c>
      <c r="K117" s="1968" t="s">
        <v>3926</v>
      </c>
      <c r="L117" s="219"/>
      <c r="M117" s="190"/>
      <c r="N117" s="190"/>
    </row>
    <row r="118" spans="1:14" s="168" customFormat="1" ht="15">
      <c r="A118" s="1258">
        <v>44852.000497685185</v>
      </c>
      <c r="B118" s="1258" t="s">
        <v>2644</v>
      </c>
      <c r="C118" s="1258" t="s">
        <v>4410</v>
      </c>
      <c r="D118" s="1262" t="s">
        <v>3301</v>
      </c>
      <c r="E118" s="1264">
        <v>1767.15</v>
      </c>
      <c r="F118" s="649">
        <v>0</v>
      </c>
      <c r="G118" s="631">
        <v>1767.15</v>
      </c>
      <c r="H118" s="1031">
        <v>44853.000497685185</v>
      </c>
      <c r="I118" s="1916"/>
      <c r="J118" s="1919"/>
      <c r="K118" s="1962"/>
      <c r="L118" s="219"/>
      <c r="M118" s="190"/>
      <c r="N118" s="190"/>
    </row>
    <row r="119" spans="1:14" s="168" customFormat="1" ht="15">
      <c r="A119" s="1258">
        <v>44852.000497685185</v>
      </c>
      <c r="B119" s="1258" t="s">
        <v>2644</v>
      </c>
      <c r="C119" s="1258" t="s">
        <v>4410</v>
      </c>
      <c r="D119" s="1262" t="s">
        <v>3302</v>
      </c>
      <c r="E119" s="1264">
        <v>596.25</v>
      </c>
      <c r="F119" s="649">
        <v>0</v>
      </c>
      <c r="G119" s="631">
        <v>596.25</v>
      </c>
      <c r="H119" s="1031">
        <v>44853.000497685185</v>
      </c>
      <c r="I119" s="1916"/>
      <c r="J119" s="1919"/>
      <c r="K119" s="1962"/>
      <c r="L119" s="219"/>
      <c r="M119" s="190"/>
      <c r="N119" s="190"/>
    </row>
    <row r="120" spans="1:14" s="168" customFormat="1" ht="15">
      <c r="A120" s="1903">
        <v>44861</v>
      </c>
      <c r="B120" s="1903" t="s">
        <v>2644</v>
      </c>
      <c r="C120" s="1903" t="s">
        <v>4410</v>
      </c>
      <c r="D120" s="1909" t="s">
        <v>3359</v>
      </c>
      <c r="E120" s="1923">
        <v>3007.5</v>
      </c>
      <c r="F120" s="1927">
        <v>0</v>
      </c>
      <c r="G120" s="631">
        <v>1956.91</v>
      </c>
      <c r="H120" s="1031">
        <v>44862</v>
      </c>
      <c r="I120" s="1917"/>
      <c r="J120" s="1920"/>
      <c r="K120" s="1957"/>
      <c r="L120" s="219"/>
      <c r="M120" s="190"/>
      <c r="N120" s="190"/>
    </row>
    <row r="121" spans="1:14" s="168" customFormat="1" ht="15">
      <c r="A121" s="1905"/>
      <c r="B121" s="1905"/>
      <c r="C121" s="1905"/>
      <c r="D121" s="1911"/>
      <c r="E121" s="1924"/>
      <c r="F121" s="1928"/>
      <c r="G121" s="631">
        <f>3007.5-1956.91</f>
        <v>1050.5899999999999</v>
      </c>
      <c r="H121" s="1258">
        <v>44862</v>
      </c>
      <c r="I121" s="2210">
        <v>19438.09</v>
      </c>
      <c r="J121" s="1918">
        <v>45007</v>
      </c>
      <c r="K121" s="1956" t="s">
        <v>4587</v>
      </c>
      <c r="L121" s="219"/>
      <c r="M121" s="190"/>
      <c r="N121" s="190"/>
    </row>
    <row r="122" spans="1:14" s="168" customFormat="1" ht="15">
      <c r="A122" s="1657">
        <v>44862</v>
      </c>
      <c r="B122" s="1657" t="s">
        <v>2644</v>
      </c>
      <c r="C122" s="1657" t="s">
        <v>4410</v>
      </c>
      <c r="D122" s="1661" t="s">
        <v>3360</v>
      </c>
      <c r="E122" s="1666">
        <v>621</v>
      </c>
      <c r="F122" s="649">
        <v>0</v>
      </c>
      <c r="G122" s="631">
        <v>621</v>
      </c>
      <c r="H122" s="1258">
        <v>44863</v>
      </c>
      <c r="I122" s="2212"/>
      <c r="J122" s="1919"/>
      <c r="K122" s="1962"/>
      <c r="L122" s="219"/>
      <c r="M122" s="190"/>
      <c r="N122" s="190"/>
    </row>
    <row r="123" spans="1:14" s="168" customFormat="1" ht="15">
      <c r="A123" s="1657">
        <v>44873</v>
      </c>
      <c r="B123" s="1657" t="s">
        <v>2644</v>
      </c>
      <c r="C123" s="1657" t="s">
        <v>4410</v>
      </c>
      <c r="D123" s="1661" t="s">
        <v>3451</v>
      </c>
      <c r="E123" s="1666">
        <v>324</v>
      </c>
      <c r="F123" s="649">
        <v>0</v>
      </c>
      <c r="G123" s="631">
        <v>324</v>
      </c>
      <c r="H123" s="1258">
        <v>44874</v>
      </c>
      <c r="I123" s="2212"/>
      <c r="J123" s="1919"/>
      <c r="K123" s="1962"/>
      <c r="L123" s="219"/>
      <c r="M123" s="190"/>
      <c r="N123" s="190"/>
    </row>
    <row r="124" spans="1:14" s="168" customFormat="1" ht="15">
      <c r="A124" s="1657">
        <v>44914</v>
      </c>
      <c r="B124" s="1657" t="s">
        <v>2644</v>
      </c>
      <c r="C124" s="1657" t="s">
        <v>4410</v>
      </c>
      <c r="D124" s="1661" t="s">
        <v>3788</v>
      </c>
      <c r="E124" s="1666">
        <v>-261.20999999999998</v>
      </c>
      <c r="F124" s="649">
        <v>0</v>
      </c>
      <c r="G124" s="631">
        <v>-261.20999999999998</v>
      </c>
      <c r="H124" s="1258"/>
      <c r="I124" s="2212"/>
      <c r="J124" s="1919"/>
      <c r="K124" s="1962"/>
      <c r="L124" s="219"/>
      <c r="M124" s="190"/>
    </row>
    <row r="125" spans="1:14" s="168" customFormat="1" ht="15">
      <c r="A125" s="1903">
        <v>44914</v>
      </c>
      <c r="B125" s="1903" t="s">
        <v>2644</v>
      </c>
      <c r="C125" s="1903" t="s">
        <v>4410</v>
      </c>
      <c r="D125" s="1909" t="s">
        <v>3789</v>
      </c>
      <c r="E125" s="1923">
        <v>17922.900000000001</v>
      </c>
      <c r="F125" s="1927">
        <v>0</v>
      </c>
      <c r="G125" s="631">
        <v>17703.71</v>
      </c>
      <c r="H125" s="1258">
        <v>44915</v>
      </c>
      <c r="I125" s="2211"/>
      <c r="J125" s="1920"/>
      <c r="K125" s="1957"/>
      <c r="L125" s="219"/>
      <c r="M125" s="190"/>
    </row>
    <row r="126" spans="1:14" s="168" customFormat="1" ht="15">
      <c r="A126" s="1905"/>
      <c r="B126" s="1905"/>
      <c r="C126" s="1905"/>
      <c r="D126" s="1911"/>
      <c r="E126" s="1924"/>
      <c r="F126" s="1928"/>
      <c r="G126" s="631">
        <f>17922.9-17703.71</f>
        <v>219.19000000000233</v>
      </c>
      <c r="H126" s="1497">
        <v>44915</v>
      </c>
      <c r="I126" s="2210">
        <v>9810</v>
      </c>
      <c r="J126" s="1918">
        <v>45105</v>
      </c>
      <c r="K126" s="1968" t="s">
        <v>6021</v>
      </c>
      <c r="L126" s="219"/>
      <c r="M126" s="190"/>
    </row>
    <row r="127" spans="1:14" s="168" customFormat="1" ht="15">
      <c r="A127" s="1657">
        <v>44914</v>
      </c>
      <c r="B127" s="1657" t="s">
        <v>2644</v>
      </c>
      <c r="C127" s="1657" t="s">
        <v>4410</v>
      </c>
      <c r="D127" s="1661" t="s">
        <v>3790</v>
      </c>
      <c r="E127" s="1666">
        <v>1353</v>
      </c>
      <c r="F127" s="649">
        <v>0</v>
      </c>
      <c r="G127" s="631">
        <v>1353</v>
      </c>
      <c r="H127" s="1497">
        <v>44974</v>
      </c>
      <c r="I127" s="2212"/>
      <c r="J127" s="1919"/>
      <c r="K127" s="1962"/>
      <c r="L127" s="219"/>
      <c r="M127" s="190"/>
    </row>
    <row r="128" spans="1:14" s="168" customFormat="1" ht="15">
      <c r="A128" s="1657">
        <v>44944</v>
      </c>
      <c r="B128" s="1657" t="s">
        <v>2644</v>
      </c>
      <c r="C128" s="1657" t="s">
        <v>4410</v>
      </c>
      <c r="D128" s="1661" t="s">
        <v>3967</v>
      </c>
      <c r="E128" s="1666">
        <v>6660.45</v>
      </c>
      <c r="F128" s="649">
        <v>0</v>
      </c>
      <c r="G128" s="631">
        <v>6660.45</v>
      </c>
      <c r="H128" s="1497">
        <v>45004</v>
      </c>
      <c r="I128" s="2212"/>
      <c r="J128" s="1919"/>
      <c r="K128" s="1962"/>
      <c r="L128" s="219"/>
      <c r="M128" s="190"/>
    </row>
    <row r="129" spans="1:13" s="168" customFormat="1" ht="15">
      <c r="A129" s="1657">
        <v>44949</v>
      </c>
      <c r="B129" s="1657" t="s">
        <v>2644</v>
      </c>
      <c r="C129" s="1657" t="s">
        <v>4410</v>
      </c>
      <c r="D129" s="1661" t="s">
        <v>3968</v>
      </c>
      <c r="E129" s="1666">
        <v>-284.12</v>
      </c>
      <c r="F129" s="649">
        <v>0</v>
      </c>
      <c r="G129" s="631">
        <v>-284.12</v>
      </c>
      <c r="H129" s="1657"/>
      <c r="I129" s="2212"/>
      <c r="J129" s="1919"/>
      <c r="K129" s="1962"/>
      <c r="L129" s="219"/>
      <c r="M129" s="190"/>
    </row>
    <row r="130" spans="1:13" s="168" customFormat="1" ht="15">
      <c r="A130" s="1657">
        <v>44953</v>
      </c>
      <c r="B130" s="1657" t="s">
        <v>2644</v>
      </c>
      <c r="C130" s="1657" t="s">
        <v>4410</v>
      </c>
      <c r="D130" s="1661" t="s">
        <v>3969</v>
      </c>
      <c r="E130" s="1666">
        <v>564.48</v>
      </c>
      <c r="F130" s="649">
        <v>0</v>
      </c>
      <c r="G130" s="631">
        <v>564.48</v>
      </c>
      <c r="H130" s="1657">
        <v>45013</v>
      </c>
      <c r="I130" s="2212"/>
      <c r="J130" s="1919"/>
      <c r="K130" s="1962"/>
      <c r="L130" s="219"/>
      <c r="M130" s="190"/>
    </row>
    <row r="131" spans="1:13" s="168" customFormat="1" ht="15">
      <c r="A131" s="1657">
        <v>44966</v>
      </c>
      <c r="B131" s="1657" t="s">
        <v>2644</v>
      </c>
      <c r="C131" s="1657" t="s">
        <v>4410</v>
      </c>
      <c r="D131" s="1661" t="s">
        <v>4057</v>
      </c>
      <c r="E131" s="1666">
        <v>530.88</v>
      </c>
      <c r="F131" s="649">
        <v>0</v>
      </c>
      <c r="G131" s="631">
        <v>530.88</v>
      </c>
      <c r="H131" s="1657">
        <v>45026</v>
      </c>
      <c r="I131" s="2212"/>
      <c r="J131" s="1919"/>
      <c r="K131" s="1962"/>
      <c r="L131" s="219"/>
      <c r="M131" s="190"/>
    </row>
    <row r="132" spans="1:13" s="168" customFormat="1" ht="15">
      <c r="A132" s="1903">
        <v>44970</v>
      </c>
      <c r="B132" s="1903" t="s">
        <v>2644</v>
      </c>
      <c r="C132" s="1903" t="s">
        <v>4410</v>
      </c>
      <c r="D132" s="1909" t="s">
        <v>4174</v>
      </c>
      <c r="E132" s="1923">
        <v>1392</v>
      </c>
      <c r="F132" s="1927">
        <v>0</v>
      </c>
      <c r="G132" s="631">
        <v>766.12</v>
      </c>
      <c r="H132" s="1657">
        <v>45030</v>
      </c>
      <c r="I132" s="2211"/>
      <c r="J132" s="1920"/>
      <c r="K132" s="1957"/>
      <c r="L132" s="219"/>
      <c r="M132" s="190"/>
    </row>
    <row r="133" spans="1:13" s="168" customFormat="1" ht="15">
      <c r="A133" s="1905"/>
      <c r="B133" s="1905"/>
      <c r="C133" s="1905"/>
      <c r="D133" s="1911"/>
      <c r="E133" s="1924"/>
      <c r="F133" s="1928"/>
      <c r="G133" s="631">
        <f>1392-766.12</f>
        <v>625.88</v>
      </c>
      <c r="H133" s="1679">
        <v>45030</v>
      </c>
      <c r="I133" s="2143">
        <v>8818.25</v>
      </c>
      <c r="J133" s="1918">
        <v>45177</v>
      </c>
      <c r="K133" s="1968" t="s">
        <v>6063</v>
      </c>
      <c r="L133" s="166"/>
      <c r="M133" s="190"/>
    </row>
    <row r="134" spans="1:13" s="168" customFormat="1" ht="15">
      <c r="A134" s="1679">
        <v>44936</v>
      </c>
      <c r="B134" s="1679" t="s">
        <v>2644</v>
      </c>
      <c r="C134" s="1679" t="s">
        <v>4410</v>
      </c>
      <c r="D134" s="1682" t="s">
        <v>3898</v>
      </c>
      <c r="E134" s="1689">
        <v>1935</v>
      </c>
      <c r="F134" s="649">
        <v>0</v>
      </c>
      <c r="G134" s="631">
        <v>1935</v>
      </c>
      <c r="H134" s="1679">
        <v>44996</v>
      </c>
      <c r="I134" s="2145"/>
      <c r="J134" s="1919"/>
      <c r="K134" s="1962"/>
      <c r="L134" s="166"/>
      <c r="M134" s="190"/>
    </row>
    <row r="135" spans="1:13" s="168" customFormat="1" ht="15">
      <c r="A135" s="1679">
        <v>44938</v>
      </c>
      <c r="B135" s="1679" t="s">
        <v>2644</v>
      </c>
      <c r="C135" s="1679" t="s">
        <v>4410</v>
      </c>
      <c r="D135" s="1682" t="s">
        <v>3899</v>
      </c>
      <c r="E135" s="1689">
        <v>-330.87</v>
      </c>
      <c r="F135" s="649">
        <v>0</v>
      </c>
      <c r="G135" s="631">
        <v>-330.87</v>
      </c>
      <c r="H135" s="1679">
        <v>44939</v>
      </c>
      <c r="I135" s="2145"/>
      <c r="J135" s="1919"/>
      <c r="K135" s="1962"/>
      <c r="L135" s="166" t="s">
        <v>3901</v>
      </c>
      <c r="M135" s="190"/>
    </row>
    <row r="136" spans="1:13" s="168" customFormat="1" ht="15">
      <c r="A136" s="1679">
        <v>44938</v>
      </c>
      <c r="B136" s="1679" t="s">
        <v>2644</v>
      </c>
      <c r="C136" s="1679" t="s">
        <v>4410</v>
      </c>
      <c r="D136" s="1682" t="s">
        <v>3900</v>
      </c>
      <c r="E136" s="1689">
        <v>5893.8</v>
      </c>
      <c r="F136" s="649">
        <v>0</v>
      </c>
      <c r="G136" s="631">
        <v>5893.8</v>
      </c>
      <c r="H136" s="1679">
        <v>44998</v>
      </c>
      <c r="I136" s="2145"/>
      <c r="J136" s="1919"/>
      <c r="K136" s="1962"/>
      <c r="L136" s="166"/>
      <c r="M136" s="190"/>
    </row>
    <row r="137" spans="1:13" s="168" customFormat="1" ht="15">
      <c r="A137" s="1679">
        <v>44971</v>
      </c>
      <c r="B137" s="1679" t="s">
        <v>2644</v>
      </c>
      <c r="C137" s="1679" t="s">
        <v>4410</v>
      </c>
      <c r="D137" s="1682" t="s">
        <v>4175</v>
      </c>
      <c r="E137" s="1689">
        <v>462.84</v>
      </c>
      <c r="F137" s="649">
        <v>0</v>
      </c>
      <c r="G137" s="631">
        <v>462.84</v>
      </c>
      <c r="H137" s="1679">
        <v>45031</v>
      </c>
      <c r="I137" s="2145"/>
      <c r="J137" s="1919"/>
      <c r="K137" s="1962"/>
      <c r="L137" s="166"/>
      <c r="M137" s="190"/>
    </row>
    <row r="138" spans="1:13" s="168" customFormat="1" ht="15">
      <c r="A138" s="1903">
        <v>44974</v>
      </c>
      <c r="B138" s="1903" t="s">
        <v>2644</v>
      </c>
      <c r="C138" s="1903" t="s">
        <v>6062</v>
      </c>
      <c r="D138" s="1909" t="s">
        <v>4176</v>
      </c>
      <c r="E138" s="1923">
        <v>7104.41</v>
      </c>
      <c r="F138" s="1927">
        <v>0</v>
      </c>
      <c r="G138" s="631">
        <v>231.6</v>
      </c>
      <c r="H138" s="1679">
        <v>45034</v>
      </c>
      <c r="I138" s="2144"/>
      <c r="J138" s="1920"/>
      <c r="K138" s="1957"/>
      <c r="L138" s="166"/>
      <c r="M138" s="190"/>
    </row>
    <row r="139" spans="1:13" s="168" customFormat="1" ht="15">
      <c r="A139" s="1905"/>
      <c r="B139" s="1905"/>
      <c r="C139" s="1905"/>
      <c r="D139" s="1911"/>
      <c r="E139" s="1924"/>
      <c r="F139" s="1928"/>
      <c r="G139" s="631">
        <f>7104.41-231.6</f>
        <v>6872.8099999999995</v>
      </c>
      <c r="H139" s="1697">
        <v>45034</v>
      </c>
      <c r="I139" s="2210">
        <v>9000</v>
      </c>
      <c r="J139" s="1918">
        <v>45184</v>
      </c>
      <c r="K139" s="1968" t="s">
        <v>6141</v>
      </c>
      <c r="L139" s="166"/>
      <c r="M139" s="190"/>
    </row>
    <row r="140" spans="1:13" s="168" customFormat="1" ht="15">
      <c r="A140" s="1903">
        <v>44978</v>
      </c>
      <c r="B140" s="1903" t="s">
        <v>2644</v>
      </c>
      <c r="C140" s="1903" t="s">
        <v>6061</v>
      </c>
      <c r="D140" s="1909" t="s">
        <v>4224</v>
      </c>
      <c r="E140" s="1923">
        <v>2728.8</v>
      </c>
      <c r="F140" s="1927">
        <v>0</v>
      </c>
      <c r="G140" s="631">
        <v>2127.19</v>
      </c>
      <c r="H140" s="1718">
        <v>45038</v>
      </c>
      <c r="I140" s="2211"/>
      <c r="J140" s="1920"/>
      <c r="K140" s="1957"/>
      <c r="L140" s="166"/>
      <c r="M140" s="190"/>
    </row>
    <row r="141" spans="1:13" s="168" customFormat="1" ht="15">
      <c r="A141" s="1905"/>
      <c r="B141" s="1905"/>
      <c r="C141" s="1905"/>
      <c r="D141" s="1911"/>
      <c r="E141" s="1924"/>
      <c r="F141" s="1928"/>
      <c r="G141" s="631">
        <f>2728.8-2127.19</f>
        <v>601.61000000000013</v>
      </c>
      <c r="H141" s="1718">
        <v>45038</v>
      </c>
      <c r="I141" s="2210">
        <v>9000</v>
      </c>
      <c r="J141" s="1918">
        <v>45191</v>
      </c>
      <c r="K141" s="1968" t="s">
        <v>6140</v>
      </c>
      <c r="L141" s="166"/>
      <c r="M141" s="190"/>
    </row>
    <row r="142" spans="1:13" s="168" customFormat="1" ht="15">
      <c r="A142" s="1718">
        <v>44979</v>
      </c>
      <c r="B142" s="1718" t="s">
        <v>2644</v>
      </c>
      <c r="C142" s="1718" t="s">
        <v>4410</v>
      </c>
      <c r="D142" s="1720" t="s">
        <v>4225</v>
      </c>
      <c r="E142" s="1724">
        <v>540</v>
      </c>
      <c r="F142" s="649">
        <v>0</v>
      </c>
      <c r="G142" s="631">
        <v>540</v>
      </c>
      <c r="H142" s="1718">
        <v>45024</v>
      </c>
      <c r="I142" s="2212"/>
      <c r="J142" s="1919"/>
      <c r="K142" s="1962"/>
      <c r="L142" s="219"/>
      <c r="M142" s="190"/>
    </row>
    <row r="143" spans="1:13" s="168" customFormat="1" ht="15">
      <c r="A143" s="1718">
        <v>44992</v>
      </c>
      <c r="B143" s="1718" t="s">
        <v>2644</v>
      </c>
      <c r="C143" s="1718" t="s">
        <v>6142</v>
      </c>
      <c r="D143" s="1720" t="s">
        <v>4446</v>
      </c>
      <c r="E143" s="1724">
        <v>2256</v>
      </c>
      <c r="F143" s="649">
        <v>0</v>
      </c>
      <c r="G143" s="631">
        <v>2256</v>
      </c>
      <c r="H143" s="1718">
        <v>44992</v>
      </c>
      <c r="I143" s="2212"/>
      <c r="J143" s="1919"/>
      <c r="K143" s="1962"/>
      <c r="L143" s="219"/>
      <c r="M143" s="190"/>
    </row>
    <row r="144" spans="1:13" s="168" customFormat="1" ht="15">
      <c r="A144" s="1718">
        <v>45006</v>
      </c>
      <c r="B144" s="1718" t="s">
        <v>2644</v>
      </c>
      <c r="C144" s="1718" t="s">
        <v>4410</v>
      </c>
      <c r="D144" s="1720" t="s">
        <v>4550</v>
      </c>
      <c r="E144" s="1724">
        <v>4726.5600000000004</v>
      </c>
      <c r="F144" s="649">
        <v>0</v>
      </c>
      <c r="G144" s="631">
        <v>4726.5600000000004</v>
      </c>
      <c r="H144" s="1718">
        <v>45066</v>
      </c>
      <c r="I144" s="2212"/>
      <c r="J144" s="1919"/>
      <c r="K144" s="1962"/>
      <c r="L144" s="219"/>
      <c r="M144" s="190"/>
    </row>
    <row r="145" spans="1:13" s="168" customFormat="1" ht="15">
      <c r="A145" s="1903">
        <v>45006</v>
      </c>
      <c r="B145" s="1903" t="s">
        <v>2644</v>
      </c>
      <c r="C145" s="1903" t="s">
        <v>6142</v>
      </c>
      <c r="D145" s="1909" t="s">
        <v>4551</v>
      </c>
      <c r="E145" s="1923">
        <v>5669.93</v>
      </c>
      <c r="F145" s="1927">
        <v>0</v>
      </c>
      <c r="G145" s="631">
        <f>5669.93-4794.1</f>
        <v>875.82999999999993</v>
      </c>
      <c r="H145" s="1718">
        <v>45066</v>
      </c>
      <c r="I145" s="2211"/>
      <c r="J145" s="1920"/>
      <c r="K145" s="1957"/>
      <c r="L145" s="219"/>
      <c r="M145" s="190"/>
    </row>
    <row r="146" spans="1:13" s="168" customFormat="1" ht="15">
      <c r="A146" s="1905"/>
      <c r="B146" s="1905"/>
      <c r="C146" s="1905"/>
      <c r="D146" s="1911"/>
      <c r="E146" s="1924"/>
      <c r="F146" s="1928"/>
      <c r="G146" s="631">
        <v>4794.1000000000004</v>
      </c>
      <c r="H146" s="1718">
        <v>45066</v>
      </c>
      <c r="I146" s="2143">
        <v>10000</v>
      </c>
      <c r="J146" s="1918">
        <v>45166</v>
      </c>
      <c r="K146" s="1956" t="s">
        <v>5962</v>
      </c>
      <c r="L146" s="219"/>
      <c r="M146" s="190"/>
    </row>
    <row r="147" spans="1:13" s="168" customFormat="1" ht="15">
      <c r="A147" s="1718">
        <v>45006</v>
      </c>
      <c r="B147" s="1718" t="s">
        <v>2644</v>
      </c>
      <c r="C147" s="1718" t="s">
        <v>4410</v>
      </c>
      <c r="D147" s="1720" t="s">
        <v>4552</v>
      </c>
      <c r="E147" s="1724">
        <v>231</v>
      </c>
      <c r="F147" s="649">
        <v>0</v>
      </c>
      <c r="G147" s="631">
        <v>231</v>
      </c>
      <c r="H147" s="1718">
        <v>45066</v>
      </c>
      <c r="I147" s="2145"/>
      <c r="J147" s="1919"/>
      <c r="K147" s="1962"/>
      <c r="L147" s="219"/>
      <c r="M147" s="190"/>
    </row>
    <row r="148" spans="1:13" s="168" customFormat="1" ht="15">
      <c r="A148" s="1718">
        <v>45009</v>
      </c>
      <c r="B148" s="1718" t="s">
        <v>2644</v>
      </c>
      <c r="C148" s="1718" t="s">
        <v>4410</v>
      </c>
      <c r="D148" s="1720" t="s">
        <v>4553</v>
      </c>
      <c r="E148" s="1724">
        <v>-6.3</v>
      </c>
      <c r="F148" s="649">
        <v>0</v>
      </c>
      <c r="G148" s="631">
        <v>-6.3</v>
      </c>
      <c r="H148" s="1718"/>
      <c r="I148" s="2145"/>
      <c r="J148" s="1919"/>
      <c r="K148" s="1962"/>
      <c r="L148" s="219"/>
      <c r="M148" s="190"/>
    </row>
    <row r="149" spans="1:13" s="168" customFormat="1" ht="15">
      <c r="A149" s="1718">
        <v>45009</v>
      </c>
      <c r="B149" s="1718" t="s">
        <v>2644</v>
      </c>
      <c r="C149" s="1718" t="s">
        <v>4410</v>
      </c>
      <c r="D149" s="1720" t="s">
        <v>4554</v>
      </c>
      <c r="E149" s="1724">
        <v>-320.39999999999998</v>
      </c>
      <c r="F149" s="649">
        <v>0</v>
      </c>
      <c r="G149" s="631">
        <v>-320.39999999999998</v>
      </c>
      <c r="H149" s="1718"/>
      <c r="I149" s="2145"/>
      <c r="J149" s="1919"/>
      <c r="K149" s="1962"/>
      <c r="L149" s="166"/>
      <c r="M149" s="190"/>
    </row>
    <row r="150" spans="1:13" s="168" customFormat="1" ht="15">
      <c r="A150" s="1657">
        <v>45012</v>
      </c>
      <c r="B150" s="1657" t="s">
        <v>2644</v>
      </c>
      <c r="C150" s="1657" t="s">
        <v>4410</v>
      </c>
      <c r="D150" s="1661" t="s">
        <v>4641</v>
      </c>
      <c r="E150" s="1666">
        <v>-124.95</v>
      </c>
      <c r="F150" s="649">
        <v>0</v>
      </c>
      <c r="G150" s="631">
        <v>-124.95</v>
      </c>
      <c r="H150" s="1657"/>
      <c r="I150" s="2145"/>
      <c r="J150" s="1919"/>
      <c r="K150" s="1962"/>
      <c r="L150" s="166"/>
      <c r="M150" s="190"/>
    </row>
    <row r="151" spans="1:13" s="168" customFormat="1" ht="15">
      <c r="A151" s="1657">
        <v>45013</v>
      </c>
      <c r="B151" s="1657" t="s">
        <v>2644</v>
      </c>
      <c r="C151" s="1657" t="s">
        <v>4410</v>
      </c>
      <c r="D151" s="1661" t="s">
        <v>4660</v>
      </c>
      <c r="E151" s="1666">
        <v>0.01</v>
      </c>
      <c r="F151" s="649">
        <v>0</v>
      </c>
      <c r="G151" s="631">
        <v>0.01</v>
      </c>
      <c r="H151" s="1657">
        <v>45014</v>
      </c>
      <c r="I151" s="2145"/>
      <c r="J151" s="1919"/>
      <c r="K151" s="1962"/>
      <c r="L151" s="166" t="s">
        <v>4661</v>
      </c>
      <c r="M151" s="190"/>
    </row>
    <row r="152" spans="1:13" s="168" customFormat="1" ht="15">
      <c r="A152" s="1657">
        <v>45020</v>
      </c>
      <c r="B152" s="1657" t="s">
        <v>2644</v>
      </c>
      <c r="C152" s="1657" t="s">
        <v>4410</v>
      </c>
      <c r="D152" s="1661" t="s">
        <v>4683</v>
      </c>
      <c r="E152" s="1666">
        <v>-124.95</v>
      </c>
      <c r="F152" s="649">
        <v>0</v>
      </c>
      <c r="G152" s="631">
        <v>-124.95</v>
      </c>
      <c r="H152" s="1657"/>
      <c r="I152" s="2145"/>
      <c r="J152" s="1919"/>
      <c r="K152" s="1962"/>
      <c r="L152" s="166"/>
      <c r="M152" s="190"/>
    </row>
    <row r="153" spans="1:13" s="168" customFormat="1" ht="15">
      <c r="A153" s="1657">
        <v>45020</v>
      </c>
      <c r="B153" s="1657" t="s">
        <v>2644</v>
      </c>
      <c r="C153" s="1657" t="s">
        <v>4410</v>
      </c>
      <c r="D153" s="1661" t="s">
        <v>4684</v>
      </c>
      <c r="E153" s="1666">
        <v>1776.96</v>
      </c>
      <c r="F153" s="649">
        <v>0</v>
      </c>
      <c r="G153" s="631">
        <v>1776.96</v>
      </c>
      <c r="H153" s="1657">
        <v>45080</v>
      </c>
      <c r="I153" s="2145"/>
      <c r="J153" s="1919"/>
      <c r="K153" s="1962"/>
      <c r="L153" s="219"/>
      <c r="M153" s="190"/>
    </row>
    <row r="154" spans="1:13" s="168" customFormat="1" ht="15">
      <c r="A154" s="1657">
        <v>45028.000497685185</v>
      </c>
      <c r="B154" s="1657" t="s">
        <v>2644</v>
      </c>
      <c r="C154" s="1657" t="s">
        <v>4410</v>
      </c>
      <c r="D154" s="1661" t="s">
        <v>4720</v>
      </c>
      <c r="E154" s="1666">
        <v>986.54</v>
      </c>
      <c r="F154" s="649">
        <v>0</v>
      </c>
      <c r="G154" s="631">
        <v>986.54</v>
      </c>
      <c r="H154" s="1657">
        <v>45088</v>
      </c>
      <c r="I154" s="2145"/>
      <c r="J154" s="1919"/>
      <c r="K154" s="1962"/>
      <c r="L154" s="219"/>
      <c r="M154" s="190"/>
    </row>
    <row r="155" spans="1:13" s="168" customFormat="1" ht="15">
      <c r="A155" s="1768">
        <v>45028.000497685185</v>
      </c>
      <c r="B155" s="1768" t="s">
        <v>2644</v>
      </c>
      <c r="C155" s="1768" t="s">
        <v>4410</v>
      </c>
      <c r="D155" s="1769" t="s">
        <v>4721</v>
      </c>
      <c r="E155" s="1773">
        <v>1500.48</v>
      </c>
      <c r="F155" s="649">
        <v>0</v>
      </c>
      <c r="G155" s="631">
        <v>1500.48</v>
      </c>
      <c r="H155" s="1768">
        <v>45088</v>
      </c>
      <c r="I155" s="2145"/>
      <c r="J155" s="1919"/>
      <c r="K155" s="1962"/>
      <c r="L155" s="219"/>
      <c r="M155" s="190"/>
    </row>
    <row r="156" spans="1:13" s="168" customFormat="1" ht="15">
      <c r="A156" s="1903">
        <v>45036</v>
      </c>
      <c r="B156" s="1903" t="s">
        <v>2644</v>
      </c>
      <c r="C156" s="1903" t="s">
        <v>4410</v>
      </c>
      <c r="D156" s="1909" t="s">
        <v>4814</v>
      </c>
      <c r="E156" s="1923">
        <v>8052.1</v>
      </c>
      <c r="F156" s="1927">
        <v>0</v>
      </c>
      <c r="G156" s="1764">
        <v>1287.51</v>
      </c>
      <c r="H156" s="1768">
        <v>45096</v>
      </c>
      <c r="I156" s="2144"/>
      <c r="J156" s="1920"/>
      <c r="K156" s="1957"/>
      <c r="L156" s="219"/>
      <c r="M156" s="190"/>
    </row>
    <row r="157" spans="1:13" s="168" customFormat="1" ht="15">
      <c r="A157" s="1905"/>
      <c r="B157" s="1905"/>
      <c r="C157" s="1905"/>
      <c r="D157" s="1911"/>
      <c r="E157" s="1924"/>
      <c r="F157" s="1928"/>
      <c r="G157" s="1764">
        <f>8052.1-1287.51</f>
        <v>6764.59</v>
      </c>
      <c r="H157" s="1820">
        <v>45096</v>
      </c>
      <c r="I157" s="1994">
        <v>10000</v>
      </c>
      <c r="J157" s="1918">
        <v>45209</v>
      </c>
      <c r="K157" s="1956" t="s">
        <v>6340</v>
      </c>
      <c r="L157" s="219"/>
      <c r="M157" s="190"/>
    </row>
    <row r="158" spans="1:13" s="168" customFormat="1" ht="15">
      <c r="A158" s="1768">
        <v>45054</v>
      </c>
      <c r="B158" s="1768" t="s">
        <v>2644</v>
      </c>
      <c r="C158" s="1768" t="s">
        <v>4410</v>
      </c>
      <c r="D158" s="1769" t="s">
        <v>4983</v>
      </c>
      <c r="E158" s="1773">
        <v>441.6</v>
      </c>
      <c r="F158" s="649">
        <v>0</v>
      </c>
      <c r="G158" s="631">
        <v>441.6</v>
      </c>
      <c r="H158" s="1768">
        <v>45114</v>
      </c>
      <c r="I158" s="1995"/>
      <c r="J158" s="1919"/>
      <c r="K158" s="1962"/>
      <c r="L158" s="219"/>
      <c r="M158" s="190"/>
    </row>
    <row r="159" spans="1:13" s="168" customFormat="1" ht="15">
      <c r="A159" s="1768">
        <v>45054</v>
      </c>
      <c r="B159" s="1768" t="s">
        <v>2644</v>
      </c>
      <c r="C159" s="1768" t="s">
        <v>4410</v>
      </c>
      <c r="D159" s="1769" t="s">
        <v>4984</v>
      </c>
      <c r="E159" s="1773">
        <v>2026.8</v>
      </c>
      <c r="F159" s="649">
        <v>0</v>
      </c>
      <c r="G159" s="631">
        <v>2026.8</v>
      </c>
      <c r="H159" s="1768">
        <v>45114</v>
      </c>
      <c r="I159" s="1995"/>
      <c r="J159" s="1919"/>
      <c r="K159" s="1962"/>
      <c r="L159" s="219"/>
      <c r="M159" s="190"/>
    </row>
    <row r="160" spans="1:13" s="168" customFormat="1" ht="15">
      <c r="A160" s="1768">
        <v>45057</v>
      </c>
      <c r="B160" s="1768" t="s">
        <v>2644</v>
      </c>
      <c r="C160" s="1768" t="s">
        <v>4410</v>
      </c>
      <c r="D160" s="1769" t="s">
        <v>4985</v>
      </c>
      <c r="E160" s="1773">
        <v>289.8</v>
      </c>
      <c r="F160" s="649">
        <v>0</v>
      </c>
      <c r="G160" s="631">
        <v>289.8</v>
      </c>
      <c r="H160" s="1768">
        <v>45117</v>
      </c>
      <c r="I160" s="1995"/>
      <c r="J160" s="1919"/>
      <c r="K160" s="1962"/>
      <c r="L160" s="219"/>
      <c r="M160" s="190"/>
    </row>
    <row r="161" spans="1:13" s="168" customFormat="1" ht="15">
      <c r="A161" s="1768">
        <v>45064</v>
      </c>
      <c r="B161" s="1768" t="s">
        <v>2644</v>
      </c>
      <c r="C161" s="1768" t="s">
        <v>4410</v>
      </c>
      <c r="D161" s="1769" t="s">
        <v>5111</v>
      </c>
      <c r="E161" s="1773">
        <v>308.7</v>
      </c>
      <c r="F161" s="649">
        <v>0</v>
      </c>
      <c r="G161" s="631">
        <v>308.7</v>
      </c>
      <c r="H161" s="1768">
        <v>45124</v>
      </c>
      <c r="I161" s="1995"/>
      <c r="J161" s="1919"/>
      <c r="K161" s="1962"/>
      <c r="L161" s="219"/>
      <c r="M161" s="190"/>
    </row>
    <row r="162" spans="1:13" s="168" customFormat="1" ht="15">
      <c r="A162" s="1941">
        <v>45065</v>
      </c>
      <c r="B162" s="1941" t="s">
        <v>2644</v>
      </c>
      <c r="C162" s="1941" t="s">
        <v>4410</v>
      </c>
      <c r="D162" s="1954" t="s">
        <v>5112</v>
      </c>
      <c r="E162" s="1945">
        <v>19104.79</v>
      </c>
      <c r="F162" s="1969">
        <v>0</v>
      </c>
      <c r="G162" s="1764">
        <v>168.51</v>
      </c>
      <c r="H162" s="1768">
        <v>45125</v>
      </c>
      <c r="I162" s="1996"/>
      <c r="J162" s="1920"/>
      <c r="K162" s="1957"/>
      <c r="L162" s="219"/>
      <c r="M162" s="190"/>
    </row>
    <row r="163" spans="1:13" s="168" customFormat="1" ht="15">
      <c r="A163" s="1967"/>
      <c r="B163" s="1967"/>
      <c r="C163" s="1967"/>
      <c r="D163" s="1973"/>
      <c r="E163" s="1972"/>
      <c r="F163" s="1970"/>
      <c r="G163" s="1826">
        <f>19104.79-168.51-3699.59</f>
        <v>15236.690000000002</v>
      </c>
      <c r="H163" s="623">
        <v>45125</v>
      </c>
      <c r="I163" s="1817"/>
      <c r="J163" s="1814"/>
      <c r="K163" s="1816"/>
      <c r="L163" s="219"/>
      <c r="M163" s="190"/>
    </row>
    <row r="164" spans="1:13" s="168" customFormat="1" ht="15">
      <c r="A164" s="1942"/>
      <c r="B164" s="1942"/>
      <c r="C164" s="1942"/>
      <c r="D164" s="1955"/>
      <c r="E164" s="1946"/>
      <c r="F164" s="1971"/>
      <c r="G164" s="1815">
        <v>3699.59</v>
      </c>
      <c r="H164" s="1820">
        <v>45125</v>
      </c>
      <c r="I164" s="2201">
        <v>0</v>
      </c>
      <c r="J164" s="1903">
        <v>45232</v>
      </c>
      <c r="K164" s="1935" t="s">
        <v>6489</v>
      </c>
      <c r="L164" s="219"/>
      <c r="M164" s="190"/>
    </row>
    <row r="165" spans="1:13" s="168" customFormat="1" ht="15">
      <c r="A165" s="1820">
        <v>45072</v>
      </c>
      <c r="B165" s="1820" t="s">
        <v>2644</v>
      </c>
      <c r="C165" s="1820" t="s">
        <v>4410</v>
      </c>
      <c r="D165" s="1821" t="s">
        <v>5211</v>
      </c>
      <c r="E165" s="1823">
        <v>-66.790000000000006</v>
      </c>
      <c r="F165" s="649">
        <v>0</v>
      </c>
      <c r="G165" s="631">
        <v>-66.790000000000006</v>
      </c>
      <c r="H165" s="1820"/>
      <c r="I165" s="2202"/>
      <c r="J165" s="1904"/>
      <c r="K165" s="1950"/>
      <c r="L165" s="219"/>
      <c r="M165" s="190"/>
    </row>
    <row r="166" spans="1:13" s="168" customFormat="1" ht="15">
      <c r="A166" s="1820">
        <v>45072</v>
      </c>
      <c r="B166" s="1820" t="s">
        <v>2644</v>
      </c>
      <c r="C166" s="1820" t="s">
        <v>4410</v>
      </c>
      <c r="D166" s="1821" t="s">
        <v>5212</v>
      </c>
      <c r="E166" s="1823">
        <v>-298.39</v>
      </c>
      <c r="F166" s="649">
        <v>0</v>
      </c>
      <c r="G166" s="631">
        <v>-298.39</v>
      </c>
      <c r="H166" s="1820"/>
      <c r="I166" s="2202"/>
      <c r="J166" s="1904"/>
      <c r="K166" s="1950"/>
      <c r="L166" s="219"/>
      <c r="M166" s="190"/>
    </row>
    <row r="167" spans="1:13" s="168" customFormat="1" ht="15">
      <c r="A167" s="1820">
        <v>45072</v>
      </c>
      <c r="B167" s="1820" t="s">
        <v>2644</v>
      </c>
      <c r="C167" s="1820" t="s">
        <v>4410</v>
      </c>
      <c r="D167" s="1821" t="s">
        <v>5213</v>
      </c>
      <c r="E167" s="1823">
        <v>-0.45</v>
      </c>
      <c r="F167" s="649">
        <v>0</v>
      </c>
      <c r="G167" s="631">
        <v>-0.45</v>
      </c>
      <c r="H167" s="1820"/>
      <c r="I167" s="2202"/>
      <c r="J167" s="1904"/>
      <c r="K167" s="1950"/>
      <c r="L167" s="166"/>
      <c r="M167" s="190"/>
    </row>
    <row r="168" spans="1:13" s="168" customFormat="1" ht="15">
      <c r="A168" s="1820">
        <v>45076</v>
      </c>
      <c r="B168" s="1820" t="s">
        <v>2644</v>
      </c>
      <c r="C168" s="1820" t="s">
        <v>4410</v>
      </c>
      <c r="D168" s="1821" t="s">
        <v>5256</v>
      </c>
      <c r="E168" s="1823">
        <v>-305.08999999999997</v>
      </c>
      <c r="F168" s="649">
        <v>0</v>
      </c>
      <c r="G168" s="631">
        <v>-305.08999999999997</v>
      </c>
      <c r="H168" s="1820">
        <v>45077</v>
      </c>
      <c r="I168" s="2202"/>
      <c r="J168" s="1904"/>
      <c r="K168" s="1950"/>
      <c r="L168" s="166" t="s">
        <v>5257</v>
      </c>
      <c r="M168" s="190"/>
    </row>
    <row r="169" spans="1:13" s="168" customFormat="1" ht="15">
      <c r="A169" s="1820">
        <v>45083</v>
      </c>
      <c r="B169" s="1820" t="s">
        <v>2644</v>
      </c>
      <c r="C169" s="1820" t="s">
        <v>4410</v>
      </c>
      <c r="D169" s="1821" t="s">
        <v>5330</v>
      </c>
      <c r="E169" s="1823">
        <v>909.78</v>
      </c>
      <c r="F169" s="649">
        <v>0</v>
      </c>
      <c r="G169" s="631">
        <v>909.78</v>
      </c>
      <c r="H169" s="1820">
        <v>45143</v>
      </c>
      <c r="I169" s="2202"/>
      <c r="J169" s="1904"/>
      <c r="K169" s="1950"/>
      <c r="L169" s="166"/>
      <c r="M169" s="190"/>
    </row>
    <row r="170" spans="1:13" s="168" customFormat="1" ht="15">
      <c r="A170" s="1820">
        <v>45089</v>
      </c>
      <c r="B170" s="1820" t="s">
        <v>2644</v>
      </c>
      <c r="C170" s="1820" t="s">
        <v>4410</v>
      </c>
      <c r="D170" s="1821" t="s">
        <v>5386</v>
      </c>
      <c r="E170" s="1823">
        <v>0.01</v>
      </c>
      <c r="F170" s="649">
        <v>0</v>
      </c>
      <c r="G170" s="631">
        <v>0.01</v>
      </c>
      <c r="H170" s="1820">
        <v>45090</v>
      </c>
      <c r="I170" s="2202"/>
      <c r="J170" s="1904"/>
      <c r="K170" s="1950"/>
      <c r="L170" s="166" t="s">
        <v>5387</v>
      </c>
      <c r="M170" s="190"/>
    </row>
    <row r="171" spans="1:13" s="168" customFormat="1" ht="15">
      <c r="A171" s="1820">
        <v>45128</v>
      </c>
      <c r="B171" s="1820" t="s">
        <v>2644</v>
      </c>
      <c r="C171" s="1820" t="s">
        <v>4410</v>
      </c>
      <c r="D171" s="1821" t="s">
        <v>5644</v>
      </c>
      <c r="E171" s="1823">
        <v>-920.64</v>
      </c>
      <c r="F171" s="649">
        <v>0</v>
      </c>
      <c r="G171" s="631">
        <v>-920.64</v>
      </c>
      <c r="H171" s="1820"/>
      <c r="I171" s="2202"/>
      <c r="J171" s="1904"/>
      <c r="K171" s="1950"/>
      <c r="L171" s="219"/>
      <c r="M171" s="190"/>
    </row>
    <row r="172" spans="1:13" s="168" customFormat="1" ht="15">
      <c r="A172" s="1820">
        <v>45138</v>
      </c>
      <c r="B172" s="1820" t="s">
        <v>2644</v>
      </c>
      <c r="C172" s="1820" t="s">
        <v>4410</v>
      </c>
      <c r="D172" s="1821" t="s">
        <v>5817</v>
      </c>
      <c r="E172" s="1823">
        <v>-57.57</v>
      </c>
      <c r="F172" s="649">
        <v>0</v>
      </c>
      <c r="G172" s="631">
        <v>-57.57</v>
      </c>
      <c r="H172" s="1820"/>
      <c r="I172" s="2202"/>
      <c r="J172" s="1904"/>
      <c r="K172" s="1950"/>
      <c r="L172" s="219"/>
      <c r="M172" s="190"/>
    </row>
    <row r="173" spans="1:13" s="168" customFormat="1" ht="15">
      <c r="A173" s="1820">
        <v>45138</v>
      </c>
      <c r="B173" s="1820" t="s">
        <v>2644</v>
      </c>
      <c r="C173" s="1820" t="s">
        <v>4410</v>
      </c>
      <c r="D173" s="1821" t="s">
        <v>5819</v>
      </c>
      <c r="E173" s="1823">
        <v>-119.54</v>
      </c>
      <c r="F173" s="649">
        <v>0</v>
      </c>
      <c r="G173" s="631">
        <v>-119.54</v>
      </c>
      <c r="H173" s="1820"/>
      <c r="I173" s="2202"/>
      <c r="J173" s="1904"/>
      <c r="K173" s="1950"/>
      <c r="L173" s="219"/>
      <c r="M173" s="190"/>
    </row>
    <row r="174" spans="1:13" s="168" customFormat="1" ht="15">
      <c r="A174" s="1820">
        <v>45139</v>
      </c>
      <c r="B174" s="1820" t="s">
        <v>2644</v>
      </c>
      <c r="C174" s="1820" t="s">
        <v>4410</v>
      </c>
      <c r="D174" s="1821" t="s">
        <v>5820</v>
      </c>
      <c r="E174" s="1823">
        <v>-63.09</v>
      </c>
      <c r="F174" s="649">
        <v>0</v>
      </c>
      <c r="G174" s="631">
        <v>-63.09</v>
      </c>
      <c r="H174" s="1820"/>
      <c r="I174" s="2202"/>
      <c r="J174" s="1904"/>
      <c r="K174" s="1950"/>
      <c r="L174" s="219"/>
      <c r="M174" s="190"/>
    </row>
    <row r="175" spans="1:13" s="168" customFormat="1" ht="15">
      <c r="A175" s="1820">
        <v>45139</v>
      </c>
      <c r="B175" s="1820" t="s">
        <v>2644</v>
      </c>
      <c r="C175" s="1820" t="s">
        <v>4410</v>
      </c>
      <c r="D175" s="1821" t="s">
        <v>5821</v>
      </c>
      <c r="E175" s="1823">
        <v>-168.79</v>
      </c>
      <c r="F175" s="649">
        <v>0</v>
      </c>
      <c r="G175" s="631">
        <v>-168.79</v>
      </c>
      <c r="H175" s="1820"/>
      <c r="I175" s="2202"/>
      <c r="J175" s="1904"/>
      <c r="K175" s="1950"/>
      <c r="L175" s="219"/>
      <c r="M175" s="190"/>
    </row>
    <row r="176" spans="1:13" s="168" customFormat="1" ht="15">
      <c r="A176" s="1820">
        <v>45142</v>
      </c>
      <c r="B176" s="1820" t="s">
        <v>2644</v>
      </c>
      <c r="C176" s="1820" t="s">
        <v>4410</v>
      </c>
      <c r="D176" s="1821" t="s">
        <v>5823</v>
      </c>
      <c r="E176" s="1823">
        <v>-5.57</v>
      </c>
      <c r="F176" s="649">
        <v>0</v>
      </c>
      <c r="G176" s="631">
        <v>-5.57</v>
      </c>
      <c r="H176" s="1820"/>
      <c r="I176" s="2202"/>
      <c r="J176" s="1904"/>
      <c r="K176" s="1950"/>
      <c r="L176" s="219"/>
      <c r="M176" s="190"/>
    </row>
    <row r="177" spans="1:13" s="168" customFormat="1" ht="15">
      <c r="A177" s="1820">
        <v>45189</v>
      </c>
      <c r="B177" s="1820" t="s">
        <v>2644</v>
      </c>
      <c r="C177" s="1820" t="s">
        <v>4410</v>
      </c>
      <c r="D177" s="1821" t="s">
        <v>6102</v>
      </c>
      <c r="E177" s="1823">
        <v>-362.33</v>
      </c>
      <c r="F177" s="649">
        <v>0</v>
      </c>
      <c r="G177" s="631">
        <v>-362.34</v>
      </c>
      <c r="H177" s="1820"/>
      <c r="I177" s="2202"/>
      <c r="J177" s="1904"/>
      <c r="K177" s="1950"/>
      <c r="L177" s="219"/>
      <c r="M177" s="190"/>
    </row>
    <row r="178" spans="1:13" s="168" customFormat="1" ht="15">
      <c r="A178" s="1820">
        <v>45189</v>
      </c>
      <c r="B178" s="1820" t="s">
        <v>2644</v>
      </c>
      <c r="C178" s="1820" t="s">
        <v>4410</v>
      </c>
      <c r="D178" s="1821" t="s">
        <v>6104</v>
      </c>
      <c r="E178" s="1823">
        <v>-72.25</v>
      </c>
      <c r="F178" s="649">
        <v>0</v>
      </c>
      <c r="G178" s="631">
        <v>-72.260000000000005</v>
      </c>
      <c r="H178" s="1820"/>
      <c r="I178" s="2202"/>
      <c r="J178" s="1904"/>
      <c r="K178" s="1950"/>
      <c r="L178" s="219"/>
      <c r="M178" s="190"/>
    </row>
    <row r="179" spans="1:13" s="168" customFormat="1" ht="15">
      <c r="A179" s="1820">
        <v>45202</v>
      </c>
      <c r="B179" s="1820" t="s">
        <v>2644</v>
      </c>
      <c r="C179" s="1820" t="s">
        <v>4410</v>
      </c>
      <c r="D179" s="1821" t="s">
        <v>6211</v>
      </c>
      <c r="E179" s="1823">
        <v>-55.58</v>
      </c>
      <c r="F179" s="649">
        <v>0</v>
      </c>
      <c r="G179" s="631">
        <v>-55.58</v>
      </c>
      <c r="H179" s="1820"/>
      <c r="I179" s="2202"/>
      <c r="J179" s="1904"/>
      <c r="K179" s="1950"/>
      <c r="L179" s="219"/>
      <c r="M179" s="190"/>
    </row>
    <row r="180" spans="1:13" s="168" customFormat="1" ht="15">
      <c r="A180" s="1820">
        <v>45202</v>
      </c>
      <c r="B180" s="1820" t="s">
        <v>2644</v>
      </c>
      <c r="C180" s="1820" t="s">
        <v>4410</v>
      </c>
      <c r="D180" s="1821" t="s">
        <v>6212</v>
      </c>
      <c r="E180" s="1823">
        <v>-1111.5999999999999</v>
      </c>
      <c r="F180" s="649">
        <v>0</v>
      </c>
      <c r="G180" s="631">
        <v>-1111.5999999999999</v>
      </c>
      <c r="H180" s="1820"/>
      <c r="I180" s="2202"/>
      <c r="J180" s="1904"/>
      <c r="K180" s="1950"/>
      <c r="L180" s="219"/>
      <c r="M180" s="190"/>
    </row>
    <row r="181" spans="1:13" s="168" customFormat="1" ht="15">
      <c r="A181" s="1820">
        <v>45202</v>
      </c>
      <c r="B181" s="1820" t="s">
        <v>2644</v>
      </c>
      <c r="C181" s="1820" t="s">
        <v>4410</v>
      </c>
      <c r="D181" s="1821" t="s">
        <v>6213</v>
      </c>
      <c r="E181" s="1823">
        <v>-1280.8599999999999</v>
      </c>
      <c r="F181" s="649">
        <v>0</v>
      </c>
      <c r="G181" s="631">
        <v>-1280.8599999999999</v>
      </c>
      <c r="H181" s="1820"/>
      <c r="I181" s="2202"/>
      <c r="J181" s="1904"/>
      <c r="K181" s="1950"/>
      <c r="L181" s="219"/>
      <c r="M181" s="190"/>
    </row>
    <row r="182" spans="1:13" s="168" customFormat="1" ht="15">
      <c r="A182" s="1820">
        <v>45202</v>
      </c>
      <c r="B182" s="1820" t="s">
        <v>2644</v>
      </c>
      <c r="C182" s="1820" t="s">
        <v>4410</v>
      </c>
      <c r="D182" s="1821" t="s">
        <v>6214</v>
      </c>
      <c r="E182" s="1823">
        <v>-1285.2</v>
      </c>
      <c r="F182" s="649">
        <v>0</v>
      </c>
      <c r="G182" s="631">
        <v>-1285.2</v>
      </c>
      <c r="H182" s="1820"/>
      <c r="I182" s="2202"/>
      <c r="J182" s="1904"/>
      <c r="K182" s="1950"/>
      <c r="L182" s="219"/>
      <c r="M182" s="190"/>
    </row>
    <row r="183" spans="1:13" s="168" customFormat="1" ht="15">
      <c r="A183" s="1820">
        <v>45202</v>
      </c>
      <c r="B183" s="1820" t="s">
        <v>2644</v>
      </c>
      <c r="C183" s="1820" t="s">
        <v>4410</v>
      </c>
      <c r="D183" s="1821" t="s">
        <v>6215</v>
      </c>
      <c r="E183" s="1823">
        <v>-1111.5999999999999</v>
      </c>
      <c r="F183" s="649">
        <v>0</v>
      </c>
      <c r="G183" s="631">
        <v>-1111.5999999999999</v>
      </c>
      <c r="H183" s="1820"/>
      <c r="I183" s="2202"/>
      <c r="J183" s="1904"/>
      <c r="K183" s="1950"/>
      <c r="L183" s="219"/>
      <c r="M183" s="190"/>
    </row>
    <row r="184" spans="1:13" s="168" customFormat="1" ht="15">
      <c r="A184" s="1820">
        <v>45202</v>
      </c>
      <c r="B184" s="1820" t="s">
        <v>2644</v>
      </c>
      <c r="C184" s="1820" t="s">
        <v>4410</v>
      </c>
      <c r="D184" s="1821" t="s">
        <v>6216</v>
      </c>
      <c r="E184" s="1823">
        <v>-1111.5999999999999</v>
      </c>
      <c r="F184" s="649">
        <v>0</v>
      </c>
      <c r="G184" s="631">
        <v>-1111.5999999999999</v>
      </c>
      <c r="H184" s="1820"/>
      <c r="I184" s="2202"/>
      <c r="J184" s="1904"/>
      <c r="K184" s="1950"/>
      <c r="L184" s="219"/>
      <c r="M184" s="190"/>
    </row>
    <row r="185" spans="1:13" s="168" customFormat="1" ht="15">
      <c r="A185" s="1820">
        <v>45202</v>
      </c>
      <c r="B185" s="1820" t="s">
        <v>2644</v>
      </c>
      <c r="C185" s="1820" t="s">
        <v>4410</v>
      </c>
      <c r="D185" s="1821" t="s">
        <v>6217</v>
      </c>
      <c r="E185" s="1823">
        <v>-1061.2</v>
      </c>
      <c r="F185" s="649">
        <v>0</v>
      </c>
      <c r="G185" s="631">
        <v>-1061.2</v>
      </c>
      <c r="H185" s="1820"/>
      <c r="I185" s="2202"/>
      <c r="J185" s="1904"/>
      <c r="K185" s="1950"/>
      <c r="L185" s="219"/>
      <c r="M185" s="190"/>
    </row>
    <row r="186" spans="1:13" s="168" customFormat="1" ht="15">
      <c r="A186" s="1903">
        <v>45096</v>
      </c>
      <c r="B186" s="1903" t="s">
        <v>2644</v>
      </c>
      <c r="C186" s="1903" t="s">
        <v>4410</v>
      </c>
      <c r="D186" s="1909" t="s">
        <v>5419</v>
      </c>
      <c r="E186" s="1923">
        <v>8541.9500000000007</v>
      </c>
      <c r="F186" s="1927">
        <v>0</v>
      </c>
      <c r="G186" s="1847">
        <v>4848.78</v>
      </c>
      <c r="H186" s="1856">
        <v>45156</v>
      </c>
      <c r="I186" s="2203"/>
      <c r="J186" s="1905"/>
      <c r="K186" s="1947"/>
      <c r="L186" s="219"/>
      <c r="M186" s="190"/>
    </row>
    <row r="187" spans="1:13" s="168" customFormat="1" ht="15">
      <c r="A187" s="1905"/>
      <c r="B187" s="1905"/>
      <c r="C187" s="1905"/>
      <c r="D187" s="1911"/>
      <c r="E187" s="1924"/>
      <c r="F187" s="1928"/>
      <c r="G187" s="1847">
        <f>8541.95-4848.78</f>
        <v>3693.170000000001</v>
      </c>
      <c r="H187" s="1856">
        <v>45156</v>
      </c>
      <c r="I187" s="2210">
        <v>10000</v>
      </c>
      <c r="J187" s="1918">
        <v>45247</v>
      </c>
      <c r="K187" s="1956" t="s">
        <v>6615</v>
      </c>
      <c r="L187" s="219"/>
      <c r="M187" s="190"/>
    </row>
    <row r="188" spans="1:13" s="168" customFormat="1" ht="15">
      <c r="A188" s="1856">
        <v>45103</v>
      </c>
      <c r="B188" s="1856" t="s">
        <v>2644</v>
      </c>
      <c r="C188" s="1856" t="s">
        <v>4410</v>
      </c>
      <c r="D188" s="1858" t="s">
        <v>5488</v>
      </c>
      <c r="E188" s="1866">
        <v>1024.94</v>
      </c>
      <c r="F188" s="649">
        <v>0</v>
      </c>
      <c r="G188" s="631">
        <v>1024.94</v>
      </c>
      <c r="H188" s="1856">
        <v>45163</v>
      </c>
      <c r="I188" s="2212"/>
      <c r="J188" s="1919"/>
      <c r="K188" s="1962"/>
      <c r="L188" s="219"/>
      <c r="M188" s="190"/>
    </row>
    <row r="189" spans="1:13" s="168" customFormat="1" ht="15">
      <c r="A189" s="1856">
        <v>45105</v>
      </c>
      <c r="B189" s="1856" t="s">
        <v>2644</v>
      </c>
      <c r="C189" s="1856" t="s">
        <v>4410</v>
      </c>
      <c r="D189" s="1858" t="s">
        <v>5489</v>
      </c>
      <c r="E189" s="1866">
        <v>483</v>
      </c>
      <c r="F189" s="649">
        <v>0</v>
      </c>
      <c r="G189" s="631">
        <v>483</v>
      </c>
      <c r="H189" s="1856">
        <v>45165</v>
      </c>
      <c r="I189" s="2212"/>
      <c r="J189" s="1919"/>
      <c r="K189" s="1962"/>
      <c r="L189" s="219"/>
      <c r="M189" s="190"/>
    </row>
    <row r="190" spans="1:13" s="168" customFormat="1" ht="15">
      <c r="A190" s="1856">
        <v>45105</v>
      </c>
      <c r="B190" s="1856" t="s">
        <v>2644</v>
      </c>
      <c r="C190" s="1856" t="s">
        <v>4410</v>
      </c>
      <c r="D190" s="1858" t="s">
        <v>5490</v>
      </c>
      <c r="E190" s="1866">
        <v>331.2</v>
      </c>
      <c r="F190" s="649">
        <v>0</v>
      </c>
      <c r="G190" s="631">
        <v>331.2</v>
      </c>
      <c r="H190" s="1856">
        <v>45165</v>
      </c>
      <c r="I190" s="2212"/>
      <c r="J190" s="1919"/>
      <c r="K190" s="1962"/>
      <c r="L190" s="219"/>
      <c r="M190" s="190"/>
    </row>
    <row r="191" spans="1:13" s="168" customFormat="1" ht="15">
      <c r="A191" s="1856">
        <v>45114</v>
      </c>
      <c r="B191" s="1856" t="s">
        <v>2644</v>
      </c>
      <c r="C191" s="1856" t="s">
        <v>4410</v>
      </c>
      <c r="D191" s="1858" t="s">
        <v>5550</v>
      </c>
      <c r="E191" s="1866">
        <v>3917.2</v>
      </c>
      <c r="F191" s="649">
        <v>0</v>
      </c>
      <c r="G191" s="631">
        <v>3917.2</v>
      </c>
      <c r="H191" s="1856">
        <v>45204</v>
      </c>
      <c r="I191" s="2212"/>
      <c r="J191" s="1919"/>
      <c r="K191" s="1962"/>
      <c r="L191" s="219"/>
      <c r="M191" s="190"/>
    </row>
    <row r="192" spans="1:13" s="168" customFormat="1" ht="15">
      <c r="A192" s="1856">
        <v>45125</v>
      </c>
      <c r="B192" s="1856" t="s">
        <v>2644</v>
      </c>
      <c r="C192" s="1856" t="s">
        <v>4410</v>
      </c>
      <c r="D192" s="1858" t="s">
        <v>5643</v>
      </c>
      <c r="E192" s="1866">
        <v>1087.5899999999999</v>
      </c>
      <c r="F192" s="649">
        <v>0</v>
      </c>
      <c r="G192" s="631">
        <v>1087.5899999999999</v>
      </c>
      <c r="H192" s="1856">
        <v>45185</v>
      </c>
      <c r="I192" s="2212"/>
      <c r="J192" s="1919"/>
      <c r="K192" s="1962"/>
      <c r="L192" s="219"/>
      <c r="M192" s="190"/>
    </row>
    <row r="193" spans="1:13" s="168" customFormat="1" ht="15">
      <c r="A193" s="1856">
        <v>45138</v>
      </c>
      <c r="B193" s="1856" t="s">
        <v>2644</v>
      </c>
      <c r="C193" s="1856" t="s">
        <v>4410</v>
      </c>
      <c r="D193" s="1858" t="s">
        <v>5818</v>
      </c>
      <c r="E193" s="1866">
        <v>-712.43</v>
      </c>
      <c r="F193" s="649">
        <v>0</v>
      </c>
      <c r="G193" s="631">
        <v>-712.43</v>
      </c>
      <c r="H193" s="1856">
        <v>45139</v>
      </c>
      <c r="I193" s="2212"/>
      <c r="J193" s="1919"/>
      <c r="K193" s="1962"/>
      <c r="L193" s="219" t="s">
        <v>5724</v>
      </c>
      <c r="M193" s="190"/>
    </row>
    <row r="194" spans="1:13" s="168" customFormat="1" ht="15">
      <c r="A194" s="1941">
        <v>45125</v>
      </c>
      <c r="B194" s="1941" t="s">
        <v>2644</v>
      </c>
      <c r="C194" s="1941" t="s">
        <v>4410</v>
      </c>
      <c r="D194" s="1954" t="s">
        <v>5642</v>
      </c>
      <c r="E194" s="1945">
        <v>1159.2</v>
      </c>
      <c r="F194" s="1969">
        <v>0</v>
      </c>
      <c r="G194" s="1847">
        <v>175.33</v>
      </c>
      <c r="H194" s="1856">
        <v>45185</v>
      </c>
      <c r="I194" s="2211"/>
      <c r="J194" s="1920"/>
      <c r="K194" s="1957"/>
      <c r="L194" s="219"/>
      <c r="M194" s="190"/>
    </row>
    <row r="195" spans="1:13" s="168" customFormat="1" ht="15">
      <c r="A195" s="1942"/>
      <c r="B195" s="1942"/>
      <c r="C195" s="1942"/>
      <c r="D195" s="1955"/>
      <c r="E195" s="1946"/>
      <c r="F195" s="1971"/>
      <c r="G195" s="1869">
        <f>1159.2-175.33</f>
        <v>983.87</v>
      </c>
      <c r="H195" s="623">
        <v>45185</v>
      </c>
      <c r="I195" s="1861"/>
      <c r="J195" s="1850"/>
      <c r="K195" s="1845"/>
      <c r="L195" s="219"/>
      <c r="M195" s="190"/>
    </row>
    <row r="196" spans="1:13" s="168" customFormat="1" ht="15">
      <c r="A196" s="623">
        <v>45131</v>
      </c>
      <c r="B196" s="623" t="s">
        <v>2644</v>
      </c>
      <c r="C196" s="623" t="s">
        <v>4410</v>
      </c>
      <c r="D196" s="624" t="s">
        <v>5687</v>
      </c>
      <c r="E196" s="603">
        <v>18792.12</v>
      </c>
      <c r="F196" s="644">
        <v>0</v>
      </c>
      <c r="G196" s="606">
        <v>18792.12</v>
      </c>
      <c r="H196" s="623">
        <v>45191</v>
      </c>
      <c r="I196" s="1822"/>
      <c r="J196" s="1546"/>
      <c r="K196" s="1538"/>
      <c r="L196" s="219"/>
      <c r="M196" s="190"/>
    </row>
    <row r="197" spans="1:13" s="168" customFormat="1" ht="15">
      <c r="A197" s="623">
        <v>45141</v>
      </c>
      <c r="B197" s="623" t="s">
        <v>2644</v>
      </c>
      <c r="C197" s="623" t="s">
        <v>4410</v>
      </c>
      <c r="D197" s="624" t="s">
        <v>5822</v>
      </c>
      <c r="E197" s="603">
        <v>393.12</v>
      </c>
      <c r="F197" s="644">
        <v>0</v>
      </c>
      <c r="G197" s="606">
        <v>393.12</v>
      </c>
      <c r="H197" s="623">
        <v>45201</v>
      </c>
      <c r="I197" s="1822"/>
      <c r="J197" s="1546"/>
      <c r="K197" s="1538"/>
      <c r="L197" s="219"/>
      <c r="M197" s="190"/>
    </row>
    <row r="198" spans="1:13" s="168" customFormat="1" ht="15">
      <c r="A198" s="1679">
        <v>45142</v>
      </c>
      <c r="B198" s="1679" t="s">
        <v>2644</v>
      </c>
      <c r="C198" s="1679" t="s">
        <v>4410</v>
      </c>
      <c r="D198" s="1682" t="s">
        <v>5824</v>
      </c>
      <c r="E198" s="1689">
        <v>847.07</v>
      </c>
      <c r="F198" s="649">
        <v>0</v>
      </c>
      <c r="G198" s="631">
        <v>847.07</v>
      </c>
      <c r="H198" s="1679">
        <v>45202</v>
      </c>
      <c r="I198" s="718">
        <v>847.07</v>
      </c>
      <c r="J198" s="1679">
        <v>45174</v>
      </c>
      <c r="K198" s="1677" t="s">
        <v>6143</v>
      </c>
      <c r="L198" s="166" t="s">
        <v>6020</v>
      </c>
      <c r="M198" s="190"/>
    </row>
    <row r="199" spans="1:13" s="168" customFormat="1" ht="15">
      <c r="A199" s="623">
        <v>45173</v>
      </c>
      <c r="B199" s="623" t="s">
        <v>2644</v>
      </c>
      <c r="C199" s="623" t="s">
        <v>4410</v>
      </c>
      <c r="D199" s="624" t="s">
        <v>5999</v>
      </c>
      <c r="E199" s="603">
        <v>7213.92</v>
      </c>
      <c r="F199" s="644">
        <v>0</v>
      </c>
      <c r="G199" s="606">
        <v>7213.92</v>
      </c>
      <c r="H199" s="623">
        <v>45233</v>
      </c>
      <c r="I199" s="1585"/>
      <c r="J199" s="1578"/>
      <c r="K199" s="1577"/>
      <c r="L199" s="219"/>
      <c r="M199" s="190"/>
    </row>
    <row r="200" spans="1:13" s="168" customFormat="1" ht="15">
      <c r="A200" s="1718">
        <v>45176</v>
      </c>
      <c r="B200" s="1718" t="s">
        <v>2644</v>
      </c>
      <c r="C200" s="1718" t="s">
        <v>4410</v>
      </c>
      <c r="D200" s="1720" t="s">
        <v>6000</v>
      </c>
      <c r="E200" s="1724">
        <v>-4913.9399999999996</v>
      </c>
      <c r="F200" s="649">
        <v>0</v>
      </c>
      <c r="G200" s="631">
        <v>-4913.9399999999996</v>
      </c>
      <c r="H200" s="1718">
        <v>45177</v>
      </c>
      <c r="I200" s="2201">
        <v>0</v>
      </c>
      <c r="J200" s="1903">
        <v>45191</v>
      </c>
      <c r="K200" s="1935" t="s">
        <v>6144</v>
      </c>
      <c r="L200" s="166" t="s">
        <v>6001</v>
      </c>
      <c r="M200" s="190"/>
    </row>
    <row r="201" spans="1:13" s="168" customFormat="1" ht="15">
      <c r="A201" s="1718">
        <v>45191</v>
      </c>
      <c r="B201" s="1718" t="s">
        <v>2644</v>
      </c>
      <c r="C201" s="1718" t="s">
        <v>4410</v>
      </c>
      <c r="D201" s="1720" t="s">
        <v>6105</v>
      </c>
      <c r="E201" s="1724">
        <v>4913.9399999999996</v>
      </c>
      <c r="F201" s="649">
        <v>0</v>
      </c>
      <c r="G201" s="631">
        <v>4913.9399999999996</v>
      </c>
      <c r="H201" s="1718">
        <v>45192</v>
      </c>
      <c r="I201" s="2203"/>
      <c r="J201" s="1905"/>
      <c r="K201" s="1947"/>
      <c r="L201" s="166" t="s">
        <v>6106</v>
      </c>
      <c r="M201" s="190"/>
    </row>
    <row r="202" spans="1:13" s="168" customFormat="1" ht="15">
      <c r="A202" s="623">
        <v>45181</v>
      </c>
      <c r="B202" s="623" t="s">
        <v>2644</v>
      </c>
      <c r="C202" s="623" t="s">
        <v>4410</v>
      </c>
      <c r="D202" s="624" t="s">
        <v>6041</v>
      </c>
      <c r="E202" s="603">
        <v>1183</v>
      </c>
      <c r="F202" s="644">
        <v>0</v>
      </c>
      <c r="G202" s="606">
        <v>1183</v>
      </c>
      <c r="H202" s="623">
        <v>45240.000497685185</v>
      </c>
      <c r="I202" s="1822"/>
      <c r="J202" s="1578"/>
      <c r="K202" s="1577"/>
      <c r="L202" s="219"/>
      <c r="M202" s="190"/>
    </row>
    <row r="203" spans="1:13" s="168" customFormat="1" ht="15">
      <c r="A203" s="623">
        <v>45183</v>
      </c>
      <c r="B203" s="623" t="s">
        <v>2644</v>
      </c>
      <c r="C203" s="623" t="s">
        <v>4410</v>
      </c>
      <c r="D203" s="624" t="s">
        <v>6042</v>
      </c>
      <c r="E203" s="603">
        <v>404.32</v>
      </c>
      <c r="F203" s="644">
        <v>0</v>
      </c>
      <c r="G203" s="606">
        <v>404.32</v>
      </c>
      <c r="H203" s="623">
        <v>45242.000497685185</v>
      </c>
      <c r="I203" s="1822"/>
      <c r="J203" s="1578"/>
      <c r="K203" s="1577"/>
      <c r="L203" s="219"/>
      <c r="M203" s="190"/>
    </row>
    <row r="204" spans="1:13" s="168" customFormat="1" ht="15">
      <c r="A204" s="623">
        <v>45189</v>
      </c>
      <c r="B204" s="623" t="s">
        <v>2644</v>
      </c>
      <c r="C204" s="623" t="s">
        <v>4410</v>
      </c>
      <c r="D204" s="624" t="s">
        <v>6103</v>
      </c>
      <c r="E204" s="603">
        <v>864</v>
      </c>
      <c r="F204" s="644">
        <v>0</v>
      </c>
      <c r="G204" s="606">
        <v>864</v>
      </c>
      <c r="H204" s="623">
        <v>45248</v>
      </c>
      <c r="I204" s="1822"/>
      <c r="J204" s="1578"/>
      <c r="K204" s="1577"/>
      <c r="L204" s="219"/>
      <c r="M204" s="190"/>
    </row>
    <row r="205" spans="1:13" s="168" customFormat="1" ht="15">
      <c r="A205" s="623">
        <v>45195</v>
      </c>
      <c r="B205" s="623" t="s">
        <v>2644</v>
      </c>
      <c r="C205" s="623" t="s">
        <v>4410</v>
      </c>
      <c r="D205" s="624" t="s">
        <v>6208</v>
      </c>
      <c r="E205" s="603">
        <v>92.4</v>
      </c>
      <c r="F205" s="644">
        <v>0</v>
      </c>
      <c r="G205" s="606">
        <v>92.4</v>
      </c>
      <c r="H205" s="623">
        <v>45254</v>
      </c>
      <c r="I205" s="1822"/>
      <c r="J205" s="1733"/>
      <c r="K205" s="1731"/>
      <c r="L205" s="219"/>
      <c r="M205" s="190"/>
    </row>
    <row r="206" spans="1:13" s="168" customFormat="1" ht="15">
      <c r="A206" s="623">
        <v>45196</v>
      </c>
      <c r="B206" s="623" t="s">
        <v>2644</v>
      </c>
      <c r="C206" s="623" t="s">
        <v>4410</v>
      </c>
      <c r="D206" s="624" t="s">
        <v>6209</v>
      </c>
      <c r="E206" s="603">
        <v>7276.01</v>
      </c>
      <c r="F206" s="644">
        <v>0</v>
      </c>
      <c r="G206" s="606">
        <v>7276.01</v>
      </c>
      <c r="H206" s="623">
        <v>45255</v>
      </c>
      <c r="I206" s="1822"/>
      <c r="J206" s="1733"/>
      <c r="K206" s="1731"/>
      <c r="L206" s="219"/>
      <c r="M206" s="190"/>
    </row>
    <row r="207" spans="1:13" s="168" customFormat="1" ht="15">
      <c r="A207" s="623">
        <v>45201</v>
      </c>
      <c r="B207" s="623" t="s">
        <v>2644</v>
      </c>
      <c r="C207" s="623" t="s">
        <v>4410</v>
      </c>
      <c r="D207" s="624" t="s">
        <v>6210</v>
      </c>
      <c r="E207" s="603">
        <v>151.9</v>
      </c>
      <c r="F207" s="644">
        <v>0</v>
      </c>
      <c r="G207" s="606">
        <v>151.9</v>
      </c>
      <c r="H207" s="623">
        <v>45260</v>
      </c>
      <c r="I207" s="1822"/>
      <c r="J207" s="1733"/>
      <c r="K207" s="1731"/>
      <c r="L207" s="219"/>
      <c r="M207" s="190"/>
    </row>
    <row r="208" spans="1:13" s="168" customFormat="1" ht="15">
      <c r="A208" s="623">
        <v>45202</v>
      </c>
      <c r="B208" s="623" t="s">
        <v>2644</v>
      </c>
      <c r="C208" s="623" t="s">
        <v>4410</v>
      </c>
      <c r="D208" s="624" t="s">
        <v>6218</v>
      </c>
      <c r="E208" s="603">
        <v>-1286.77</v>
      </c>
      <c r="F208" s="644">
        <v>0</v>
      </c>
      <c r="G208" s="606">
        <v>-1286.78</v>
      </c>
      <c r="H208" s="623"/>
      <c r="I208" s="1822"/>
      <c r="J208" s="1733"/>
      <c r="K208" s="1731"/>
      <c r="L208" s="219"/>
      <c r="M208" s="190"/>
    </row>
    <row r="209" spans="1:13" s="168" customFormat="1" ht="15">
      <c r="A209" s="623">
        <v>45202</v>
      </c>
      <c r="B209" s="623" t="s">
        <v>2644</v>
      </c>
      <c r="C209" s="623" t="s">
        <v>4410</v>
      </c>
      <c r="D209" s="624" t="s">
        <v>6219</v>
      </c>
      <c r="E209" s="603">
        <v>-291.83</v>
      </c>
      <c r="F209" s="644">
        <v>0</v>
      </c>
      <c r="G209" s="606">
        <v>-291.83</v>
      </c>
      <c r="H209" s="623"/>
      <c r="I209" s="1822"/>
      <c r="J209" s="1733"/>
      <c r="K209" s="1731"/>
      <c r="L209" s="219"/>
      <c r="M209" s="190"/>
    </row>
    <row r="210" spans="1:13" s="168" customFormat="1" ht="15">
      <c r="A210" s="623">
        <v>45202</v>
      </c>
      <c r="B210" s="623" t="s">
        <v>2644</v>
      </c>
      <c r="C210" s="623" t="s">
        <v>4410</v>
      </c>
      <c r="D210" s="624" t="s">
        <v>6220</v>
      </c>
      <c r="E210" s="603">
        <v>-856.38</v>
      </c>
      <c r="F210" s="644">
        <v>0</v>
      </c>
      <c r="G210" s="606">
        <v>-856.38</v>
      </c>
      <c r="H210" s="623"/>
      <c r="I210" s="1822"/>
      <c r="J210" s="1733"/>
      <c r="K210" s="1731"/>
      <c r="L210" s="219"/>
      <c r="M210" s="190"/>
    </row>
    <row r="211" spans="1:13" s="168" customFormat="1" ht="15">
      <c r="A211" s="623">
        <v>45202</v>
      </c>
      <c r="B211" s="623" t="s">
        <v>2644</v>
      </c>
      <c r="C211" s="623" t="s">
        <v>4410</v>
      </c>
      <c r="D211" s="624" t="s">
        <v>6221</v>
      </c>
      <c r="E211" s="603">
        <v>-1260.8399999999999</v>
      </c>
      <c r="F211" s="644">
        <v>0</v>
      </c>
      <c r="G211" s="606">
        <v>-1260.8399999999999</v>
      </c>
      <c r="H211" s="623"/>
      <c r="I211" s="1822"/>
      <c r="J211" s="1733"/>
      <c r="K211" s="1731"/>
      <c r="L211" s="219"/>
      <c r="M211" s="190"/>
    </row>
    <row r="212" spans="1:13" s="168" customFormat="1" ht="15">
      <c r="A212" s="623">
        <v>45202</v>
      </c>
      <c r="B212" s="623" t="s">
        <v>2644</v>
      </c>
      <c r="C212" s="623" t="s">
        <v>4410</v>
      </c>
      <c r="D212" s="624" t="s">
        <v>6222</v>
      </c>
      <c r="E212" s="603">
        <v>-426.38</v>
      </c>
      <c r="F212" s="644">
        <v>0</v>
      </c>
      <c r="G212" s="606">
        <v>-426.38</v>
      </c>
      <c r="H212" s="623"/>
      <c r="I212" s="1822"/>
      <c r="J212" s="1733"/>
      <c r="K212" s="1731"/>
      <c r="L212" s="219"/>
      <c r="M212" s="190"/>
    </row>
    <row r="213" spans="1:13" s="168" customFormat="1" ht="15">
      <c r="A213" s="623">
        <v>45210</v>
      </c>
      <c r="B213" s="623" t="s">
        <v>2644</v>
      </c>
      <c r="C213" s="623" t="s">
        <v>4410</v>
      </c>
      <c r="D213" s="624" t="s">
        <v>6321</v>
      </c>
      <c r="E213" s="603">
        <v>1219.24</v>
      </c>
      <c r="F213" s="644">
        <v>0</v>
      </c>
      <c r="G213" s="606">
        <v>1219.24</v>
      </c>
      <c r="H213" s="623">
        <v>45299</v>
      </c>
      <c r="I213" s="1822"/>
      <c r="J213" s="1765"/>
      <c r="K213" s="1763"/>
      <c r="L213" s="219"/>
      <c r="M213" s="190"/>
    </row>
    <row r="214" spans="1:13" s="168" customFormat="1" ht="15">
      <c r="A214" s="623">
        <v>45212</v>
      </c>
      <c r="B214" s="623" t="s">
        <v>2644</v>
      </c>
      <c r="C214" s="623" t="s">
        <v>4410</v>
      </c>
      <c r="D214" s="624" t="s">
        <v>6322</v>
      </c>
      <c r="E214" s="603">
        <v>7966.84</v>
      </c>
      <c r="F214" s="644">
        <v>0</v>
      </c>
      <c r="G214" s="606">
        <v>7966.84</v>
      </c>
      <c r="H214" s="623">
        <v>45271</v>
      </c>
      <c r="I214" s="1822"/>
      <c r="J214" s="1765"/>
      <c r="K214" s="1763"/>
      <c r="L214" s="219"/>
      <c r="M214" s="190"/>
    </row>
    <row r="215" spans="1:13" s="168" customFormat="1" ht="15">
      <c r="A215" s="623">
        <v>45216.333831018521</v>
      </c>
      <c r="B215" s="623" t="s">
        <v>2644</v>
      </c>
      <c r="C215" s="623" t="s">
        <v>4410</v>
      </c>
      <c r="D215" s="624" t="s">
        <v>6365</v>
      </c>
      <c r="E215" s="603">
        <v>556.5</v>
      </c>
      <c r="F215" s="644">
        <v>0</v>
      </c>
      <c r="G215" s="606">
        <v>556.5</v>
      </c>
      <c r="H215" s="623">
        <v>45275.333831018521</v>
      </c>
      <c r="I215" s="1822"/>
      <c r="J215" s="1765"/>
      <c r="K215" s="1763"/>
      <c r="L215" s="219"/>
      <c r="M215" s="190"/>
    </row>
    <row r="216" spans="1:13" s="168" customFormat="1" ht="15">
      <c r="A216" s="623">
        <v>45216.333831018521</v>
      </c>
      <c r="B216" s="623" t="s">
        <v>2644</v>
      </c>
      <c r="C216" s="623" t="s">
        <v>4410</v>
      </c>
      <c r="D216" s="624" t="s">
        <v>6366</v>
      </c>
      <c r="E216" s="603">
        <v>187.6</v>
      </c>
      <c r="F216" s="644">
        <v>0</v>
      </c>
      <c r="G216" s="606">
        <v>187.6</v>
      </c>
      <c r="H216" s="623">
        <v>45275.333831018521</v>
      </c>
      <c r="I216" s="1822"/>
      <c r="J216" s="1765"/>
      <c r="K216" s="1763"/>
      <c r="L216" s="219"/>
      <c r="M216" s="190"/>
    </row>
    <row r="217" spans="1:13" s="168" customFormat="1" ht="15">
      <c r="A217" s="623">
        <v>45225</v>
      </c>
      <c r="B217" s="623" t="s">
        <v>2644</v>
      </c>
      <c r="C217" s="623" t="s">
        <v>4410</v>
      </c>
      <c r="D217" s="624" t="s">
        <v>6421</v>
      </c>
      <c r="E217" s="603">
        <v>463.68</v>
      </c>
      <c r="F217" s="644">
        <v>0</v>
      </c>
      <c r="G217" s="606">
        <v>463.68</v>
      </c>
      <c r="H217" s="623">
        <v>45284</v>
      </c>
      <c r="I217" s="1822"/>
      <c r="J217" s="1765"/>
      <c r="K217" s="1763"/>
      <c r="L217" s="219"/>
      <c r="M217" s="190"/>
    </row>
    <row r="218" spans="1:13" s="168" customFormat="1" ht="15">
      <c r="A218" s="623">
        <v>45232</v>
      </c>
      <c r="B218" s="623" t="s">
        <v>2644</v>
      </c>
      <c r="C218" s="623" t="s">
        <v>4410</v>
      </c>
      <c r="D218" s="624" t="s">
        <v>6481</v>
      </c>
      <c r="E218" s="603">
        <v>1781.94</v>
      </c>
      <c r="F218" s="644">
        <v>0</v>
      </c>
      <c r="G218" s="606">
        <v>1781.94</v>
      </c>
      <c r="H218" s="623">
        <v>45292</v>
      </c>
      <c r="I218" s="1822"/>
      <c r="J218" s="1765"/>
      <c r="K218" s="1763"/>
      <c r="L218" s="219"/>
      <c r="M218" s="190"/>
    </row>
    <row r="219" spans="1:13" s="168" customFormat="1" ht="15">
      <c r="A219" s="623">
        <v>45247</v>
      </c>
      <c r="B219" s="623" t="s">
        <v>2644</v>
      </c>
      <c r="C219" s="623" t="s">
        <v>4410</v>
      </c>
      <c r="D219" s="624" t="s">
        <v>6569</v>
      </c>
      <c r="E219" s="603">
        <v>5695.15</v>
      </c>
      <c r="F219" s="644">
        <v>0</v>
      </c>
      <c r="G219" s="606">
        <v>5695.15</v>
      </c>
      <c r="H219" s="623">
        <v>45307</v>
      </c>
      <c r="I219" s="1770"/>
      <c r="J219" s="1765"/>
      <c r="K219" s="1763"/>
      <c r="L219" s="219"/>
      <c r="M219" s="190"/>
    </row>
    <row r="220" spans="1:13" s="168" customFormat="1" ht="15">
      <c r="A220" s="623"/>
      <c r="B220" s="623"/>
      <c r="C220" s="623"/>
      <c r="D220" s="624"/>
      <c r="E220" s="603"/>
      <c r="F220" s="644"/>
      <c r="G220" s="606"/>
      <c r="H220" s="623"/>
      <c r="I220" s="1770"/>
      <c r="J220" s="1765"/>
      <c r="K220" s="1763"/>
      <c r="L220" s="219"/>
      <c r="M220" s="190"/>
    </row>
    <row r="221" spans="1:13" s="168" customFormat="1" ht="15">
      <c r="A221" s="623"/>
      <c r="B221" s="623"/>
      <c r="C221" s="623"/>
      <c r="D221" s="624"/>
      <c r="E221" s="603"/>
      <c r="F221" s="644"/>
      <c r="G221" s="606"/>
      <c r="H221" s="623"/>
      <c r="I221" s="1770"/>
      <c r="J221" s="1765"/>
      <c r="K221" s="1763"/>
      <c r="L221" s="219"/>
      <c r="M221" s="190"/>
    </row>
    <row r="222" spans="1:13" s="168" customFormat="1" ht="15">
      <c r="A222" s="623"/>
      <c r="B222" s="623"/>
      <c r="C222" s="623"/>
      <c r="D222" s="624"/>
      <c r="E222" s="603"/>
      <c r="F222" s="644"/>
      <c r="G222" s="606"/>
      <c r="H222" s="623"/>
      <c r="I222" s="1770"/>
      <c r="J222" s="1765"/>
      <c r="K222" s="1763"/>
      <c r="L222" s="219"/>
      <c r="M222" s="190"/>
    </row>
    <row r="223" spans="1:13" s="168" customFormat="1" ht="15">
      <c r="A223" s="623"/>
      <c r="B223" s="623"/>
      <c r="C223" s="623"/>
      <c r="D223" s="624"/>
      <c r="E223" s="603"/>
      <c r="F223" s="644"/>
      <c r="G223" s="606"/>
      <c r="H223" s="623"/>
      <c r="I223" s="1770"/>
      <c r="J223" s="1765"/>
      <c r="K223" s="1763"/>
      <c r="L223" s="219"/>
      <c r="M223" s="190"/>
    </row>
    <row r="224" spans="1:13" s="168" customFormat="1" ht="15">
      <c r="A224" s="623"/>
      <c r="B224" s="623"/>
      <c r="C224" s="623"/>
      <c r="D224" s="624"/>
      <c r="E224" s="603"/>
      <c r="F224" s="644"/>
      <c r="G224" s="606"/>
      <c r="H224" s="623"/>
      <c r="I224" s="1770"/>
      <c r="J224" s="1765"/>
      <c r="K224" s="1763"/>
      <c r="L224" s="219"/>
      <c r="M224" s="190"/>
    </row>
    <row r="225" spans="1:13" s="168" customFormat="1" ht="15">
      <c r="A225" s="623"/>
      <c r="B225" s="623"/>
      <c r="C225" s="623"/>
      <c r="D225" s="624"/>
      <c r="E225" s="603"/>
      <c r="F225" s="644"/>
      <c r="G225" s="606"/>
      <c r="H225" s="623"/>
      <c r="I225" s="1585"/>
      <c r="J225" s="1578"/>
      <c r="K225" s="1577"/>
      <c r="L225" s="219"/>
      <c r="M225" s="190"/>
    </row>
    <row r="226" spans="1:13" s="168" customFormat="1" ht="15">
      <c r="A226" s="623"/>
      <c r="B226" s="623"/>
      <c r="C226" s="623"/>
      <c r="D226" s="624"/>
      <c r="E226" s="603"/>
      <c r="F226" s="644"/>
      <c r="G226" s="606"/>
      <c r="H226" s="623"/>
      <c r="I226" s="1299"/>
      <c r="J226" s="1289"/>
      <c r="K226" s="1288"/>
      <c r="L226" s="219"/>
      <c r="M226" s="190"/>
    </row>
    <row r="227" spans="1:13" s="168" customFormat="1" ht="15">
      <c r="A227" s="623"/>
      <c r="B227" s="623"/>
      <c r="C227" s="623"/>
      <c r="D227" s="624"/>
      <c r="E227" s="603"/>
      <c r="F227" s="644"/>
      <c r="G227" s="606"/>
      <c r="H227" s="623"/>
      <c r="I227" s="1072"/>
      <c r="J227" s="1061"/>
      <c r="K227" s="1059"/>
      <c r="L227" s="219"/>
      <c r="M227" s="190"/>
    </row>
    <row r="228" spans="1:13" s="168" customFormat="1" ht="15">
      <c r="A228" s="623"/>
      <c r="B228" s="623"/>
      <c r="C228" s="623"/>
      <c r="D228" s="624"/>
      <c r="E228" s="603"/>
      <c r="F228" s="644"/>
      <c r="G228" s="606"/>
      <c r="H228" s="623"/>
      <c r="I228" s="680"/>
      <c r="J228" s="620"/>
      <c r="K228" s="538"/>
      <c r="L228" s="226"/>
      <c r="M228" s="190"/>
    </row>
    <row r="229" spans="1:13" ht="15">
      <c r="A229" s="685"/>
      <c r="B229" s="685"/>
      <c r="C229" s="685"/>
      <c r="D229" s="684"/>
      <c r="E229" s="684"/>
      <c r="F229" s="1144" t="s">
        <v>545</v>
      </c>
      <c r="G229" s="625">
        <f>SUM(G54:G228)-SUM(I54:I228)</f>
        <v>66340.089999999967</v>
      </c>
      <c r="H229" s="634"/>
      <c r="I229" s="680"/>
      <c r="J229" s="620"/>
      <c r="K229" s="364"/>
      <c r="L229" s="226"/>
    </row>
    <row r="231" spans="1:13">
      <c r="G231" s="1184" t="s">
        <v>4199</v>
      </c>
      <c r="H231" s="1184" t="s">
        <v>4014</v>
      </c>
    </row>
    <row r="232" spans="1:13" ht="15">
      <c r="G232" s="1182">
        <v>15236.69</v>
      </c>
      <c r="H232" s="1183">
        <v>45247</v>
      </c>
    </row>
    <row r="233" spans="1:13">
      <c r="G233" s="168"/>
    </row>
    <row r="234" spans="1:13">
      <c r="G234" s="168"/>
    </row>
    <row r="235" spans="1:13">
      <c r="G235" s="168"/>
    </row>
  </sheetData>
  <mergeCells count="176">
    <mergeCell ref="A194:A195"/>
    <mergeCell ref="B194:B195"/>
    <mergeCell ref="C194:C195"/>
    <mergeCell ref="D194:D195"/>
    <mergeCell ref="E194:E195"/>
    <mergeCell ref="F194:F195"/>
    <mergeCell ref="K187:K194"/>
    <mergeCell ref="J187:J194"/>
    <mergeCell ref="I187:I194"/>
    <mergeCell ref="A186:A187"/>
    <mergeCell ref="B186:B187"/>
    <mergeCell ref="C186:C187"/>
    <mergeCell ref="D186:D187"/>
    <mergeCell ref="E186:E187"/>
    <mergeCell ref="F186:F187"/>
    <mergeCell ref="I164:I186"/>
    <mergeCell ref="K164:K186"/>
    <mergeCell ref="J164:J186"/>
    <mergeCell ref="A162:A164"/>
    <mergeCell ref="B162:B164"/>
    <mergeCell ref="C162:C164"/>
    <mergeCell ref="D162:D164"/>
    <mergeCell ref="E162:E164"/>
    <mergeCell ref="F162:F164"/>
    <mergeCell ref="K157:K162"/>
    <mergeCell ref="J157:J162"/>
    <mergeCell ref="I157:I162"/>
    <mergeCell ref="K200:K201"/>
    <mergeCell ref="J200:J201"/>
    <mergeCell ref="I200:I201"/>
    <mergeCell ref="D125:D126"/>
    <mergeCell ref="C125:C126"/>
    <mergeCell ref="B125:B126"/>
    <mergeCell ref="B120:B121"/>
    <mergeCell ref="C120:C121"/>
    <mergeCell ref="A120:A121"/>
    <mergeCell ref="K117:K120"/>
    <mergeCell ref="J117:J120"/>
    <mergeCell ref="F120:F121"/>
    <mergeCell ref="E120:E121"/>
    <mergeCell ref="D120:D121"/>
    <mergeCell ref="I117:I120"/>
    <mergeCell ref="K126:K132"/>
    <mergeCell ref="J126:J132"/>
    <mergeCell ref="I126:I132"/>
    <mergeCell ref="A125:A126"/>
    <mergeCell ref="I121:I125"/>
    <mergeCell ref="J121:J125"/>
    <mergeCell ref="K121:K125"/>
    <mergeCell ref="F125:F126"/>
    <mergeCell ref="E125:E126"/>
    <mergeCell ref="J83:J85"/>
    <mergeCell ref="I83:I85"/>
    <mergeCell ref="E67:E69"/>
    <mergeCell ref="I69:I73"/>
    <mergeCell ref="K69:K73"/>
    <mergeCell ref="J69:J73"/>
    <mergeCell ref="F79:F80"/>
    <mergeCell ref="F73:F74"/>
    <mergeCell ref="F67:F69"/>
    <mergeCell ref="L2:L3"/>
    <mergeCell ref="I2:I3"/>
    <mergeCell ref="I4:I11"/>
    <mergeCell ref="I12:I15"/>
    <mergeCell ref="I16:I23"/>
    <mergeCell ref="K2:K3"/>
    <mergeCell ref="K4:K11"/>
    <mergeCell ref="K12:K15"/>
    <mergeCell ref="K16:K23"/>
    <mergeCell ref="J2:J3"/>
    <mergeCell ref="J4:J11"/>
    <mergeCell ref="J12:J15"/>
    <mergeCell ref="J16:J23"/>
    <mergeCell ref="L69:L73"/>
    <mergeCell ref="L77:L79"/>
    <mergeCell ref="I63:I67"/>
    <mergeCell ref="K63:K67"/>
    <mergeCell ref="J63:J67"/>
    <mergeCell ref="L63:L67"/>
    <mergeCell ref="I77:I79"/>
    <mergeCell ref="J77:J79"/>
    <mergeCell ref="K77:K79"/>
    <mergeCell ref="I74:I76"/>
    <mergeCell ref="K74:K76"/>
    <mergeCell ref="J74:J76"/>
    <mergeCell ref="L74:L76"/>
    <mergeCell ref="B112:B113"/>
    <mergeCell ref="C112:C113"/>
    <mergeCell ref="F85:F86"/>
    <mergeCell ref="E85:E86"/>
    <mergeCell ref="E73:E74"/>
    <mergeCell ref="K35:K49"/>
    <mergeCell ref="J35:J49"/>
    <mergeCell ref="K26:K32"/>
    <mergeCell ref="I26:I32"/>
    <mergeCell ref="I55:I62"/>
    <mergeCell ref="J55:J62"/>
    <mergeCell ref="K55:K62"/>
    <mergeCell ref="J26:J32"/>
    <mergeCell ref="I35:I49"/>
    <mergeCell ref="B79:B80"/>
    <mergeCell ref="C79:C80"/>
    <mergeCell ref="C67:C69"/>
    <mergeCell ref="D67:D69"/>
    <mergeCell ref="E79:E80"/>
    <mergeCell ref="D73:D74"/>
    <mergeCell ref="K86:K112"/>
    <mergeCell ref="J86:J112"/>
    <mergeCell ref="I86:I112"/>
    <mergeCell ref="K83:K85"/>
    <mergeCell ref="A67:A69"/>
    <mergeCell ref="B67:B69"/>
    <mergeCell ref="C73:C74"/>
    <mergeCell ref="B73:B74"/>
    <mergeCell ref="A115:A116"/>
    <mergeCell ref="K113:K115"/>
    <mergeCell ref="J113:J115"/>
    <mergeCell ref="I113:I115"/>
    <mergeCell ref="F115:F116"/>
    <mergeCell ref="E115:E116"/>
    <mergeCell ref="D115:D116"/>
    <mergeCell ref="C115:C116"/>
    <mergeCell ref="B115:B116"/>
    <mergeCell ref="A73:A74"/>
    <mergeCell ref="F112:F113"/>
    <mergeCell ref="E112:E113"/>
    <mergeCell ref="D112:D113"/>
    <mergeCell ref="A112:A113"/>
    <mergeCell ref="D85:D86"/>
    <mergeCell ref="A85:A86"/>
    <mergeCell ref="D79:D80"/>
    <mergeCell ref="A79:A80"/>
    <mergeCell ref="C85:C86"/>
    <mergeCell ref="B85:B86"/>
    <mergeCell ref="K146:K156"/>
    <mergeCell ref="J146:J156"/>
    <mergeCell ref="I146:I156"/>
    <mergeCell ref="F156:F157"/>
    <mergeCell ref="E156:E157"/>
    <mergeCell ref="D156:D157"/>
    <mergeCell ref="C156:C157"/>
    <mergeCell ref="B156:B157"/>
    <mergeCell ref="A156:A157"/>
    <mergeCell ref="F145:F146"/>
    <mergeCell ref="E145:E146"/>
    <mergeCell ref="D145:D146"/>
    <mergeCell ref="C145:C146"/>
    <mergeCell ref="B145:B146"/>
    <mergeCell ref="A145:A146"/>
    <mergeCell ref="K141:K145"/>
    <mergeCell ref="J141:J145"/>
    <mergeCell ref="I141:I145"/>
    <mergeCell ref="A140:A141"/>
    <mergeCell ref="B140:B141"/>
    <mergeCell ref="C140:C141"/>
    <mergeCell ref="D140:D141"/>
    <mergeCell ref="E140:E141"/>
    <mergeCell ref="F140:F141"/>
    <mergeCell ref="K139:K140"/>
    <mergeCell ref="J139:J140"/>
    <mergeCell ref="I139:I140"/>
    <mergeCell ref="A138:A139"/>
    <mergeCell ref="B138:B139"/>
    <mergeCell ref="C138:C139"/>
    <mergeCell ref="D138:D139"/>
    <mergeCell ref="E138:E139"/>
    <mergeCell ref="F138:F139"/>
    <mergeCell ref="K133:K138"/>
    <mergeCell ref="J133:J138"/>
    <mergeCell ref="I133:I138"/>
    <mergeCell ref="E132:E133"/>
    <mergeCell ref="D132:D133"/>
    <mergeCell ref="C132:C133"/>
    <mergeCell ref="B132:B133"/>
    <mergeCell ref="A132:A133"/>
    <mergeCell ref="F132:F133"/>
  </mergeCells>
  <phoneticPr fontId="15" type="noConversion"/>
  <hyperlinks>
    <hyperlink ref="F229" location="汇总!A1" display="剩余欠款"/>
  </hyperlink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O279"/>
  <sheetViews>
    <sheetView zoomScaleSheetLayoutView="100" workbookViewId="0">
      <pane ySplit="1" topLeftCell="A245" activePane="bottomLeft" state="frozen"/>
      <selection activeCell="C33" sqref="C33"/>
      <selection pane="bottomLeft" activeCell="F272" sqref="F272"/>
    </sheetView>
  </sheetViews>
  <sheetFormatPr defaultRowHeight="14.25"/>
  <cols>
    <col min="1" max="1" width="13" style="289" customWidth="1"/>
    <col min="2" max="2" width="8.875" style="289" bestFit="1" customWidth="1"/>
    <col min="3" max="3" width="38" style="289" customWidth="1"/>
    <col min="4" max="4" width="18.375" style="289" bestFit="1" customWidth="1"/>
    <col min="5" max="5" width="17.25" style="289" bestFit="1" customWidth="1"/>
    <col min="6" max="6" width="11.5" style="289" customWidth="1"/>
    <col min="7" max="7" width="18.375" style="312" bestFit="1" customWidth="1"/>
    <col min="8" max="8" width="16.625" style="123" bestFit="1" customWidth="1"/>
    <col min="9" max="9" width="15" style="123" bestFit="1" customWidth="1"/>
    <col min="10" max="10" width="16.125" style="313" bestFit="1" customWidth="1"/>
    <col min="11" max="11" width="28.25" style="289" bestFit="1" customWidth="1"/>
    <col min="12" max="12" width="30.375" style="123" customWidth="1"/>
    <col min="13" max="14" width="9.75" style="123" customWidth="1"/>
    <col min="15" max="15" width="8" style="123" customWidth="1"/>
    <col min="16" max="16384" width="9" style="123"/>
  </cols>
  <sheetData>
    <row r="1" spans="1:15" s="96" customFormat="1" ht="18.75">
      <c r="A1" s="255" t="s">
        <v>4005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7" t="s">
        <v>2721</v>
      </c>
      <c r="H1" s="257" t="s">
        <v>4099</v>
      </c>
      <c r="I1" s="257" t="s">
        <v>3043</v>
      </c>
      <c r="J1" s="257" t="s">
        <v>4100</v>
      </c>
      <c r="K1" s="257" t="s">
        <v>541</v>
      </c>
      <c r="L1" s="257" t="s">
        <v>542</v>
      </c>
    </row>
    <row r="2" spans="1:15" hidden="1">
      <c r="A2" s="940">
        <v>43508</v>
      </c>
      <c r="B2" s="1136"/>
      <c r="C2" s="1803"/>
      <c r="D2" s="939" t="s">
        <v>293</v>
      </c>
      <c r="E2" s="939"/>
      <c r="F2" s="939"/>
      <c r="G2" s="960">
        <v>5610.33</v>
      </c>
      <c r="H2" s="939"/>
      <c r="I2" s="941">
        <v>4000</v>
      </c>
      <c r="J2" s="940" t="s">
        <v>1055</v>
      </c>
      <c r="K2" s="943" t="s">
        <v>458</v>
      </c>
      <c r="L2" s="961" t="s">
        <v>1056</v>
      </c>
      <c r="M2" s="281"/>
      <c r="N2" s="281"/>
      <c r="O2" s="281"/>
    </row>
    <row r="3" spans="1:15" hidden="1">
      <c r="A3" s="940"/>
      <c r="B3" s="1136"/>
      <c r="C3" s="1803"/>
      <c r="D3" s="318" t="s">
        <v>545</v>
      </c>
      <c r="E3" s="318"/>
      <c r="F3" s="318"/>
      <c r="G3" s="960">
        <f>SUM(G2:G2)-I2</f>
        <v>1610.33</v>
      </c>
      <c r="H3" s="939"/>
      <c r="I3" s="2229">
        <v>2800</v>
      </c>
      <c r="J3" s="2230" t="s">
        <v>1057</v>
      </c>
      <c r="K3" s="2231" t="s">
        <v>1058</v>
      </c>
      <c r="L3" s="961"/>
      <c r="M3" s="281"/>
      <c r="N3" s="281"/>
      <c r="O3" s="281"/>
    </row>
    <row r="4" spans="1:15" hidden="1">
      <c r="A4" s="940">
        <v>43508</v>
      </c>
      <c r="B4" s="1136"/>
      <c r="C4" s="1803"/>
      <c r="D4" s="939" t="s">
        <v>294</v>
      </c>
      <c r="E4" s="939"/>
      <c r="F4" s="939"/>
      <c r="G4" s="960">
        <v>5610.33</v>
      </c>
      <c r="H4" s="939"/>
      <c r="I4" s="2229"/>
      <c r="J4" s="2230"/>
      <c r="K4" s="2231"/>
      <c r="L4" s="938" t="s">
        <v>1059</v>
      </c>
      <c r="M4" s="281"/>
      <c r="N4" s="281"/>
      <c r="O4" s="281"/>
    </row>
    <row r="5" spans="1:15" hidden="1">
      <c r="A5" s="940"/>
      <c r="B5" s="1136"/>
      <c r="C5" s="1803"/>
      <c r="D5" s="318" t="s">
        <v>545</v>
      </c>
      <c r="E5" s="318"/>
      <c r="F5" s="318"/>
      <c r="G5" s="960">
        <f t="shared" ref="G5:G10" si="0">SUM(G3:G4)-I3</f>
        <v>4420.66</v>
      </c>
      <c r="H5" s="939"/>
      <c r="I5" s="941">
        <v>3766</v>
      </c>
      <c r="J5" s="940" t="s">
        <v>1060</v>
      </c>
      <c r="K5" s="943" t="s">
        <v>458</v>
      </c>
      <c r="L5" s="938"/>
      <c r="M5" s="281"/>
      <c r="N5" s="281"/>
      <c r="O5" s="281"/>
    </row>
    <row r="6" spans="1:15" hidden="1">
      <c r="A6" s="940"/>
      <c r="B6" s="1136"/>
      <c r="C6" s="1803"/>
      <c r="D6" s="318" t="s">
        <v>545</v>
      </c>
      <c r="E6" s="318"/>
      <c r="F6" s="318"/>
      <c r="G6" s="960">
        <f>SUM(G5:G5)-I5</f>
        <v>654.65999999999985</v>
      </c>
      <c r="H6" s="939"/>
      <c r="I6" s="2229">
        <v>2810.33</v>
      </c>
      <c r="J6" s="2230" t="s">
        <v>1061</v>
      </c>
      <c r="K6" s="2231" t="s">
        <v>1058</v>
      </c>
      <c r="L6" s="938"/>
      <c r="M6" s="281"/>
      <c r="N6" s="281"/>
      <c r="O6" s="281"/>
    </row>
    <row r="7" spans="1:15" hidden="1">
      <c r="A7" s="940">
        <v>43524</v>
      </c>
      <c r="B7" s="1136"/>
      <c r="C7" s="1803"/>
      <c r="D7" s="939" t="s">
        <v>295</v>
      </c>
      <c r="E7" s="939"/>
      <c r="F7" s="939"/>
      <c r="G7" s="960">
        <v>3294.55</v>
      </c>
      <c r="H7" s="939"/>
      <c r="I7" s="2229"/>
      <c r="J7" s="2230"/>
      <c r="K7" s="2231"/>
      <c r="L7" s="938" t="s">
        <v>1062</v>
      </c>
      <c r="M7" s="281"/>
      <c r="N7" s="281">
        <v>2427.71</v>
      </c>
      <c r="O7" s="281"/>
    </row>
    <row r="8" spans="1:15" hidden="1">
      <c r="A8" s="940"/>
      <c r="B8" s="1136"/>
      <c r="C8" s="1803"/>
      <c r="D8" s="318" t="s">
        <v>545</v>
      </c>
      <c r="E8" s="318"/>
      <c r="F8" s="318"/>
      <c r="G8" s="960">
        <f t="shared" si="0"/>
        <v>1138.8800000000001</v>
      </c>
      <c r="H8" s="939"/>
      <c r="I8" s="2229">
        <v>4000</v>
      </c>
      <c r="J8" s="2232" t="s">
        <v>1063</v>
      </c>
      <c r="K8" s="2231" t="s">
        <v>458</v>
      </c>
      <c r="L8" s="938"/>
      <c r="M8" s="281"/>
      <c r="N8" s="281">
        <v>3294.55</v>
      </c>
      <c r="O8" s="281"/>
    </row>
    <row r="9" spans="1:15" hidden="1">
      <c r="A9" s="940">
        <v>43524</v>
      </c>
      <c r="B9" s="1136"/>
      <c r="C9" s="1803"/>
      <c r="D9" s="939" t="s">
        <v>296</v>
      </c>
      <c r="E9" s="939"/>
      <c r="F9" s="939"/>
      <c r="G9" s="960">
        <v>3294.55</v>
      </c>
      <c r="H9" s="939"/>
      <c r="I9" s="2229"/>
      <c r="J9" s="2232"/>
      <c r="K9" s="2231"/>
      <c r="L9" s="938"/>
      <c r="M9" s="281"/>
      <c r="N9" s="281">
        <v>2681.45</v>
      </c>
      <c r="O9" s="281"/>
    </row>
    <row r="10" spans="1:15" hidden="1">
      <c r="A10" s="318"/>
      <c r="B10" s="318"/>
      <c r="C10" s="318"/>
      <c r="D10" s="318" t="s">
        <v>545</v>
      </c>
      <c r="E10" s="318"/>
      <c r="F10" s="318"/>
      <c r="G10" s="960">
        <f t="shared" si="0"/>
        <v>433.43000000000029</v>
      </c>
      <c r="H10" s="939"/>
      <c r="I10" s="2235">
        <v>2681.45</v>
      </c>
      <c r="J10" s="2232" t="s">
        <v>1064</v>
      </c>
      <c r="K10" s="2231" t="s">
        <v>1065</v>
      </c>
      <c r="L10" s="2237" t="s">
        <v>1066</v>
      </c>
      <c r="M10" s="281"/>
      <c r="N10" s="281"/>
      <c r="O10" s="281"/>
    </row>
    <row r="11" spans="1:15" hidden="1">
      <c r="A11" s="939" t="s">
        <v>1067</v>
      </c>
      <c r="B11" s="1135"/>
      <c r="C11" s="1804"/>
      <c r="D11" s="939" t="s">
        <v>298</v>
      </c>
      <c r="E11" s="939"/>
      <c r="F11" s="939"/>
      <c r="G11" s="960"/>
      <c r="H11" s="939"/>
      <c r="I11" s="2235"/>
      <c r="J11" s="2232"/>
      <c r="K11" s="2231"/>
      <c r="L11" s="2237"/>
      <c r="M11" s="281"/>
      <c r="N11" s="281"/>
      <c r="O11" s="281"/>
    </row>
    <row r="12" spans="1:15" hidden="1">
      <c r="A12" s="940">
        <v>43539</v>
      </c>
      <c r="B12" s="1136"/>
      <c r="C12" s="1803"/>
      <c r="D12" s="939" t="s">
        <v>299</v>
      </c>
      <c r="E12" s="939"/>
      <c r="F12" s="939"/>
      <c r="G12" s="960">
        <v>2426.87</v>
      </c>
      <c r="H12" s="939"/>
      <c r="I12" s="2235"/>
      <c r="J12" s="2232"/>
      <c r="K12" s="2231"/>
      <c r="L12" s="2237"/>
      <c r="M12" s="281"/>
      <c r="N12" s="281"/>
      <c r="O12" s="281"/>
    </row>
    <row r="13" spans="1:15" hidden="1">
      <c r="A13" s="940"/>
      <c r="B13" s="1136"/>
      <c r="C13" s="1803"/>
      <c r="D13" s="318" t="s">
        <v>545</v>
      </c>
      <c r="E13" s="318"/>
      <c r="F13" s="318"/>
      <c r="G13" s="960">
        <f>SUM(G10:G12)-I10</f>
        <v>178.85000000000036</v>
      </c>
      <c r="H13" s="939"/>
      <c r="I13" s="2229">
        <v>3294.55</v>
      </c>
      <c r="J13" s="2230" t="s">
        <v>1068</v>
      </c>
      <c r="K13" s="2231" t="s">
        <v>1058</v>
      </c>
      <c r="L13" s="2237" t="s">
        <v>740</v>
      </c>
      <c r="M13" s="281"/>
      <c r="N13" s="281"/>
      <c r="O13" s="281"/>
    </row>
    <row r="14" spans="1:15" hidden="1">
      <c r="A14" s="940">
        <v>43539</v>
      </c>
      <c r="B14" s="1136"/>
      <c r="C14" s="1803"/>
      <c r="D14" s="939" t="s">
        <v>300</v>
      </c>
      <c r="E14" s="939"/>
      <c r="F14" s="939"/>
      <c r="G14" s="960">
        <v>2427.71</v>
      </c>
      <c r="H14" s="939"/>
      <c r="I14" s="2229"/>
      <c r="J14" s="2230"/>
      <c r="K14" s="2231"/>
      <c r="L14" s="2237"/>
      <c r="M14" s="281"/>
      <c r="N14" s="281"/>
      <c r="O14" s="281"/>
    </row>
    <row r="15" spans="1:15" hidden="1">
      <c r="A15" s="940">
        <v>43567</v>
      </c>
      <c r="B15" s="1136"/>
      <c r="C15" s="1803"/>
      <c r="D15" s="939" t="s">
        <v>301</v>
      </c>
      <c r="E15" s="939"/>
      <c r="F15" s="939"/>
      <c r="G15" s="960">
        <v>490.6</v>
      </c>
      <c r="H15" s="939"/>
      <c r="I15" s="2229"/>
      <c r="J15" s="2230"/>
      <c r="K15" s="2231"/>
      <c r="L15" s="938" t="s">
        <v>1069</v>
      </c>
      <c r="M15" s="281"/>
      <c r="N15" s="281"/>
      <c r="O15" s="281"/>
    </row>
    <row r="16" spans="1:15" hidden="1">
      <c r="A16" s="940">
        <v>43570</v>
      </c>
      <c r="B16" s="1136"/>
      <c r="C16" s="1803"/>
      <c r="D16" s="939" t="s">
        <v>302</v>
      </c>
      <c r="E16" s="939"/>
      <c r="F16" s="939"/>
      <c r="G16" s="960">
        <v>2061.33</v>
      </c>
      <c r="H16" s="939"/>
      <c r="I16" s="2229"/>
      <c r="J16" s="2230"/>
      <c r="K16" s="2231"/>
      <c r="L16" s="938" t="s">
        <v>1070</v>
      </c>
      <c r="M16" s="281"/>
      <c r="N16" s="281"/>
      <c r="O16" s="281"/>
    </row>
    <row r="17" spans="1:15" hidden="1">
      <c r="A17" s="940"/>
      <c r="B17" s="1136"/>
      <c r="C17" s="1803"/>
      <c r="D17" s="318" t="s">
        <v>545</v>
      </c>
      <c r="E17" s="318"/>
      <c r="F17" s="318"/>
      <c r="G17" s="960">
        <f>SUM(G13:G16)-I13</f>
        <v>1863.9399999999996</v>
      </c>
      <c r="H17" s="939"/>
      <c r="I17" s="2229">
        <v>5000</v>
      </c>
      <c r="J17" s="2230">
        <v>43818</v>
      </c>
      <c r="K17" s="2236" t="s">
        <v>1071</v>
      </c>
      <c r="L17" s="938"/>
      <c r="M17" s="281"/>
      <c r="N17" s="281"/>
      <c r="O17" s="281"/>
    </row>
    <row r="18" spans="1:15" hidden="1">
      <c r="A18" s="940">
        <v>43581</v>
      </c>
      <c r="B18" s="1136"/>
      <c r="C18" s="1803"/>
      <c r="D18" s="939" t="s">
        <v>303</v>
      </c>
      <c r="E18" s="939"/>
      <c r="F18" s="939"/>
      <c r="G18" s="960">
        <v>946.7</v>
      </c>
      <c r="H18" s="939"/>
      <c r="I18" s="2229"/>
      <c r="J18" s="2230"/>
      <c r="K18" s="2236"/>
      <c r="L18" s="938" t="s">
        <v>1069</v>
      </c>
      <c r="M18" s="281"/>
      <c r="N18" s="281"/>
      <c r="O18" s="281"/>
    </row>
    <row r="19" spans="1:15" hidden="1">
      <c r="A19" s="940">
        <v>43605</v>
      </c>
      <c r="B19" s="1136"/>
      <c r="C19" s="1803"/>
      <c r="D19" s="939" t="s">
        <v>305</v>
      </c>
      <c r="E19" s="939"/>
      <c r="F19" s="939"/>
      <c r="G19" s="960">
        <v>1893.19</v>
      </c>
      <c r="H19" s="939"/>
      <c r="I19" s="2229"/>
      <c r="J19" s="2230"/>
      <c r="K19" s="2236"/>
      <c r="L19" s="938"/>
      <c r="M19" s="281"/>
      <c r="N19" s="281"/>
      <c r="O19" s="281"/>
    </row>
    <row r="20" spans="1:15" hidden="1">
      <c r="A20" s="940">
        <v>43615</v>
      </c>
      <c r="B20" s="1136"/>
      <c r="C20" s="1803"/>
      <c r="D20" s="939" t="s">
        <v>306</v>
      </c>
      <c r="E20" s="939"/>
      <c r="F20" s="939"/>
      <c r="G20" s="960">
        <v>1119.7</v>
      </c>
      <c r="H20" s="939"/>
      <c r="I20" s="2229"/>
      <c r="J20" s="2230"/>
      <c r="K20" s="2236"/>
      <c r="L20" s="938" t="s">
        <v>1072</v>
      </c>
      <c r="M20" s="281"/>
      <c r="N20" s="281"/>
      <c r="O20" s="281"/>
    </row>
    <row r="21" spans="1:15" hidden="1">
      <c r="A21" s="940"/>
      <c r="B21" s="1136"/>
      <c r="C21" s="1803"/>
      <c r="D21" s="318" t="s">
        <v>545</v>
      </c>
      <c r="E21" s="318"/>
      <c r="F21" s="318"/>
      <c r="G21" s="960">
        <v>823.53</v>
      </c>
      <c r="H21" s="939"/>
      <c r="I21" s="2229">
        <v>2340</v>
      </c>
      <c r="J21" s="2233">
        <v>43846</v>
      </c>
      <c r="K21" s="2236" t="s">
        <v>1073</v>
      </c>
      <c r="L21" s="938"/>
      <c r="M21" s="281"/>
      <c r="N21" s="281"/>
      <c r="O21" s="281"/>
    </row>
    <row r="22" spans="1:15" hidden="1">
      <c r="A22" s="940">
        <v>43626</v>
      </c>
      <c r="B22" s="1136"/>
      <c r="C22" s="1803"/>
      <c r="D22" s="939" t="s">
        <v>309</v>
      </c>
      <c r="E22" s="939"/>
      <c r="F22" s="939"/>
      <c r="G22" s="960">
        <v>1482.06</v>
      </c>
      <c r="H22" s="939"/>
      <c r="I22" s="2229"/>
      <c r="J22" s="2233"/>
      <c r="K22" s="2236"/>
      <c r="L22" s="938" t="s">
        <v>1074</v>
      </c>
      <c r="M22" s="281"/>
      <c r="N22" s="281"/>
      <c r="O22" s="281"/>
    </row>
    <row r="23" spans="1:15" hidden="1">
      <c r="A23" s="940">
        <v>43632</v>
      </c>
      <c r="B23" s="1136"/>
      <c r="C23" s="1803"/>
      <c r="D23" s="939" t="s">
        <v>310</v>
      </c>
      <c r="E23" s="939"/>
      <c r="F23" s="939"/>
      <c r="G23" s="960">
        <v>1926.51</v>
      </c>
      <c r="H23" s="939"/>
      <c r="I23" s="2229"/>
      <c r="J23" s="2233"/>
      <c r="K23" s="2236"/>
      <c r="L23" s="938" t="s">
        <v>1075</v>
      </c>
      <c r="M23" s="281"/>
      <c r="N23" s="281"/>
      <c r="O23" s="281"/>
    </row>
    <row r="24" spans="1:15" hidden="1">
      <c r="A24" s="940"/>
      <c r="B24" s="1136"/>
      <c r="C24" s="1803"/>
      <c r="D24" s="318" t="s">
        <v>545</v>
      </c>
      <c r="E24" s="318"/>
      <c r="F24" s="318"/>
      <c r="G24" s="960">
        <f>SUM(G21:G23)-I21</f>
        <v>1892.1000000000004</v>
      </c>
      <c r="H24" s="939"/>
      <c r="I24" s="2229">
        <v>2280</v>
      </c>
      <c r="J24" s="2234">
        <v>43865</v>
      </c>
      <c r="K24" s="2236" t="s">
        <v>1073</v>
      </c>
      <c r="L24" s="938"/>
      <c r="M24" s="281"/>
      <c r="N24" s="281"/>
      <c r="O24" s="281"/>
    </row>
    <row r="25" spans="1:15" hidden="1">
      <c r="A25" s="940" t="s">
        <v>312</v>
      </c>
      <c r="B25" s="1136"/>
      <c r="C25" s="1803"/>
      <c r="D25" s="939" t="s">
        <v>313</v>
      </c>
      <c r="E25" s="939"/>
      <c r="F25" s="939"/>
      <c r="G25" s="960">
        <v>-824.67</v>
      </c>
      <c r="H25" s="939"/>
      <c r="I25" s="2229"/>
      <c r="J25" s="2234"/>
      <c r="K25" s="2236"/>
      <c r="L25" s="938"/>
      <c r="M25" s="281"/>
      <c r="N25" s="281"/>
      <c r="O25" s="281"/>
    </row>
    <row r="26" spans="1:15" hidden="1">
      <c r="A26" s="940" t="s">
        <v>312</v>
      </c>
      <c r="B26" s="1136"/>
      <c r="C26" s="1803"/>
      <c r="D26" s="939" t="s">
        <v>314</v>
      </c>
      <c r="E26" s="939"/>
      <c r="F26" s="939"/>
      <c r="G26" s="960">
        <v>-1289.3699999999999</v>
      </c>
      <c r="H26" s="939"/>
      <c r="I26" s="2229"/>
      <c r="J26" s="2234"/>
      <c r="K26" s="2236"/>
      <c r="L26" s="938"/>
      <c r="M26" s="281"/>
      <c r="N26" s="281"/>
      <c r="O26" s="281"/>
    </row>
    <row r="27" spans="1:15" hidden="1">
      <c r="A27" s="940" t="s">
        <v>312</v>
      </c>
      <c r="B27" s="1136"/>
      <c r="C27" s="1803"/>
      <c r="D27" s="939" t="s">
        <v>315</v>
      </c>
      <c r="E27" s="939"/>
      <c r="F27" s="939"/>
      <c r="G27" s="960">
        <v>-751.94</v>
      </c>
      <c r="H27" s="939"/>
      <c r="I27" s="2229"/>
      <c r="J27" s="2234"/>
      <c r="K27" s="2236"/>
      <c r="L27" s="938"/>
      <c r="M27" s="281"/>
      <c r="N27" s="281"/>
      <c r="O27" s="281"/>
    </row>
    <row r="28" spans="1:15" hidden="1">
      <c r="A28" s="940" t="s">
        <v>312</v>
      </c>
      <c r="B28" s="1136"/>
      <c r="C28" s="1803"/>
      <c r="D28" s="939" t="s">
        <v>316</v>
      </c>
      <c r="E28" s="939"/>
      <c r="F28" s="939"/>
      <c r="G28" s="960">
        <v>-1499.58</v>
      </c>
      <c r="H28" s="939"/>
      <c r="I28" s="2229"/>
      <c r="J28" s="2234"/>
      <c r="K28" s="2236"/>
      <c r="L28" s="938"/>
      <c r="M28" s="281"/>
      <c r="N28" s="281"/>
      <c r="O28" s="281"/>
    </row>
    <row r="29" spans="1:15" hidden="1">
      <c r="A29" s="940" t="s">
        <v>312</v>
      </c>
      <c r="B29" s="1136"/>
      <c r="C29" s="1803"/>
      <c r="D29" s="939" t="s">
        <v>317</v>
      </c>
      <c r="E29" s="939"/>
      <c r="F29" s="939"/>
      <c r="G29" s="960">
        <v>-1493.94</v>
      </c>
      <c r="H29" s="939"/>
      <c r="I29" s="2229"/>
      <c r="J29" s="2234"/>
      <c r="K29" s="2236"/>
      <c r="L29" s="938"/>
      <c r="M29" s="281"/>
      <c r="N29" s="281"/>
      <c r="O29" s="281"/>
    </row>
    <row r="30" spans="1:15" hidden="1">
      <c r="A30" s="940" t="s">
        <v>312</v>
      </c>
      <c r="B30" s="1136"/>
      <c r="C30" s="1803"/>
      <c r="D30" s="939" t="s">
        <v>318</v>
      </c>
      <c r="E30" s="939"/>
      <c r="F30" s="939"/>
      <c r="G30" s="960">
        <v>-1204.53</v>
      </c>
      <c r="H30" s="939"/>
      <c r="I30" s="2229"/>
      <c r="J30" s="2234"/>
      <c r="K30" s="2236"/>
      <c r="L30" s="938"/>
      <c r="M30" s="281"/>
      <c r="N30" s="281"/>
      <c r="O30" s="281"/>
    </row>
    <row r="31" spans="1:15" hidden="1">
      <c r="A31" s="940" t="s">
        <v>319</v>
      </c>
      <c r="B31" s="1136"/>
      <c r="C31" s="1803"/>
      <c r="D31" s="939" t="s">
        <v>320</v>
      </c>
      <c r="E31" s="939"/>
      <c r="F31" s="939"/>
      <c r="G31" s="960">
        <v>3212.15</v>
      </c>
      <c r="H31" s="939"/>
      <c r="I31" s="2229"/>
      <c r="J31" s="2234"/>
      <c r="K31" s="2236"/>
      <c r="L31" s="938" t="s">
        <v>1072</v>
      </c>
      <c r="M31" s="281"/>
      <c r="N31" s="281"/>
      <c r="O31" s="281"/>
    </row>
    <row r="32" spans="1:15" hidden="1">
      <c r="A32" s="940" t="s">
        <v>321</v>
      </c>
      <c r="B32" s="1136"/>
      <c r="C32" s="1803"/>
      <c r="D32" s="939" t="s">
        <v>322</v>
      </c>
      <c r="E32" s="939"/>
      <c r="F32" s="939"/>
      <c r="G32" s="960">
        <v>1475.55</v>
      </c>
      <c r="H32" s="939"/>
      <c r="I32" s="2229"/>
      <c r="J32" s="2234"/>
      <c r="K32" s="2236"/>
      <c r="L32" s="938" t="s">
        <v>1076</v>
      </c>
      <c r="M32" s="281"/>
      <c r="N32" s="281"/>
      <c r="O32" s="281"/>
    </row>
    <row r="33" spans="1:15" hidden="1">
      <c r="A33" s="940" t="s">
        <v>323</v>
      </c>
      <c r="B33" s="1136"/>
      <c r="C33" s="1803"/>
      <c r="D33" s="939" t="s">
        <v>324</v>
      </c>
      <c r="E33" s="939"/>
      <c r="F33" s="939"/>
      <c r="G33" s="960">
        <v>1253.03</v>
      </c>
      <c r="H33" s="939"/>
      <c r="I33" s="2229"/>
      <c r="J33" s="2234"/>
      <c r="K33" s="2236"/>
      <c r="L33" s="938" t="s">
        <v>1077</v>
      </c>
      <c r="M33" s="281"/>
      <c r="N33" s="281"/>
      <c r="O33" s="281"/>
    </row>
    <row r="34" spans="1:15" hidden="1">
      <c r="A34" s="940" t="s">
        <v>191</v>
      </c>
      <c r="B34" s="1136"/>
      <c r="C34" s="1803"/>
      <c r="D34" s="939" t="s">
        <v>325</v>
      </c>
      <c r="E34" s="939"/>
      <c r="F34" s="939"/>
      <c r="G34" s="960">
        <v>269.39999999999998</v>
      </c>
      <c r="H34" s="939"/>
      <c r="I34" s="2229"/>
      <c r="J34" s="2234"/>
      <c r="K34" s="2236"/>
      <c r="L34" s="938" t="s">
        <v>1078</v>
      </c>
      <c r="M34" s="281"/>
      <c r="N34" s="281"/>
      <c r="O34" s="281"/>
    </row>
    <row r="35" spans="1:15" hidden="1">
      <c r="A35" s="940" t="s">
        <v>326</v>
      </c>
      <c r="B35" s="1136"/>
      <c r="C35" s="1803"/>
      <c r="D35" s="939" t="s">
        <v>327</v>
      </c>
      <c r="E35" s="939"/>
      <c r="F35" s="939"/>
      <c r="G35" s="960">
        <v>1536.3</v>
      </c>
      <c r="H35" s="939"/>
      <c r="I35" s="2229"/>
      <c r="J35" s="2234"/>
      <c r="K35" s="2236"/>
      <c r="L35" s="938" t="s">
        <v>1077</v>
      </c>
      <c r="M35" s="281"/>
      <c r="N35" s="281"/>
      <c r="O35" s="281"/>
    </row>
    <row r="36" spans="1:15" hidden="1">
      <c r="A36" s="940"/>
      <c r="B36" s="1136"/>
      <c r="C36" s="1803"/>
      <c r="D36" s="318" t="s">
        <v>545</v>
      </c>
      <c r="E36" s="318"/>
      <c r="F36" s="318"/>
      <c r="G36" s="960">
        <f>SUM(G24:G35)-I24</f>
        <v>294.50000000000091</v>
      </c>
      <c r="H36" s="939"/>
      <c r="I36" s="2229">
        <v>7000</v>
      </c>
      <c r="J36" s="2087" t="s">
        <v>1079</v>
      </c>
      <c r="K36" s="2236" t="s">
        <v>1080</v>
      </c>
      <c r="L36" s="938"/>
      <c r="M36" s="281"/>
      <c r="N36" s="281"/>
      <c r="O36" s="281"/>
    </row>
    <row r="37" spans="1:15" hidden="1">
      <c r="A37" s="940" t="s">
        <v>44</v>
      </c>
      <c r="B37" s="1136"/>
      <c r="C37" s="1803"/>
      <c r="D37" s="939" t="s">
        <v>328</v>
      </c>
      <c r="E37" s="939"/>
      <c r="F37" s="939"/>
      <c r="G37" s="960">
        <v>2512.8000000000002</v>
      </c>
      <c r="H37" s="939"/>
      <c r="I37" s="2229"/>
      <c r="J37" s="2087"/>
      <c r="K37" s="2236"/>
      <c r="L37" s="938" t="s">
        <v>1076</v>
      </c>
      <c r="M37" s="281"/>
      <c r="N37" s="281"/>
      <c r="O37" s="281"/>
    </row>
    <row r="38" spans="1:15" hidden="1">
      <c r="A38" s="940" t="s">
        <v>332</v>
      </c>
      <c r="B38" s="1136"/>
      <c r="C38" s="1803"/>
      <c r="D38" s="939" t="s">
        <v>333</v>
      </c>
      <c r="E38" s="939"/>
      <c r="F38" s="939"/>
      <c r="G38" s="960">
        <v>2947.43</v>
      </c>
      <c r="H38" s="939"/>
      <c r="I38" s="2229"/>
      <c r="J38" s="2087"/>
      <c r="K38" s="2236"/>
      <c r="L38" s="938" t="s">
        <v>394</v>
      </c>
      <c r="M38" s="281"/>
      <c r="N38" s="281"/>
      <c r="O38" s="281"/>
    </row>
    <row r="39" spans="1:15" hidden="1">
      <c r="A39" s="940">
        <v>43760</v>
      </c>
      <c r="B39" s="1136"/>
      <c r="C39" s="1803"/>
      <c r="D39" s="939" t="s">
        <v>336</v>
      </c>
      <c r="E39" s="939"/>
      <c r="F39" s="939"/>
      <c r="G39" s="960">
        <v>2205.98</v>
      </c>
      <c r="H39" s="939"/>
      <c r="I39" s="2229"/>
      <c r="J39" s="2087"/>
      <c r="K39" s="2236"/>
      <c r="L39" s="938" t="s">
        <v>469</v>
      </c>
      <c r="M39" s="281"/>
      <c r="N39" s="281"/>
      <c r="O39" s="281"/>
    </row>
    <row r="40" spans="1:15" hidden="1">
      <c r="A40" s="940"/>
      <c r="B40" s="1136"/>
      <c r="C40" s="1803"/>
      <c r="D40" s="939"/>
      <c r="E40" s="939"/>
      <c r="F40" s="939"/>
      <c r="G40" s="960">
        <v>960.71</v>
      </c>
      <c r="H40" s="939"/>
      <c r="I40" s="2229">
        <v>2080</v>
      </c>
      <c r="J40" s="2230" t="s">
        <v>1081</v>
      </c>
      <c r="K40" s="2236" t="s">
        <v>589</v>
      </c>
      <c r="L40" s="938"/>
      <c r="M40" s="281"/>
      <c r="N40" s="281"/>
      <c r="O40" s="281"/>
    </row>
    <row r="41" spans="1:15" hidden="1">
      <c r="A41" s="940">
        <v>43760</v>
      </c>
      <c r="B41" s="1136"/>
      <c r="C41" s="1803"/>
      <c r="D41" s="939" t="s">
        <v>337</v>
      </c>
      <c r="E41" s="939"/>
      <c r="F41" s="939"/>
      <c r="G41" s="960">
        <v>250.13</v>
      </c>
      <c r="H41" s="939"/>
      <c r="I41" s="2229"/>
      <c r="J41" s="2230"/>
      <c r="K41" s="2236"/>
      <c r="L41" s="938" t="s">
        <v>469</v>
      </c>
      <c r="M41" s="281"/>
      <c r="N41" s="281"/>
      <c r="O41" s="281"/>
    </row>
    <row r="42" spans="1:15" hidden="1">
      <c r="A42" s="940">
        <v>43788</v>
      </c>
      <c r="B42" s="1136"/>
      <c r="C42" s="1803"/>
      <c r="D42" s="939" t="s">
        <v>339</v>
      </c>
      <c r="E42" s="939"/>
      <c r="F42" s="939"/>
      <c r="G42" s="960">
        <v>3572.03</v>
      </c>
      <c r="H42" s="940"/>
      <c r="I42" s="2229"/>
      <c r="J42" s="2230"/>
      <c r="K42" s="2236"/>
      <c r="L42" s="938" t="s">
        <v>469</v>
      </c>
      <c r="M42" s="281"/>
      <c r="N42" s="281"/>
      <c r="O42" s="281"/>
    </row>
    <row r="43" spans="1:15" hidden="1">
      <c r="A43" s="318"/>
      <c r="B43" s="318"/>
      <c r="C43" s="318"/>
      <c r="D43" s="318" t="s">
        <v>545</v>
      </c>
      <c r="E43" s="318"/>
      <c r="F43" s="318"/>
      <c r="G43" s="960">
        <v>2702.87</v>
      </c>
      <c r="H43" s="940"/>
      <c r="I43" s="941">
        <v>2230</v>
      </c>
      <c r="J43" s="940" t="s">
        <v>1082</v>
      </c>
      <c r="K43" s="939" t="s">
        <v>589</v>
      </c>
      <c r="L43" s="938"/>
      <c r="M43" s="281"/>
      <c r="N43" s="281"/>
      <c r="O43" s="281"/>
    </row>
    <row r="44" spans="1:15" ht="15" hidden="1" customHeight="1">
      <c r="A44" s="318"/>
      <c r="B44" s="318"/>
      <c r="C44" s="318"/>
      <c r="D44" s="318" t="s">
        <v>545</v>
      </c>
      <c r="E44" s="318"/>
      <c r="F44" s="318"/>
      <c r="G44" s="960">
        <v>472.87</v>
      </c>
      <c r="H44" s="940"/>
      <c r="I44" s="2229">
        <v>6000</v>
      </c>
      <c r="J44" s="2230" t="s">
        <v>1082</v>
      </c>
      <c r="K44" s="2236" t="s">
        <v>1083</v>
      </c>
      <c r="L44" s="938"/>
      <c r="M44" s="281"/>
      <c r="N44" s="281"/>
      <c r="O44" s="281"/>
    </row>
    <row r="45" spans="1:15" hidden="1">
      <c r="A45" s="940">
        <v>43802</v>
      </c>
      <c r="B45" s="1136"/>
      <c r="C45" s="1803"/>
      <c r="D45" s="939" t="s">
        <v>341</v>
      </c>
      <c r="E45" s="939"/>
      <c r="F45" s="939"/>
      <c r="G45" s="960">
        <v>3094.35</v>
      </c>
      <c r="H45" s="940"/>
      <c r="I45" s="2229"/>
      <c r="J45" s="2230"/>
      <c r="K45" s="2236"/>
      <c r="L45" s="938" t="s">
        <v>469</v>
      </c>
      <c r="M45" s="281"/>
      <c r="N45" s="281"/>
      <c r="O45" s="281"/>
    </row>
    <row r="46" spans="1:15" hidden="1">
      <c r="A46" s="940">
        <v>43830</v>
      </c>
      <c r="B46" s="1136"/>
      <c r="C46" s="1803"/>
      <c r="D46" s="939" t="s">
        <v>1084</v>
      </c>
      <c r="E46" s="939"/>
      <c r="F46" s="939"/>
      <c r="G46" s="960">
        <v>2507.4299999999998</v>
      </c>
      <c r="H46" s="940"/>
      <c r="I46" s="2229"/>
      <c r="J46" s="2230"/>
      <c r="K46" s="2236"/>
      <c r="L46" s="938"/>
      <c r="M46" s="281"/>
      <c r="N46" s="281"/>
      <c r="O46" s="281"/>
    </row>
    <row r="47" spans="1:15" hidden="1">
      <c r="A47" s="318"/>
      <c r="B47" s="318"/>
      <c r="C47" s="318"/>
      <c r="D47" s="318" t="s">
        <v>545</v>
      </c>
      <c r="E47" s="318"/>
      <c r="F47" s="318"/>
      <c r="G47" s="960">
        <v>74.650000000000006</v>
      </c>
      <c r="H47" s="940"/>
      <c r="I47" s="2229">
        <v>6000</v>
      </c>
      <c r="J47" s="2230" t="s">
        <v>1085</v>
      </c>
      <c r="K47" s="2236" t="s">
        <v>1086</v>
      </c>
      <c r="L47" s="938"/>
      <c r="M47" s="281"/>
      <c r="N47" s="281"/>
      <c r="O47" s="281"/>
    </row>
    <row r="48" spans="1:15" hidden="1">
      <c r="A48" s="940">
        <v>43839</v>
      </c>
      <c r="B48" s="1136"/>
      <c r="C48" s="1803"/>
      <c r="D48" s="939" t="s">
        <v>1087</v>
      </c>
      <c r="E48" s="939"/>
      <c r="F48" s="939"/>
      <c r="G48" s="960">
        <v>1122.75</v>
      </c>
      <c r="H48" s="940"/>
      <c r="I48" s="2229"/>
      <c r="J48" s="2230"/>
      <c r="K48" s="2236"/>
      <c r="L48" s="938" t="s">
        <v>469</v>
      </c>
      <c r="M48" s="281"/>
      <c r="N48" s="281"/>
      <c r="O48" s="281"/>
    </row>
    <row r="49" spans="1:15" hidden="1">
      <c r="A49" s="940">
        <v>43846</v>
      </c>
      <c r="B49" s="1136"/>
      <c r="C49" s="1803"/>
      <c r="D49" s="939" t="s">
        <v>1088</v>
      </c>
      <c r="E49" s="939"/>
      <c r="F49" s="939"/>
      <c r="G49" s="960">
        <v>2446.35</v>
      </c>
      <c r="H49" s="940"/>
      <c r="I49" s="2229"/>
      <c r="J49" s="2230"/>
      <c r="K49" s="2236"/>
      <c r="L49" s="938" t="s">
        <v>469</v>
      </c>
      <c r="M49" s="281"/>
      <c r="N49" s="281"/>
      <c r="O49" s="281"/>
    </row>
    <row r="50" spans="1:15" hidden="1">
      <c r="A50" s="940">
        <v>43865</v>
      </c>
      <c r="B50" s="1136"/>
      <c r="C50" s="1803"/>
      <c r="D50" s="939" t="s">
        <v>1089</v>
      </c>
      <c r="E50" s="939"/>
      <c r="F50" s="939"/>
      <c r="G50" s="960">
        <v>2276.6999999999998</v>
      </c>
      <c r="H50" s="940"/>
      <c r="I50" s="2229"/>
      <c r="J50" s="2230"/>
      <c r="K50" s="2236"/>
      <c r="L50" s="938" t="s">
        <v>469</v>
      </c>
      <c r="M50" s="281"/>
      <c r="N50" s="281"/>
      <c r="O50" s="281"/>
    </row>
    <row r="51" spans="1:15" hidden="1">
      <c r="A51" s="940">
        <v>43878</v>
      </c>
      <c r="B51" s="1136"/>
      <c r="C51" s="1803"/>
      <c r="D51" s="939" t="s">
        <v>1090</v>
      </c>
      <c r="E51" s="939"/>
      <c r="F51" s="939"/>
      <c r="G51" s="960">
        <v>2815.54</v>
      </c>
      <c r="H51" s="940"/>
      <c r="I51" s="2229"/>
      <c r="J51" s="2230"/>
      <c r="K51" s="2236"/>
      <c r="L51" s="938" t="s">
        <v>469</v>
      </c>
      <c r="M51" s="281"/>
      <c r="N51" s="281"/>
      <c r="O51" s="281"/>
    </row>
    <row r="52" spans="1:15" hidden="1">
      <c r="A52" s="318"/>
      <c r="B52" s="318"/>
      <c r="C52" s="318"/>
      <c r="D52" s="318" t="s">
        <v>545</v>
      </c>
      <c r="E52" s="318"/>
      <c r="F52" s="318"/>
      <c r="G52" s="960">
        <v>2735.99</v>
      </c>
      <c r="H52" s="940"/>
      <c r="I52" s="941">
        <v>2150</v>
      </c>
      <c r="J52" s="940" t="s">
        <v>1091</v>
      </c>
      <c r="K52" s="939" t="s">
        <v>1073</v>
      </c>
      <c r="L52" s="938"/>
      <c r="M52" s="281"/>
      <c r="N52" s="281"/>
      <c r="O52" s="281"/>
    </row>
    <row r="53" spans="1:15" hidden="1">
      <c r="A53" s="318"/>
      <c r="B53" s="318"/>
      <c r="C53" s="318"/>
      <c r="D53" s="318" t="s">
        <v>545</v>
      </c>
      <c r="E53" s="318"/>
      <c r="F53" s="318"/>
      <c r="G53" s="960">
        <v>585.99</v>
      </c>
      <c r="H53" s="940"/>
      <c r="I53" s="2229">
        <v>2250</v>
      </c>
      <c r="J53" s="2230" t="s">
        <v>1092</v>
      </c>
      <c r="K53" s="2236" t="s">
        <v>1073</v>
      </c>
      <c r="L53" s="938"/>
      <c r="M53" s="281"/>
      <c r="N53" s="281"/>
      <c r="O53" s="281"/>
    </row>
    <row r="54" spans="1:15" hidden="1">
      <c r="A54" s="940">
        <v>43886</v>
      </c>
      <c r="B54" s="1136"/>
      <c r="C54" s="1803"/>
      <c r="D54" s="939" t="s">
        <v>1093</v>
      </c>
      <c r="E54" s="939"/>
      <c r="F54" s="939"/>
      <c r="G54" s="960">
        <v>3479.12</v>
      </c>
      <c r="H54" s="940"/>
      <c r="I54" s="2229"/>
      <c r="J54" s="2230"/>
      <c r="K54" s="2236"/>
      <c r="L54" s="938" t="s">
        <v>469</v>
      </c>
      <c r="M54" s="281"/>
      <c r="N54" s="281"/>
      <c r="O54" s="281"/>
    </row>
    <row r="55" spans="1:15" hidden="1">
      <c r="A55" s="318"/>
      <c r="B55" s="318"/>
      <c r="C55" s="318"/>
      <c r="D55" s="318" t="s">
        <v>545</v>
      </c>
      <c r="E55" s="318"/>
      <c r="F55" s="318"/>
      <c r="G55" s="960">
        <v>1815.11</v>
      </c>
      <c r="H55" s="940"/>
      <c r="I55" s="2229">
        <v>2320</v>
      </c>
      <c r="J55" s="2230" t="s">
        <v>1094</v>
      </c>
      <c r="K55" s="2236" t="s">
        <v>1073</v>
      </c>
      <c r="L55" s="938"/>
      <c r="M55" s="281"/>
      <c r="N55" s="281"/>
      <c r="O55" s="281"/>
    </row>
    <row r="56" spans="1:15" hidden="1">
      <c r="A56" s="940">
        <v>43966</v>
      </c>
      <c r="B56" s="1136"/>
      <c r="C56" s="1803"/>
      <c r="D56" s="939" t="s">
        <v>1095</v>
      </c>
      <c r="E56" s="939"/>
      <c r="F56" s="939"/>
      <c r="G56" s="960">
        <v>3430.91</v>
      </c>
      <c r="H56" s="940">
        <v>43983</v>
      </c>
      <c r="I56" s="2229"/>
      <c r="J56" s="2230"/>
      <c r="K56" s="2236"/>
      <c r="L56" s="938"/>
      <c r="M56" s="281"/>
      <c r="N56" s="281"/>
      <c r="O56" s="281"/>
    </row>
    <row r="57" spans="1:15" hidden="1">
      <c r="A57" s="318"/>
      <c r="B57" s="318"/>
      <c r="C57" s="318"/>
      <c r="D57" s="318" t="s">
        <v>545</v>
      </c>
      <c r="E57" s="318"/>
      <c r="F57" s="318"/>
      <c r="G57" s="960">
        <v>2926.02</v>
      </c>
      <c r="H57" s="940"/>
      <c r="I57" s="2229">
        <v>6000</v>
      </c>
      <c r="J57" s="2230" t="s">
        <v>1096</v>
      </c>
      <c r="K57" s="2236" t="s">
        <v>1086</v>
      </c>
      <c r="L57" s="938"/>
      <c r="M57" s="281"/>
      <c r="N57" s="281"/>
      <c r="O57" s="281"/>
    </row>
    <row r="58" spans="1:15" hidden="1">
      <c r="A58" s="940">
        <v>43978</v>
      </c>
      <c r="B58" s="1136"/>
      <c r="C58" s="1803"/>
      <c r="D58" s="939" t="s">
        <v>1097</v>
      </c>
      <c r="E58" s="939"/>
      <c r="F58" s="939"/>
      <c r="G58" s="960">
        <v>2024.05</v>
      </c>
      <c r="H58" s="940">
        <v>43983</v>
      </c>
      <c r="I58" s="2229"/>
      <c r="J58" s="2230"/>
      <c r="K58" s="2236"/>
      <c r="L58" s="938"/>
      <c r="M58" s="281"/>
      <c r="N58" s="281"/>
      <c r="O58" s="281"/>
    </row>
    <row r="59" spans="1:15" hidden="1">
      <c r="A59" s="940">
        <v>43985</v>
      </c>
      <c r="B59" s="1136"/>
      <c r="C59" s="1803"/>
      <c r="D59" s="939" t="s">
        <v>1098</v>
      </c>
      <c r="E59" s="939"/>
      <c r="F59" s="939"/>
      <c r="G59" s="960">
        <v>558.04</v>
      </c>
      <c r="H59" s="940">
        <v>44013</v>
      </c>
      <c r="I59" s="2229"/>
      <c r="J59" s="2230"/>
      <c r="K59" s="2236"/>
      <c r="L59" s="938"/>
      <c r="M59" s="281"/>
      <c r="N59" s="281"/>
      <c r="O59" s="281"/>
    </row>
    <row r="60" spans="1:15" hidden="1">
      <c r="A60" s="940">
        <v>43985</v>
      </c>
      <c r="B60" s="1136"/>
      <c r="C60" s="1803"/>
      <c r="D60" s="939" t="s">
        <v>1099</v>
      </c>
      <c r="E60" s="939"/>
      <c r="F60" s="939"/>
      <c r="G60" s="960">
        <v>625.1</v>
      </c>
      <c r="H60" s="940">
        <v>44013</v>
      </c>
      <c r="I60" s="2229"/>
      <c r="J60" s="2230"/>
      <c r="K60" s="2236"/>
      <c r="L60" s="938"/>
      <c r="M60" s="281"/>
      <c r="N60" s="281"/>
      <c r="O60" s="281"/>
    </row>
    <row r="61" spans="1:15" hidden="1">
      <c r="A61" s="318"/>
      <c r="B61" s="318"/>
      <c r="C61" s="318"/>
      <c r="D61" s="318" t="s">
        <v>545</v>
      </c>
      <c r="E61" s="318"/>
      <c r="F61" s="318"/>
      <c r="G61" s="960">
        <f>SUM(G57:G60)-I57</f>
        <v>133.21000000000004</v>
      </c>
      <c r="H61" s="940"/>
      <c r="I61" s="2229">
        <v>1772.2</v>
      </c>
      <c r="J61" s="2230" t="s">
        <v>1096</v>
      </c>
      <c r="K61" s="2236" t="s">
        <v>1100</v>
      </c>
      <c r="L61" s="938"/>
      <c r="M61" s="281"/>
      <c r="N61" s="281"/>
      <c r="O61" s="281"/>
    </row>
    <row r="62" spans="1:15" hidden="1">
      <c r="A62" s="940">
        <v>43999</v>
      </c>
      <c r="B62" s="1136"/>
      <c r="C62" s="1803"/>
      <c r="D62" s="939" t="s">
        <v>1101</v>
      </c>
      <c r="E62" s="939"/>
      <c r="F62" s="939"/>
      <c r="G62" s="960">
        <v>1735.86</v>
      </c>
      <c r="H62" s="940"/>
      <c r="I62" s="2229"/>
      <c r="J62" s="2230"/>
      <c r="K62" s="2236"/>
      <c r="L62" s="938" t="s">
        <v>1102</v>
      </c>
      <c r="M62" s="281"/>
      <c r="N62" s="281"/>
      <c r="O62" s="281"/>
    </row>
    <row r="63" spans="1:15" hidden="1">
      <c r="A63" s="318"/>
      <c r="B63" s="318"/>
      <c r="C63" s="318"/>
      <c r="D63" s="318" t="s">
        <v>545</v>
      </c>
      <c r="E63" s="318"/>
      <c r="F63" s="318"/>
      <c r="G63" s="960">
        <f>SUM(G61:G62)-I61</f>
        <v>96.869999999999891</v>
      </c>
      <c r="H63" s="940"/>
      <c r="I63" s="2229">
        <v>2230.0500000000002</v>
      </c>
      <c r="J63" s="2230" t="s">
        <v>1103</v>
      </c>
      <c r="K63" s="2236" t="s">
        <v>885</v>
      </c>
      <c r="L63" s="938"/>
      <c r="M63" s="281"/>
      <c r="N63" s="281"/>
      <c r="O63" s="281"/>
    </row>
    <row r="64" spans="1:15" hidden="1">
      <c r="A64" s="940">
        <v>44025</v>
      </c>
      <c r="B64" s="1136"/>
      <c r="C64" s="1803"/>
      <c r="D64" s="939" t="s">
        <v>1104</v>
      </c>
      <c r="E64" s="939"/>
      <c r="F64" s="939"/>
      <c r="G64" s="960">
        <v>1676.25</v>
      </c>
      <c r="H64" s="940">
        <v>44044</v>
      </c>
      <c r="I64" s="2229"/>
      <c r="J64" s="2230"/>
      <c r="K64" s="2236"/>
      <c r="L64" s="938" t="s">
        <v>1102</v>
      </c>
      <c r="M64" s="281"/>
      <c r="N64" s="281"/>
      <c r="O64" s="281"/>
    </row>
    <row r="65" spans="1:15" hidden="1">
      <c r="A65" s="940">
        <v>44047</v>
      </c>
      <c r="B65" s="1136"/>
      <c r="C65" s="1803"/>
      <c r="D65" s="939" t="s">
        <v>1105</v>
      </c>
      <c r="E65" s="939"/>
      <c r="F65" s="939"/>
      <c r="G65" s="960">
        <v>2396.7600000000002</v>
      </c>
      <c r="H65" s="940"/>
      <c r="I65" s="2229"/>
      <c r="J65" s="2230"/>
      <c r="K65" s="2236"/>
      <c r="L65" s="938" t="s">
        <v>400</v>
      </c>
      <c r="M65" s="281"/>
      <c r="N65" s="281"/>
      <c r="O65" s="281"/>
    </row>
    <row r="66" spans="1:15" hidden="1">
      <c r="A66" s="318"/>
      <c r="B66" s="318"/>
      <c r="C66" s="318"/>
      <c r="D66" s="318" t="s">
        <v>545</v>
      </c>
      <c r="E66" s="318"/>
      <c r="F66" s="318"/>
      <c r="G66" s="960">
        <f>SUM(G63:G65)-I63</f>
        <v>1939.83</v>
      </c>
      <c r="H66" s="940"/>
      <c r="I66" s="2229">
        <v>3500.78</v>
      </c>
      <c r="J66" s="2230" t="s">
        <v>1106</v>
      </c>
      <c r="K66" s="2236" t="s">
        <v>1107</v>
      </c>
      <c r="L66" s="938"/>
      <c r="M66" s="281"/>
      <c r="N66" s="281"/>
      <c r="O66" s="281"/>
    </row>
    <row r="67" spans="1:15" hidden="1">
      <c r="A67" s="940">
        <v>44050</v>
      </c>
      <c r="B67" s="1136"/>
      <c r="C67" s="1803"/>
      <c r="D67" s="939" t="s">
        <v>1108</v>
      </c>
      <c r="E67" s="939"/>
      <c r="F67" s="939"/>
      <c r="G67" s="960">
        <v>125.16</v>
      </c>
      <c r="H67" s="940">
        <v>44075</v>
      </c>
      <c r="I67" s="2229"/>
      <c r="J67" s="2230"/>
      <c r="K67" s="2236"/>
      <c r="L67" s="938"/>
      <c r="M67" s="281"/>
      <c r="N67" s="281"/>
      <c r="O67" s="281"/>
    </row>
    <row r="68" spans="1:15" hidden="1">
      <c r="A68" s="940">
        <v>44071</v>
      </c>
      <c r="B68" s="1136"/>
      <c r="C68" s="1803"/>
      <c r="D68" s="939" t="s">
        <v>1109</v>
      </c>
      <c r="E68" s="939"/>
      <c r="F68" s="939"/>
      <c r="G68" s="960">
        <v>2864.47</v>
      </c>
      <c r="H68" s="940">
        <v>44075</v>
      </c>
      <c r="I68" s="2229"/>
      <c r="J68" s="2230"/>
      <c r="K68" s="2236"/>
      <c r="L68" s="938" t="s">
        <v>1110</v>
      </c>
      <c r="M68" s="281"/>
      <c r="N68" s="281"/>
      <c r="O68" s="281"/>
    </row>
    <row r="69" spans="1:15" hidden="1">
      <c r="A69" s="318"/>
      <c r="B69" s="318"/>
      <c r="C69" s="318"/>
      <c r="D69" s="318" t="s">
        <v>545</v>
      </c>
      <c r="E69" s="318"/>
      <c r="F69" s="318"/>
      <c r="G69" s="354">
        <v>1428.68</v>
      </c>
      <c r="H69" s="940"/>
      <c r="I69" s="2088">
        <v>2760.15</v>
      </c>
      <c r="J69" s="2087" t="s">
        <v>1111</v>
      </c>
      <c r="K69" s="2086" t="s">
        <v>1107</v>
      </c>
      <c r="L69" s="932"/>
      <c r="M69" s="281"/>
      <c r="N69" s="281"/>
      <c r="O69" s="281"/>
    </row>
    <row r="70" spans="1:15" hidden="1">
      <c r="A70" s="940">
        <v>44096</v>
      </c>
      <c r="B70" s="1136"/>
      <c r="C70" s="1803"/>
      <c r="D70" s="939" t="s">
        <v>1112</v>
      </c>
      <c r="E70" s="939"/>
      <c r="F70" s="939"/>
      <c r="G70" s="960">
        <v>2069.4299999999998</v>
      </c>
      <c r="H70" s="940">
        <v>44105</v>
      </c>
      <c r="I70" s="2088"/>
      <c r="J70" s="2087"/>
      <c r="K70" s="2086"/>
      <c r="L70" s="938" t="s">
        <v>1110</v>
      </c>
      <c r="M70" s="281"/>
      <c r="N70" s="281"/>
      <c r="O70" s="281"/>
    </row>
    <row r="71" spans="1:15" s="932" customFormat="1" hidden="1">
      <c r="A71" s="318"/>
      <c r="B71" s="318"/>
      <c r="C71" s="318"/>
      <c r="D71" s="318" t="s">
        <v>545</v>
      </c>
      <c r="E71" s="318"/>
      <c r="F71" s="318"/>
      <c r="G71" s="960">
        <f>G69+G70-I69</f>
        <v>737.95999999999958</v>
      </c>
      <c r="H71" s="940"/>
      <c r="I71" s="2088">
        <v>3875.75</v>
      </c>
      <c r="J71" s="2087" t="s">
        <v>1113</v>
      </c>
      <c r="K71" s="2086" t="s">
        <v>1107</v>
      </c>
      <c r="L71" s="938"/>
      <c r="M71" s="962"/>
      <c r="N71" s="938"/>
      <c r="O71" s="938"/>
    </row>
    <row r="72" spans="1:15" hidden="1">
      <c r="A72" s="940">
        <v>44118</v>
      </c>
      <c r="B72" s="1136"/>
      <c r="C72" s="1803"/>
      <c r="D72" s="939" t="s">
        <v>1114</v>
      </c>
      <c r="E72" s="939"/>
      <c r="F72" s="939"/>
      <c r="G72" s="960">
        <v>1935.88</v>
      </c>
      <c r="H72" s="940">
        <v>44136</v>
      </c>
      <c r="I72" s="2088"/>
      <c r="J72" s="2087"/>
      <c r="K72" s="2086"/>
      <c r="L72" s="938" t="s">
        <v>1110</v>
      </c>
      <c r="M72" s="281"/>
      <c r="N72" s="281"/>
      <c r="O72" s="281"/>
    </row>
    <row r="73" spans="1:15" hidden="1">
      <c r="A73" s="940">
        <v>44121</v>
      </c>
      <c r="B73" s="1136"/>
      <c r="C73" s="1803"/>
      <c r="D73" s="939" t="s">
        <v>1115</v>
      </c>
      <c r="E73" s="939"/>
      <c r="F73" s="939"/>
      <c r="G73" s="960">
        <v>1254.8</v>
      </c>
      <c r="H73" s="940">
        <v>44136</v>
      </c>
      <c r="I73" s="2088"/>
      <c r="J73" s="2087"/>
      <c r="K73" s="2086"/>
      <c r="L73" s="938" t="s">
        <v>1110</v>
      </c>
      <c r="M73" s="281"/>
      <c r="N73" s="281"/>
      <c r="O73" s="281"/>
    </row>
    <row r="74" spans="1:15" hidden="1">
      <c r="A74" s="318"/>
      <c r="B74" s="318"/>
      <c r="C74" s="318"/>
      <c r="D74" s="318" t="s">
        <v>545</v>
      </c>
      <c r="E74" s="318"/>
      <c r="F74" s="318"/>
      <c r="G74" s="960">
        <f>G71+G72+G73-I71</f>
        <v>52.889999999999418</v>
      </c>
      <c r="H74" s="940"/>
      <c r="I74" s="2088">
        <v>3013.24</v>
      </c>
      <c r="J74" s="2230" t="s">
        <v>1116</v>
      </c>
      <c r="K74" s="2236" t="s">
        <v>885</v>
      </c>
      <c r="L74" s="938"/>
      <c r="M74" s="281"/>
      <c r="N74" s="281"/>
      <c r="O74" s="281"/>
    </row>
    <row r="75" spans="1:15" hidden="1">
      <c r="A75" s="940">
        <v>44134</v>
      </c>
      <c r="B75" s="1136"/>
      <c r="C75" s="1803"/>
      <c r="D75" s="939" t="s">
        <v>1117</v>
      </c>
      <c r="E75" s="939"/>
      <c r="F75" s="939"/>
      <c r="G75" s="960">
        <v>1349.29</v>
      </c>
      <c r="H75" s="940">
        <v>44136</v>
      </c>
      <c r="I75" s="2088"/>
      <c r="J75" s="2230"/>
      <c r="K75" s="2236"/>
      <c r="L75" s="938" t="s">
        <v>674</v>
      </c>
      <c r="M75" s="281"/>
      <c r="N75" s="281"/>
      <c r="O75" s="281"/>
    </row>
    <row r="76" spans="1:15" hidden="1">
      <c r="A76" s="940">
        <v>44148</v>
      </c>
      <c r="B76" s="1136"/>
      <c r="C76" s="1803"/>
      <c r="D76" s="939" t="s">
        <v>1119</v>
      </c>
      <c r="E76" s="939"/>
      <c r="F76" s="939"/>
      <c r="G76" s="960">
        <v>1196.3</v>
      </c>
      <c r="H76" s="940">
        <v>44166</v>
      </c>
      <c r="I76" s="2088"/>
      <c r="J76" s="2230"/>
      <c r="K76" s="2236"/>
      <c r="L76" s="938" t="s">
        <v>674</v>
      </c>
      <c r="M76" s="281"/>
      <c r="N76" s="281"/>
      <c r="O76" s="281"/>
    </row>
    <row r="77" spans="1:15" hidden="1">
      <c r="A77" s="940">
        <v>44153</v>
      </c>
      <c r="B77" s="1136"/>
      <c r="C77" s="1803"/>
      <c r="D77" s="939" t="s">
        <v>1120</v>
      </c>
      <c r="E77" s="939"/>
      <c r="F77" s="939"/>
      <c r="G77" s="960">
        <v>4471.7299999999996</v>
      </c>
      <c r="H77" s="940">
        <v>44166</v>
      </c>
      <c r="I77" s="2088"/>
      <c r="J77" s="2230"/>
      <c r="K77" s="2236"/>
      <c r="L77" s="938" t="s">
        <v>674</v>
      </c>
      <c r="M77" s="281"/>
      <c r="N77" s="281"/>
      <c r="O77" s="281"/>
    </row>
    <row r="78" spans="1:15" hidden="1">
      <c r="A78" s="318"/>
      <c r="B78" s="318"/>
      <c r="C78" s="318"/>
      <c r="D78" s="318" t="s">
        <v>545</v>
      </c>
      <c r="E78" s="318"/>
      <c r="F78" s="318"/>
      <c r="G78" s="960">
        <f>G74+G75+G76+G77-I74</f>
        <v>4056.9699999999993</v>
      </c>
      <c r="H78" s="940"/>
      <c r="I78" s="935">
        <v>3285.9</v>
      </c>
      <c r="J78" s="940" t="s">
        <v>1121</v>
      </c>
      <c r="K78" s="939" t="s">
        <v>885</v>
      </c>
      <c r="L78" s="938"/>
      <c r="M78" s="281"/>
      <c r="N78" s="281"/>
      <c r="O78" s="281"/>
    </row>
    <row r="79" spans="1:15" hidden="1">
      <c r="A79" s="318"/>
      <c r="B79" s="318"/>
      <c r="C79" s="318"/>
      <c r="D79" s="318" t="s">
        <v>545</v>
      </c>
      <c r="E79" s="318"/>
      <c r="F79" s="318"/>
      <c r="G79" s="960">
        <f>G78-I78</f>
        <v>771.06999999999925</v>
      </c>
      <c r="H79" s="940"/>
      <c r="I79" s="2088">
        <v>7386.5</v>
      </c>
      <c r="J79" s="2230" t="s">
        <v>671</v>
      </c>
      <c r="K79" s="2236" t="s">
        <v>544</v>
      </c>
      <c r="L79" s="938"/>
      <c r="M79" s="281"/>
      <c r="N79" s="281"/>
      <c r="O79" s="281"/>
    </row>
    <row r="80" spans="1:15" hidden="1">
      <c r="A80" s="940">
        <v>44189</v>
      </c>
      <c r="B80" s="1136"/>
      <c r="C80" s="1803"/>
      <c r="D80" s="939" t="s">
        <v>1122</v>
      </c>
      <c r="E80" s="939"/>
      <c r="F80" s="939"/>
      <c r="G80" s="960">
        <v>3285.9</v>
      </c>
      <c r="H80" s="940">
        <v>44227</v>
      </c>
      <c r="I80" s="2088"/>
      <c r="J80" s="2230"/>
      <c r="K80" s="2236"/>
      <c r="L80" s="938"/>
      <c r="M80" s="281"/>
      <c r="N80" s="281"/>
      <c r="O80" s="281"/>
    </row>
    <row r="81" spans="1:15" hidden="1">
      <c r="A81" s="940">
        <v>44209</v>
      </c>
      <c r="B81" s="1136"/>
      <c r="C81" s="1803"/>
      <c r="D81" s="939" t="s">
        <v>1123</v>
      </c>
      <c r="E81" s="939"/>
      <c r="F81" s="939"/>
      <c r="G81" s="960">
        <v>2191.9299999999998</v>
      </c>
      <c r="H81" s="940">
        <v>44228</v>
      </c>
      <c r="I81" s="2088"/>
      <c r="J81" s="2230"/>
      <c r="K81" s="2236"/>
      <c r="L81" s="938" t="s">
        <v>674</v>
      </c>
      <c r="M81" s="281"/>
      <c r="N81" s="281"/>
      <c r="O81" s="281"/>
    </row>
    <row r="82" spans="1:15" hidden="1">
      <c r="A82" s="940">
        <v>44218</v>
      </c>
      <c r="B82" s="1136"/>
      <c r="C82" s="1803"/>
      <c r="D82" s="939" t="s">
        <v>1124</v>
      </c>
      <c r="E82" s="939"/>
      <c r="F82" s="939"/>
      <c r="G82" s="354">
        <v>0</v>
      </c>
      <c r="H82" s="940">
        <v>44228</v>
      </c>
      <c r="I82" s="2088"/>
      <c r="J82" s="2230"/>
      <c r="K82" s="939" t="s">
        <v>1125</v>
      </c>
      <c r="L82" s="938" t="s">
        <v>1126</v>
      </c>
      <c r="M82" s="281"/>
      <c r="N82" s="281"/>
      <c r="O82" s="281"/>
    </row>
    <row r="83" spans="1:15" hidden="1">
      <c r="A83" s="940">
        <v>44225</v>
      </c>
      <c r="B83" s="1136"/>
      <c r="C83" s="1803"/>
      <c r="D83" s="939" t="s">
        <v>1127</v>
      </c>
      <c r="E83" s="939"/>
      <c r="F83" s="939"/>
      <c r="G83" s="354">
        <v>1137.5999999999999</v>
      </c>
      <c r="H83" s="940">
        <v>44228</v>
      </c>
      <c r="I83" s="2088"/>
      <c r="J83" s="2230"/>
      <c r="K83" s="939"/>
      <c r="L83" s="938" t="s">
        <v>674</v>
      </c>
      <c r="M83" s="281"/>
      <c r="N83" s="281"/>
      <c r="O83" s="281"/>
    </row>
    <row r="84" spans="1:15" hidden="1">
      <c r="A84" s="940">
        <v>44238</v>
      </c>
      <c r="B84" s="1136"/>
      <c r="C84" s="1803"/>
      <c r="D84" s="939" t="s">
        <v>1128</v>
      </c>
      <c r="E84" s="939"/>
      <c r="F84" s="939"/>
      <c r="G84" s="354">
        <v>2588.58</v>
      </c>
      <c r="H84" s="940">
        <v>44258</v>
      </c>
      <c r="I84" s="2229">
        <v>4930</v>
      </c>
      <c r="J84" s="2230">
        <v>44320</v>
      </c>
      <c r="K84" s="2236" t="s">
        <v>550</v>
      </c>
      <c r="L84" s="938" t="s">
        <v>674</v>
      </c>
      <c r="M84" s="281"/>
      <c r="N84" s="281"/>
      <c r="O84" s="281"/>
    </row>
    <row r="85" spans="1:15" hidden="1">
      <c r="A85" s="940">
        <v>44252</v>
      </c>
      <c r="B85" s="1136"/>
      <c r="C85" s="1803"/>
      <c r="D85" s="939" t="s">
        <v>1129</v>
      </c>
      <c r="E85" s="939"/>
      <c r="F85" s="939"/>
      <c r="G85" s="354">
        <v>3189.28</v>
      </c>
      <c r="H85" s="940">
        <v>44257</v>
      </c>
      <c r="I85" s="2229"/>
      <c r="J85" s="2230"/>
      <c r="K85" s="2236"/>
      <c r="L85" s="938" t="s">
        <v>674</v>
      </c>
      <c r="M85" s="281"/>
      <c r="N85" s="281"/>
      <c r="O85" s="281"/>
    </row>
    <row r="86" spans="1:15" hidden="1">
      <c r="A86" s="940">
        <v>44252</v>
      </c>
      <c r="B86" s="1136"/>
      <c r="C86" s="1803"/>
      <c r="D86" s="939" t="s">
        <v>1130</v>
      </c>
      <c r="E86" s="939"/>
      <c r="F86" s="939"/>
      <c r="G86" s="354">
        <v>-620.75</v>
      </c>
      <c r="H86" s="940" t="s">
        <v>1529</v>
      </c>
      <c r="I86" s="2229"/>
      <c r="J86" s="2230"/>
      <c r="K86" s="2236"/>
      <c r="L86" s="938"/>
      <c r="M86" s="281"/>
      <c r="N86" s="281"/>
      <c r="O86" s="281"/>
    </row>
    <row r="87" spans="1:15" hidden="1">
      <c r="A87" s="940">
        <v>44252</v>
      </c>
      <c r="B87" s="1136"/>
      <c r="C87" s="1803"/>
      <c r="D87" s="943" t="s">
        <v>2002</v>
      </c>
      <c r="E87" s="943"/>
      <c r="F87" s="943"/>
      <c r="G87" s="354">
        <v>-227.85</v>
      </c>
      <c r="H87" s="940"/>
      <c r="I87" s="2229"/>
      <c r="J87" s="2230"/>
      <c r="K87" s="2236"/>
      <c r="L87" s="938"/>
      <c r="M87" s="281"/>
      <c r="N87" s="281"/>
      <c r="O87" s="281"/>
    </row>
    <row r="88" spans="1:15" hidden="1">
      <c r="A88" s="318"/>
      <c r="B88" s="318"/>
      <c r="C88" s="318"/>
      <c r="D88" s="318" t="s">
        <v>545</v>
      </c>
      <c r="E88" s="318"/>
      <c r="F88" s="318"/>
      <c r="G88" s="354">
        <f>G84+G85+G86+G87-I84</f>
        <v>-0.73999999999978172</v>
      </c>
      <c r="H88" s="940"/>
      <c r="I88" s="941"/>
      <c r="J88" s="940"/>
      <c r="K88" s="939"/>
      <c r="L88" s="938"/>
      <c r="M88" s="281"/>
      <c r="N88" s="281"/>
      <c r="O88" s="281"/>
    </row>
    <row r="89" spans="1:15" hidden="1">
      <c r="A89" s="940">
        <v>44263</v>
      </c>
      <c r="B89" s="1136"/>
      <c r="C89" s="1803"/>
      <c r="D89" s="943" t="s">
        <v>1131</v>
      </c>
      <c r="E89" s="943"/>
      <c r="F89" s="943"/>
      <c r="G89" s="354">
        <v>1646.88</v>
      </c>
      <c r="H89" s="940">
        <v>44287</v>
      </c>
      <c r="I89" s="941">
        <v>1646.88</v>
      </c>
      <c r="J89" s="940">
        <v>44354</v>
      </c>
      <c r="K89" s="939" t="s">
        <v>544</v>
      </c>
      <c r="L89" s="938" t="s">
        <v>674</v>
      </c>
      <c r="M89" s="281"/>
      <c r="N89" s="281"/>
      <c r="O89" s="281"/>
    </row>
    <row r="90" spans="1:15" hidden="1">
      <c r="A90" s="940">
        <v>44279</v>
      </c>
      <c r="B90" s="1136"/>
      <c r="C90" s="1803"/>
      <c r="D90" s="939" t="s">
        <v>1132</v>
      </c>
      <c r="E90" s="939"/>
      <c r="F90" s="939"/>
      <c r="G90" s="960">
        <v>3452.98</v>
      </c>
      <c r="H90" s="940">
        <v>44288</v>
      </c>
      <c r="I90" s="941">
        <v>3452.98</v>
      </c>
      <c r="J90" s="933">
        <v>44355</v>
      </c>
      <c r="K90" s="939" t="s">
        <v>544</v>
      </c>
      <c r="L90" s="938" t="s">
        <v>674</v>
      </c>
      <c r="M90" s="281"/>
      <c r="N90" s="281"/>
      <c r="O90" s="281"/>
    </row>
    <row r="91" spans="1:15" hidden="1">
      <c r="A91" s="940">
        <v>44298</v>
      </c>
      <c r="B91" s="1136"/>
      <c r="C91" s="1803"/>
      <c r="D91" s="939" t="s">
        <v>1133</v>
      </c>
      <c r="E91" s="939"/>
      <c r="F91" s="939"/>
      <c r="G91" s="960">
        <v>2220.98</v>
      </c>
      <c r="H91" s="940">
        <v>44317</v>
      </c>
      <c r="I91" s="2229">
        <v>5890.28</v>
      </c>
      <c r="J91" s="2087">
        <v>44404</v>
      </c>
      <c r="K91" s="2236" t="s">
        <v>544</v>
      </c>
      <c r="L91" s="938" t="s">
        <v>674</v>
      </c>
      <c r="M91" s="281"/>
      <c r="N91" s="281"/>
      <c r="O91" s="281"/>
    </row>
    <row r="92" spans="1:15" hidden="1">
      <c r="A92" s="940">
        <v>44300</v>
      </c>
      <c r="B92" s="1136"/>
      <c r="C92" s="1803"/>
      <c r="D92" s="939" t="s">
        <v>1134</v>
      </c>
      <c r="E92" s="939"/>
      <c r="F92" s="939"/>
      <c r="G92" s="960">
        <v>-192.16</v>
      </c>
      <c r="H92" s="940">
        <v>44317</v>
      </c>
      <c r="I92" s="2229"/>
      <c r="J92" s="2087"/>
      <c r="K92" s="2236"/>
      <c r="L92" s="938"/>
      <c r="M92" s="281"/>
      <c r="N92" s="281"/>
      <c r="O92" s="281"/>
    </row>
    <row r="93" spans="1:15" hidden="1">
      <c r="A93" s="940">
        <v>44312</v>
      </c>
      <c r="B93" s="1136"/>
      <c r="C93" s="1803"/>
      <c r="D93" s="939" t="s">
        <v>1135</v>
      </c>
      <c r="E93" s="939"/>
      <c r="F93" s="939"/>
      <c r="G93" s="960">
        <v>2386.7800000000002</v>
      </c>
      <c r="H93" s="940">
        <v>44317</v>
      </c>
      <c r="I93" s="2229"/>
      <c r="J93" s="2087"/>
      <c r="K93" s="2236"/>
      <c r="L93" s="938" t="s">
        <v>674</v>
      </c>
      <c r="M93" s="281"/>
      <c r="N93" s="281"/>
      <c r="O93" s="281"/>
    </row>
    <row r="94" spans="1:15" hidden="1">
      <c r="A94" s="940">
        <v>44322</v>
      </c>
      <c r="B94" s="1136"/>
      <c r="C94" s="1803"/>
      <c r="D94" s="939" t="s">
        <v>1136</v>
      </c>
      <c r="E94" s="939"/>
      <c r="F94" s="939"/>
      <c r="G94" s="960">
        <v>2488.16</v>
      </c>
      <c r="H94" s="940">
        <v>44350</v>
      </c>
      <c r="I94" s="2229"/>
      <c r="J94" s="2087"/>
      <c r="K94" s="2236"/>
      <c r="L94" s="938" t="s">
        <v>674</v>
      </c>
      <c r="M94" s="281"/>
      <c r="N94" s="281"/>
      <c r="O94" s="281"/>
    </row>
    <row r="95" spans="1:15" hidden="1">
      <c r="A95" s="318"/>
      <c r="B95" s="318"/>
      <c r="C95" s="318"/>
      <c r="D95" s="318" t="s">
        <v>545</v>
      </c>
      <c r="E95" s="318"/>
      <c r="F95" s="318"/>
      <c r="G95" s="960">
        <f>G91+G92+G93+G94-I91</f>
        <v>1013.4800000000005</v>
      </c>
      <c r="H95" s="940"/>
      <c r="I95" s="2229">
        <v>2854.6</v>
      </c>
      <c r="J95" s="2087">
        <v>44413</v>
      </c>
      <c r="K95" s="2236" t="s">
        <v>544</v>
      </c>
      <c r="L95" s="938"/>
      <c r="M95" s="281"/>
      <c r="N95" s="281"/>
      <c r="O95" s="281"/>
    </row>
    <row r="96" spans="1:15" hidden="1">
      <c r="A96" s="940">
        <v>44330</v>
      </c>
      <c r="B96" s="1136"/>
      <c r="C96" s="1803"/>
      <c r="D96" s="939" t="s">
        <v>1137</v>
      </c>
      <c r="E96" s="939"/>
      <c r="F96" s="939"/>
      <c r="G96" s="960">
        <v>1841.12</v>
      </c>
      <c r="H96" s="940">
        <v>44349</v>
      </c>
      <c r="I96" s="2229"/>
      <c r="J96" s="2087"/>
      <c r="K96" s="2236"/>
      <c r="L96" s="938"/>
      <c r="M96" s="281"/>
      <c r="N96" s="281"/>
      <c r="O96" s="281"/>
    </row>
    <row r="97" spans="1:15" hidden="1">
      <c r="A97" s="940">
        <v>44355</v>
      </c>
      <c r="B97" s="1136"/>
      <c r="C97" s="1803"/>
      <c r="D97" s="939" t="s">
        <v>1138</v>
      </c>
      <c r="E97" s="939"/>
      <c r="F97" s="939"/>
      <c r="G97" s="960">
        <v>2739.77</v>
      </c>
      <c r="H97" s="940">
        <v>44378</v>
      </c>
      <c r="I97" s="2229">
        <v>5000</v>
      </c>
      <c r="J97" s="2087">
        <v>44438</v>
      </c>
      <c r="K97" s="2086" t="s">
        <v>550</v>
      </c>
      <c r="L97" s="938"/>
      <c r="M97" s="281"/>
      <c r="N97" s="281"/>
      <c r="O97" s="281"/>
    </row>
    <row r="98" spans="1:15" hidden="1">
      <c r="A98" s="940">
        <v>44370</v>
      </c>
      <c r="B98" s="1136"/>
      <c r="C98" s="1803"/>
      <c r="D98" s="939" t="s">
        <v>1139</v>
      </c>
      <c r="E98" s="939"/>
      <c r="F98" s="939"/>
      <c r="G98" s="960">
        <v>2855.06</v>
      </c>
      <c r="H98" s="940">
        <v>44378</v>
      </c>
      <c r="I98" s="2229"/>
      <c r="J98" s="2087"/>
      <c r="K98" s="2086"/>
      <c r="L98" s="938"/>
      <c r="M98" s="281"/>
      <c r="N98" s="281"/>
      <c r="O98" s="281"/>
    </row>
    <row r="99" spans="1:15" hidden="1">
      <c r="A99" s="940">
        <v>44396</v>
      </c>
      <c r="B99" s="1136"/>
      <c r="C99" s="1803"/>
      <c r="D99" s="939" t="s">
        <v>1140</v>
      </c>
      <c r="E99" s="939"/>
      <c r="F99" s="939"/>
      <c r="G99" s="960">
        <v>-459</v>
      </c>
      <c r="H99" s="940">
        <v>44409</v>
      </c>
      <c r="I99" s="2229"/>
      <c r="J99" s="2087"/>
      <c r="K99" s="2086"/>
      <c r="L99" s="938"/>
      <c r="M99" s="281"/>
      <c r="N99" s="281"/>
      <c r="O99" s="281"/>
    </row>
    <row r="100" spans="1:15" hidden="1">
      <c r="A100" s="318"/>
      <c r="B100" s="318"/>
      <c r="C100" s="318"/>
      <c r="D100" s="318" t="s">
        <v>545</v>
      </c>
      <c r="E100" s="318"/>
      <c r="F100" s="318"/>
      <c r="G100" s="960">
        <f>G97+G98+G99-I97</f>
        <v>135.82999999999993</v>
      </c>
      <c r="H100" s="940"/>
      <c r="I100" s="941">
        <v>2870.65</v>
      </c>
      <c r="J100" s="933">
        <v>44475</v>
      </c>
      <c r="K100" s="934" t="s">
        <v>2134</v>
      </c>
      <c r="L100" s="938"/>
      <c r="M100" s="281"/>
      <c r="N100" s="281"/>
      <c r="O100" s="281"/>
    </row>
    <row r="101" spans="1:15" hidden="1">
      <c r="A101" s="940">
        <v>44396</v>
      </c>
      <c r="B101" s="1136"/>
      <c r="C101" s="1803"/>
      <c r="D101" s="939" t="s">
        <v>1141</v>
      </c>
      <c r="E101" s="939"/>
      <c r="F101" s="939"/>
      <c r="G101" s="960">
        <v>5081.1400000000003</v>
      </c>
      <c r="H101" s="940">
        <v>44409</v>
      </c>
      <c r="I101" s="2229">
        <v>3240.24</v>
      </c>
      <c r="J101" s="2095">
        <v>44475</v>
      </c>
      <c r="K101" s="2014" t="s">
        <v>2134</v>
      </c>
      <c r="L101" s="938"/>
      <c r="M101" s="281"/>
      <c r="N101" s="281"/>
      <c r="O101" s="281"/>
    </row>
    <row r="102" spans="1:15" hidden="1">
      <c r="A102" s="940">
        <v>44400</v>
      </c>
      <c r="B102" s="1136"/>
      <c r="C102" s="1803"/>
      <c r="D102" s="939" t="s">
        <v>1142</v>
      </c>
      <c r="E102" s="939"/>
      <c r="F102" s="939"/>
      <c r="G102" s="960"/>
      <c r="H102" s="940">
        <v>44409</v>
      </c>
      <c r="I102" s="2229"/>
      <c r="J102" s="2096"/>
      <c r="K102" s="2015"/>
      <c r="L102" s="938" t="s">
        <v>1143</v>
      </c>
      <c r="M102" s="281"/>
      <c r="N102" s="281"/>
      <c r="O102" s="281"/>
    </row>
    <row r="103" spans="1:15" hidden="1">
      <c r="A103" s="940">
        <v>44403</v>
      </c>
      <c r="B103" s="1136"/>
      <c r="C103" s="1803"/>
      <c r="D103" s="939" t="s">
        <v>1144</v>
      </c>
      <c r="E103" s="939"/>
      <c r="F103" s="939"/>
      <c r="G103" s="960">
        <v>2852.96</v>
      </c>
      <c r="H103" s="940">
        <v>44409</v>
      </c>
      <c r="I103" s="2229"/>
      <c r="J103" s="2097"/>
      <c r="K103" s="2016"/>
      <c r="L103" s="938"/>
      <c r="M103" s="281"/>
      <c r="N103" s="281"/>
      <c r="O103" s="281"/>
    </row>
    <row r="104" spans="1:15" hidden="1">
      <c r="A104" s="318"/>
      <c r="B104" s="318"/>
      <c r="C104" s="318"/>
      <c r="D104" s="318" t="s">
        <v>545</v>
      </c>
      <c r="E104" s="318"/>
      <c r="F104" s="318"/>
      <c r="G104" s="960">
        <f>G100+G101+G103-I100-I101</f>
        <v>1959.0400000000009</v>
      </c>
      <c r="H104" s="940"/>
      <c r="I104" s="2229">
        <v>5000</v>
      </c>
      <c r="J104" s="2087">
        <v>44494</v>
      </c>
      <c r="K104" s="2086" t="s">
        <v>550</v>
      </c>
      <c r="L104" s="938"/>
      <c r="M104" s="281"/>
      <c r="N104" s="281"/>
      <c r="O104" s="281"/>
    </row>
    <row r="105" spans="1:15" hidden="1">
      <c r="A105" s="940">
        <v>44405</v>
      </c>
      <c r="B105" s="1136"/>
      <c r="C105" s="1803"/>
      <c r="D105" s="939" t="s">
        <v>1145</v>
      </c>
      <c r="E105" s="939"/>
      <c r="F105" s="939"/>
      <c r="G105" s="960">
        <v>-309.19</v>
      </c>
      <c r="H105" s="940" t="s">
        <v>1529</v>
      </c>
      <c r="I105" s="2229"/>
      <c r="J105" s="2087"/>
      <c r="K105" s="2086"/>
      <c r="L105" s="314"/>
      <c r="M105" s="281"/>
      <c r="N105" s="281"/>
      <c r="O105" s="281"/>
    </row>
    <row r="106" spans="1:15" hidden="1">
      <c r="A106" s="940">
        <v>44405</v>
      </c>
      <c r="B106" s="1136"/>
      <c r="C106" s="1803"/>
      <c r="D106" s="939" t="s">
        <v>1146</v>
      </c>
      <c r="E106" s="939"/>
      <c r="F106" s="939"/>
      <c r="G106" s="960">
        <v>-44.35</v>
      </c>
      <c r="H106" s="940" t="s">
        <v>1529</v>
      </c>
      <c r="I106" s="2229"/>
      <c r="J106" s="2087"/>
      <c r="K106" s="2086"/>
      <c r="L106" s="314"/>
      <c r="M106" s="281"/>
      <c r="N106" s="281"/>
      <c r="O106" s="281"/>
    </row>
    <row r="107" spans="1:15" hidden="1">
      <c r="A107" s="940">
        <v>44414</v>
      </c>
      <c r="B107" s="1136"/>
      <c r="C107" s="1803"/>
      <c r="D107" s="939" t="s">
        <v>1147</v>
      </c>
      <c r="E107" s="939"/>
      <c r="F107" s="939"/>
      <c r="G107" s="960">
        <v>2762.1</v>
      </c>
      <c r="H107" s="940">
        <v>44442</v>
      </c>
      <c r="I107" s="2229"/>
      <c r="J107" s="2087"/>
      <c r="K107" s="2086"/>
      <c r="L107" s="314"/>
      <c r="M107" s="281"/>
      <c r="N107" s="281"/>
      <c r="O107" s="281"/>
    </row>
    <row r="108" spans="1:15" hidden="1">
      <c r="A108" s="940">
        <v>44435</v>
      </c>
      <c r="B108" s="1136"/>
      <c r="C108" s="1803"/>
      <c r="D108" s="939" t="s">
        <v>1148</v>
      </c>
      <c r="E108" s="939"/>
      <c r="F108" s="939"/>
      <c r="G108" s="960">
        <v>468.12</v>
      </c>
      <c r="H108" s="940">
        <v>44441</v>
      </c>
      <c r="I108" s="2229"/>
      <c r="J108" s="2087"/>
      <c r="K108" s="2086"/>
      <c r="L108" s="314"/>
      <c r="M108" s="281"/>
      <c r="N108" s="281"/>
      <c r="O108" s="281"/>
    </row>
    <row r="109" spans="1:15" hidden="1">
      <c r="A109" s="940">
        <v>44436</v>
      </c>
      <c r="B109" s="1136"/>
      <c r="C109" s="1803"/>
      <c r="D109" s="939" t="s">
        <v>1149</v>
      </c>
      <c r="E109" s="939"/>
      <c r="F109" s="939"/>
      <c r="G109" s="960">
        <v>3142.8</v>
      </c>
      <c r="H109" s="940">
        <v>44442</v>
      </c>
      <c r="I109" s="2229"/>
      <c r="J109" s="2087"/>
      <c r="K109" s="2086"/>
      <c r="L109" s="314"/>
      <c r="M109" s="281"/>
      <c r="N109" s="281"/>
      <c r="O109" s="281"/>
    </row>
    <row r="110" spans="1:15" hidden="1">
      <c r="A110" s="318"/>
      <c r="B110" s="318"/>
      <c r="C110" s="318"/>
      <c r="D110" s="318" t="s">
        <v>545</v>
      </c>
      <c r="E110" s="318"/>
      <c r="F110" s="318"/>
      <c r="G110" s="960">
        <f>SUM(G104:G109)-I104</f>
        <v>2978.5200000000004</v>
      </c>
      <c r="H110" s="940"/>
      <c r="I110" s="2229">
        <v>3420.26</v>
      </c>
      <c r="J110" s="2087">
        <v>44516</v>
      </c>
      <c r="K110" s="2086" t="s">
        <v>544</v>
      </c>
      <c r="L110" s="314"/>
      <c r="M110" s="281"/>
      <c r="N110" s="281"/>
      <c r="O110" s="281"/>
    </row>
    <row r="111" spans="1:15" hidden="1">
      <c r="A111" s="940">
        <v>44438</v>
      </c>
      <c r="B111" s="1136"/>
      <c r="C111" s="1803"/>
      <c r="D111" s="939" t="s">
        <v>1151</v>
      </c>
      <c r="E111" s="939"/>
      <c r="F111" s="939"/>
      <c r="G111" s="960">
        <v>569.22</v>
      </c>
      <c r="H111" s="940">
        <v>44444</v>
      </c>
      <c r="I111" s="2229"/>
      <c r="J111" s="2087"/>
      <c r="K111" s="2086"/>
      <c r="L111" s="314"/>
      <c r="M111" s="281"/>
      <c r="N111" s="281"/>
      <c r="O111" s="281"/>
    </row>
    <row r="112" spans="1:15" hidden="1">
      <c r="A112" s="940"/>
      <c r="B112" s="1136"/>
      <c r="C112" s="1803"/>
      <c r="D112" s="939"/>
      <c r="E112" s="939"/>
      <c r="F112" s="939"/>
      <c r="G112" s="960">
        <f>SUM(G110:G111)-I110</f>
        <v>127.48000000000047</v>
      </c>
      <c r="H112" s="940"/>
      <c r="I112" s="2229">
        <v>3560.21</v>
      </c>
      <c r="J112" s="2087">
        <v>44526</v>
      </c>
      <c r="K112" s="2086" t="s">
        <v>544</v>
      </c>
      <c r="L112" s="314"/>
      <c r="M112" s="281"/>
      <c r="N112" s="281"/>
      <c r="O112" s="281"/>
    </row>
    <row r="113" spans="1:15" hidden="1">
      <c r="A113" s="940">
        <v>44457</v>
      </c>
      <c r="B113" s="1136"/>
      <c r="C113" s="1803"/>
      <c r="D113" s="939" t="s">
        <v>1152</v>
      </c>
      <c r="E113" s="939"/>
      <c r="F113" s="939"/>
      <c r="G113" s="960">
        <v>4263.9799999999996</v>
      </c>
      <c r="H113" s="940">
        <v>44472</v>
      </c>
      <c r="I113" s="2229"/>
      <c r="J113" s="2087"/>
      <c r="K113" s="2086"/>
      <c r="L113" s="314"/>
      <c r="M113" s="281"/>
      <c r="N113" s="281"/>
      <c r="O113" s="281"/>
    </row>
    <row r="114" spans="1:15" hidden="1">
      <c r="A114" s="318"/>
      <c r="B114" s="318"/>
      <c r="C114" s="318"/>
      <c r="D114" s="318" t="s">
        <v>545</v>
      </c>
      <c r="E114" s="318"/>
      <c r="F114" s="318"/>
      <c r="G114" s="960">
        <f>SUM(G112:G113)-I112</f>
        <v>831.25</v>
      </c>
      <c r="H114" s="940"/>
      <c r="I114" s="2229">
        <v>5000</v>
      </c>
      <c r="J114" s="2087">
        <v>44539</v>
      </c>
      <c r="K114" s="2086" t="s">
        <v>550</v>
      </c>
      <c r="L114" s="314"/>
      <c r="M114" s="281"/>
      <c r="N114" s="281"/>
      <c r="O114" s="281"/>
    </row>
    <row r="115" spans="1:15" hidden="1">
      <c r="A115" s="940">
        <v>44480</v>
      </c>
      <c r="B115" s="1136"/>
      <c r="C115" s="1803"/>
      <c r="D115" s="939" t="s">
        <v>1153</v>
      </c>
      <c r="E115" s="939"/>
      <c r="F115" s="939"/>
      <c r="G115" s="960">
        <v>5640.06</v>
      </c>
      <c r="H115" s="940">
        <v>44504</v>
      </c>
      <c r="I115" s="2229"/>
      <c r="J115" s="2087"/>
      <c r="K115" s="2086"/>
      <c r="L115" s="314"/>
      <c r="M115" s="281"/>
      <c r="N115" s="281"/>
      <c r="O115" s="281"/>
    </row>
    <row r="116" spans="1:15" hidden="1">
      <c r="A116" s="318"/>
      <c r="B116" s="318"/>
      <c r="C116" s="318"/>
      <c r="D116" s="318" t="s">
        <v>545</v>
      </c>
      <c r="E116" s="318"/>
      <c r="F116" s="318"/>
      <c r="G116" s="960">
        <f>SUM(G114:G115)-I114</f>
        <v>1471.3100000000004</v>
      </c>
      <c r="H116" s="940"/>
      <c r="I116" s="932"/>
      <c r="J116" s="933"/>
      <c r="K116" s="934"/>
      <c r="L116" s="314"/>
      <c r="M116" s="281"/>
      <c r="N116" s="281"/>
      <c r="O116" s="281"/>
    </row>
    <row r="117" spans="1:15" hidden="1">
      <c r="A117" s="940">
        <v>44494</v>
      </c>
      <c r="B117" s="1136"/>
      <c r="C117" s="1803"/>
      <c r="D117" s="939" t="s">
        <v>1154</v>
      </c>
      <c r="E117" s="939"/>
      <c r="F117" s="939"/>
      <c r="G117" s="960">
        <v>2406.8200000000002</v>
      </c>
      <c r="H117" s="940">
        <v>44501</v>
      </c>
      <c r="I117" s="2229">
        <v>3783.95</v>
      </c>
      <c r="J117" s="2095">
        <v>44663</v>
      </c>
      <c r="K117" s="2014" t="s">
        <v>1932</v>
      </c>
      <c r="L117" s="314"/>
      <c r="M117" s="281"/>
      <c r="N117" s="281"/>
      <c r="O117" s="281"/>
    </row>
    <row r="118" spans="1:15" hidden="1">
      <c r="A118" s="940">
        <v>44496</v>
      </c>
      <c r="B118" s="1136"/>
      <c r="C118" s="1803"/>
      <c r="D118" s="939" t="s">
        <v>1155</v>
      </c>
      <c r="E118" s="939"/>
      <c r="F118" s="939"/>
      <c r="G118" s="960">
        <v>1377.13</v>
      </c>
      <c r="H118" s="940">
        <v>44503</v>
      </c>
      <c r="I118" s="2229"/>
      <c r="J118" s="2097"/>
      <c r="K118" s="2016"/>
      <c r="L118" s="314"/>
      <c r="M118" s="281"/>
      <c r="N118" s="281"/>
      <c r="O118" s="281"/>
    </row>
    <row r="119" spans="1:15" hidden="1">
      <c r="A119" s="940"/>
      <c r="B119" s="1136"/>
      <c r="C119" s="1803"/>
      <c r="D119" s="318" t="s">
        <v>545</v>
      </c>
      <c r="E119" s="318"/>
      <c r="F119" s="318"/>
      <c r="G119" s="960">
        <f>SUM(G116:G118)-I117</f>
        <v>1471.3100000000004</v>
      </c>
      <c r="H119" s="940"/>
      <c r="I119" s="2092">
        <v>2755.85</v>
      </c>
      <c r="J119" s="2087">
        <v>44580</v>
      </c>
      <c r="K119" s="2086" t="s">
        <v>2134</v>
      </c>
      <c r="L119" s="314"/>
      <c r="M119" s="281"/>
      <c r="N119" s="281"/>
      <c r="O119" s="281"/>
    </row>
    <row r="120" spans="1:15" hidden="1">
      <c r="A120" s="940">
        <v>44524</v>
      </c>
      <c r="B120" s="1136"/>
      <c r="C120" s="1803"/>
      <c r="D120" s="939" t="s">
        <v>1156</v>
      </c>
      <c r="E120" s="939"/>
      <c r="F120" s="939"/>
      <c r="G120" s="960">
        <v>1603.05</v>
      </c>
      <c r="H120" s="940">
        <v>44532</v>
      </c>
      <c r="I120" s="2092"/>
      <c r="J120" s="2087"/>
      <c r="K120" s="2086"/>
      <c r="L120" s="314"/>
      <c r="M120" s="281"/>
      <c r="N120" s="281"/>
      <c r="O120" s="281"/>
    </row>
    <row r="121" spans="1:15" hidden="1">
      <c r="A121" s="940"/>
      <c r="B121" s="1136"/>
      <c r="C121" s="1803"/>
      <c r="D121" s="318" t="s">
        <v>545</v>
      </c>
      <c r="E121" s="318"/>
      <c r="F121" s="318"/>
      <c r="G121" s="960">
        <f>SUM(G119:G120)-I119</f>
        <v>318.51000000000067</v>
      </c>
      <c r="H121" s="940"/>
      <c r="I121" s="2092">
        <v>2500</v>
      </c>
      <c r="J121" s="2087">
        <v>44592</v>
      </c>
      <c r="K121" s="2086" t="s">
        <v>2135</v>
      </c>
      <c r="L121" s="314"/>
      <c r="M121" s="281"/>
      <c r="N121" s="281"/>
      <c r="O121" s="281"/>
    </row>
    <row r="122" spans="1:15" hidden="1">
      <c r="A122" s="940">
        <v>44533</v>
      </c>
      <c r="B122" s="1136"/>
      <c r="C122" s="1803"/>
      <c r="D122" s="939" t="s">
        <v>1157</v>
      </c>
      <c r="E122" s="939"/>
      <c r="F122" s="939"/>
      <c r="G122" s="960">
        <v>3319.34</v>
      </c>
      <c r="H122" s="940">
        <v>44593</v>
      </c>
      <c r="I122" s="2092"/>
      <c r="J122" s="2087"/>
      <c r="K122" s="2086"/>
      <c r="L122" s="314"/>
      <c r="M122" s="281"/>
      <c r="N122" s="281"/>
      <c r="O122" s="281"/>
    </row>
    <row r="123" spans="1:15" hidden="1">
      <c r="A123" s="940"/>
      <c r="B123" s="1136"/>
      <c r="C123" s="1803"/>
      <c r="D123" s="318" t="s">
        <v>545</v>
      </c>
      <c r="E123" s="318"/>
      <c r="F123" s="318"/>
      <c r="G123" s="960">
        <f>SUM(G121:G122)-I121</f>
        <v>1137.8500000000008</v>
      </c>
      <c r="H123" s="940"/>
      <c r="I123" s="2229">
        <v>8000</v>
      </c>
      <c r="J123" s="2087">
        <v>44627</v>
      </c>
      <c r="K123" s="2086" t="s">
        <v>550</v>
      </c>
      <c r="L123" s="314"/>
      <c r="M123" s="281"/>
      <c r="N123" s="281"/>
      <c r="O123" s="281"/>
    </row>
    <row r="124" spans="1:15" hidden="1">
      <c r="A124" s="940">
        <v>44540</v>
      </c>
      <c r="B124" s="1136"/>
      <c r="C124" s="1803"/>
      <c r="D124" s="939" t="s">
        <v>1158</v>
      </c>
      <c r="E124" s="939"/>
      <c r="F124" s="939"/>
      <c r="G124" s="960">
        <v>2639.95</v>
      </c>
      <c r="H124" s="940">
        <v>44593</v>
      </c>
      <c r="I124" s="2229"/>
      <c r="J124" s="2087"/>
      <c r="K124" s="2086"/>
      <c r="L124" s="314"/>
      <c r="M124" s="281"/>
      <c r="N124" s="281"/>
      <c r="O124" s="281"/>
    </row>
    <row r="125" spans="1:15" hidden="1">
      <c r="A125" s="940">
        <v>44552</v>
      </c>
      <c r="B125" s="1136"/>
      <c r="C125" s="1803"/>
      <c r="D125" s="939" t="s">
        <v>1159</v>
      </c>
      <c r="E125" s="939"/>
      <c r="F125" s="939"/>
      <c r="G125" s="960">
        <v>461.12</v>
      </c>
      <c r="H125" s="940">
        <v>44592</v>
      </c>
      <c r="I125" s="2229"/>
      <c r="J125" s="2087"/>
      <c r="K125" s="2086"/>
      <c r="L125" s="314"/>
      <c r="M125" s="281"/>
      <c r="N125" s="281"/>
      <c r="O125" s="281"/>
    </row>
    <row r="126" spans="1:15" hidden="1">
      <c r="A126" s="940">
        <v>44552</v>
      </c>
      <c r="B126" s="1136"/>
      <c r="C126" s="1803"/>
      <c r="D126" s="939" t="s">
        <v>1160</v>
      </c>
      <c r="E126" s="939"/>
      <c r="F126" s="939"/>
      <c r="G126" s="960">
        <v>1200.2</v>
      </c>
      <c r="H126" s="940">
        <v>44592</v>
      </c>
      <c r="I126" s="2229"/>
      <c r="J126" s="2087"/>
      <c r="K126" s="2086"/>
      <c r="L126" s="314"/>
      <c r="M126" s="281"/>
      <c r="N126" s="281"/>
      <c r="O126" s="281"/>
    </row>
    <row r="127" spans="1:15" hidden="1">
      <c r="A127" s="940">
        <v>44558</v>
      </c>
      <c r="B127" s="1136"/>
      <c r="C127" s="1803"/>
      <c r="D127" s="939" t="s">
        <v>1161</v>
      </c>
      <c r="E127" s="939"/>
      <c r="F127" s="939"/>
      <c r="G127" s="960">
        <v>324.58</v>
      </c>
      <c r="H127" s="940">
        <v>44592</v>
      </c>
      <c r="I127" s="2229"/>
      <c r="J127" s="2087"/>
      <c r="K127" s="2086"/>
      <c r="L127" s="314"/>
      <c r="M127" s="281"/>
      <c r="N127" s="281"/>
      <c r="O127" s="281"/>
    </row>
    <row r="128" spans="1:15" hidden="1">
      <c r="A128" s="940">
        <v>44558</v>
      </c>
      <c r="B128" s="1136"/>
      <c r="C128" s="1803"/>
      <c r="D128" s="939" t="s">
        <v>1162</v>
      </c>
      <c r="E128" s="939"/>
      <c r="F128" s="939"/>
      <c r="G128" s="960">
        <v>2533.52</v>
      </c>
      <c r="H128" s="940">
        <v>44592</v>
      </c>
      <c r="I128" s="2229"/>
      <c r="J128" s="2087"/>
      <c r="K128" s="2086"/>
      <c r="L128" s="314"/>
      <c r="M128" s="281"/>
      <c r="N128" s="281"/>
      <c r="O128" s="281"/>
    </row>
    <row r="129" spans="1:15" hidden="1">
      <c r="A129" s="940"/>
      <c r="B129" s="1136"/>
      <c r="C129" s="1803"/>
      <c r="D129" s="318" t="s">
        <v>545</v>
      </c>
      <c r="E129" s="318"/>
      <c r="F129" s="318"/>
      <c r="G129" s="960">
        <f>SUM(G123:G128)-I123</f>
        <v>297.22000000000116</v>
      </c>
      <c r="H129" s="940"/>
      <c r="I129" s="960"/>
      <c r="J129" s="933"/>
      <c r="K129" s="934"/>
      <c r="L129" s="314"/>
      <c r="M129" s="281"/>
      <c r="N129" s="281"/>
      <c r="O129" s="281"/>
    </row>
    <row r="130" spans="1:15" hidden="1">
      <c r="A130" s="940">
        <v>44579</v>
      </c>
      <c r="B130" s="1136"/>
      <c r="C130" s="1803"/>
      <c r="D130" s="939" t="s">
        <v>1163</v>
      </c>
      <c r="E130" s="939"/>
      <c r="F130" s="939"/>
      <c r="G130" s="960">
        <v>3946.19</v>
      </c>
      <c r="H130" s="940">
        <v>44593</v>
      </c>
      <c r="I130" s="960">
        <v>4243.41</v>
      </c>
      <c r="J130" s="940">
        <v>44672</v>
      </c>
      <c r="K130" s="934" t="s">
        <v>1955</v>
      </c>
      <c r="L130" s="314"/>
      <c r="M130" s="281"/>
      <c r="N130" s="281"/>
      <c r="O130" s="281"/>
    </row>
    <row r="131" spans="1:15" ht="15">
      <c r="A131" s="944"/>
      <c r="B131" s="1124"/>
      <c r="C131" s="1796"/>
      <c r="D131" s="944"/>
      <c r="E131" s="949" t="s">
        <v>3102</v>
      </c>
      <c r="F131" s="743" t="s">
        <v>3101</v>
      </c>
      <c r="G131" s="945">
        <f>SUM(G129:G130)-I130</f>
        <v>0</v>
      </c>
      <c r="H131" s="949"/>
      <c r="I131" s="945"/>
      <c r="J131" s="949"/>
      <c r="K131" s="932"/>
      <c r="L131" s="314"/>
      <c r="M131" s="281"/>
      <c r="N131" s="281"/>
      <c r="O131" s="281"/>
    </row>
    <row r="132" spans="1:15" ht="15">
      <c r="A132" s="949">
        <v>44585</v>
      </c>
      <c r="B132" s="1124" t="s">
        <v>522</v>
      </c>
      <c r="C132" s="1796" t="s">
        <v>3678</v>
      </c>
      <c r="D132" s="944" t="s">
        <v>1164</v>
      </c>
      <c r="E132" s="1047">
        <v>2894.08</v>
      </c>
      <c r="F132" s="694">
        <v>0</v>
      </c>
      <c r="G132" s="945">
        <v>2894.08</v>
      </c>
      <c r="H132" s="949">
        <v>44596</v>
      </c>
      <c r="I132" s="2083">
        <v>7000</v>
      </c>
      <c r="J132" s="2017">
        <v>44684</v>
      </c>
      <c r="K132" s="2014" t="s">
        <v>2080</v>
      </c>
      <c r="L132" s="2222" t="s">
        <v>2133</v>
      </c>
      <c r="M132" s="442"/>
      <c r="N132" s="281"/>
      <c r="O132" s="281"/>
    </row>
    <row r="133" spans="1:15" ht="15">
      <c r="A133" s="2000">
        <v>44587</v>
      </c>
      <c r="B133" s="1918" t="s">
        <v>522</v>
      </c>
      <c r="C133" s="1918" t="s">
        <v>3678</v>
      </c>
      <c r="D133" s="2225" t="s">
        <v>1165</v>
      </c>
      <c r="E133" s="2219">
        <v>5929.06</v>
      </c>
      <c r="F133" s="2078">
        <v>0</v>
      </c>
      <c r="G133" s="945">
        <v>4105.92</v>
      </c>
      <c r="H133" s="949">
        <v>44593</v>
      </c>
      <c r="I133" s="2085"/>
      <c r="J133" s="2019"/>
      <c r="K133" s="2016"/>
      <c r="L133" s="2224"/>
      <c r="M133" s="442"/>
      <c r="N133" s="281"/>
      <c r="O133" s="281"/>
    </row>
    <row r="134" spans="1:15" ht="15">
      <c r="A134" s="2001"/>
      <c r="B134" s="1920"/>
      <c r="C134" s="1920"/>
      <c r="D134" s="2190"/>
      <c r="E134" s="2220"/>
      <c r="F134" s="2080"/>
      <c r="G134" s="945">
        <v>1823.14</v>
      </c>
      <c r="H134" s="949">
        <v>44593</v>
      </c>
      <c r="I134" s="2083">
        <v>3643.24</v>
      </c>
      <c r="J134" s="2017">
        <v>44698</v>
      </c>
      <c r="K134" s="2014" t="s">
        <v>2450</v>
      </c>
      <c r="L134" s="2226"/>
      <c r="M134" s="442"/>
      <c r="N134" s="281"/>
      <c r="O134" s="281"/>
    </row>
    <row r="135" spans="1:15" ht="15">
      <c r="A135" s="668">
        <v>44596</v>
      </c>
      <c r="B135" s="1124" t="s">
        <v>521</v>
      </c>
      <c r="C135" s="1796" t="s">
        <v>3678</v>
      </c>
      <c r="D135" s="947" t="s">
        <v>1166</v>
      </c>
      <c r="E135" s="1047">
        <v>1305.06</v>
      </c>
      <c r="F135" s="694">
        <v>0</v>
      </c>
      <c r="G135" s="945">
        <v>1305.06</v>
      </c>
      <c r="H135" s="949">
        <v>44622</v>
      </c>
      <c r="I135" s="2084"/>
      <c r="J135" s="2018"/>
      <c r="K135" s="2015"/>
      <c r="L135" s="2228"/>
      <c r="M135" s="442"/>
      <c r="N135" s="281"/>
      <c r="O135" s="281"/>
    </row>
    <row r="136" spans="1:15" ht="15">
      <c r="A136" s="2000">
        <v>44620</v>
      </c>
      <c r="B136" s="1918" t="s">
        <v>521</v>
      </c>
      <c r="C136" s="1918" t="s">
        <v>3678</v>
      </c>
      <c r="D136" s="2026" t="s">
        <v>1167</v>
      </c>
      <c r="E136" s="2219">
        <v>3210.86</v>
      </c>
      <c r="F136" s="2078">
        <v>0</v>
      </c>
      <c r="G136" s="945">
        <v>515.04</v>
      </c>
      <c r="H136" s="949">
        <v>44621</v>
      </c>
      <c r="I136" s="2085"/>
      <c r="J136" s="2019"/>
      <c r="K136" s="2016"/>
      <c r="L136" s="2227"/>
      <c r="M136" s="442"/>
      <c r="N136" s="281"/>
      <c r="O136" s="281"/>
    </row>
    <row r="137" spans="1:15" ht="15">
      <c r="A137" s="2001"/>
      <c r="B137" s="1920"/>
      <c r="C137" s="1920"/>
      <c r="D137" s="2027"/>
      <c r="E137" s="2220"/>
      <c r="F137" s="2080"/>
      <c r="G137" s="945">
        <v>2695.82</v>
      </c>
      <c r="H137" s="949">
        <v>44621</v>
      </c>
      <c r="I137" s="2083">
        <v>3274.33</v>
      </c>
      <c r="J137" s="2017">
        <v>44705</v>
      </c>
      <c r="K137" s="2014" t="s">
        <v>2160</v>
      </c>
      <c r="L137" s="2226"/>
      <c r="M137" s="442"/>
      <c r="N137" s="281"/>
      <c r="O137" s="281"/>
    </row>
    <row r="138" spans="1:15" ht="15">
      <c r="A138" s="1983">
        <v>44623</v>
      </c>
      <c r="B138" s="1918" t="s">
        <v>521</v>
      </c>
      <c r="C138" s="1918" t="s">
        <v>3678</v>
      </c>
      <c r="D138" s="1988" t="s">
        <v>1168</v>
      </c>
      <c r="E138" s="2219">
        <v>779</v>
      </c>
      <c r="F138" s="2078">
        <v>0</v>
      </c>
      <c r="G138" s="945">
        <f>779-200.49</f>
        <v>578.51</v>
      </c>
      <c r="H138" s="949">
        <v>44653</v>
      </c>
      <c r="I138" s="2085"/>
      <c r="J138" s="2019"/>
      <c r="K138" s="2016"/>
      <c r="L138" s="2227"/>
      <c r="M138" s="442"/>
      <c r="N138" s="281"/>
      <c r="O138" s="281"/>
    </row>
    <row r="139" spans="1:15" ht="15">
      <c r="A139" s="1985"/>
      <c r="B139" s="1920"/>
      <c r="C139" s="1920"/>
      <c r="D139" s="1990"/>
      <c r="E139" s="2220"/>
      <c r="F139" s="2080"/>
      <c r="G139" s="957">
        <v>200.49</v>
      </c>
      <c r="H139" s="956">
        <v>44653</v>
      </c>
      <c r="I139" s="2083">
        <v>2011.11</v>
      </c>
      <c r="J139" s="2017">
        <v>44746</v>
      </c>
      <c r="K139" s="2014" t="s">
        <v>2418</v>
      </c>
      <c r="L139" s="2222" t="s">
        <v>2419</v>
      </c>
      <c r="M139" s="442"/>
      <c r="N139" s="281"/>
      <c r="O139" s="281"/>
    </row>
    <row r="140" spans="1:15" ht="15">
      <c r="A140" s="676">
        <v>44628</v>
      </c>
      <c r="B140" s="1124" t="s">
        <v>521</v>
      </c>
      <c r="C140" s="1796" t="s">
        <v>3678</v>
      </c>
      <c r="D140" s="677" t="s">
        <v>1169</v>
      </c>
      <c r="E140" s="1047">
        <v>1573.63</v>
      </c>
      <c r="F140" s="694">
        <v>0</v>
      </c>
      <c r="G140" s="957">
        <v>1573.63</v>
      </c>
      <c r="H140" s="956">
        <v>44652</v>
      </c>
      <c r="I140" s="2084"/>
      <c r="J140" s="2018"/>
      <c r="K140" s="2015"/>
      <c r="L140" s="2223"/>
      <c r="M140" s="442"/>
      <c r="N140" s="281"/>
      <c r="O140" s="281"/>
    </row>
    <row r="141" spans="1:15" ht="15">
      <c r="A141" s="676">
        <v>44657</v>
      </c>
      <c r="B141" s="1124" t="s">
        <v>521</v>
      </c>
      <c r="C141" s="1796" t="s">
        <v>3678</v>
      </c>
      <c r="D141" s="677" t="s">
        <v>1875</v>
      </c>
      <c r="E141" s="1047">
        <v>-22.79</v>
      </c>
      <c r="F141" s="694">
        <v>0</v>
      </c>
      <c r="G141" s="957">
        <v>-22.79</v>
      </c>
      <c r="H141" s="608"/>
      <c r="I141" s="2084"/>
      <c r="J141" s="2018"/>
      <c r="K141" s="2015"/>
      <c r="L141" s="2223"/>
      <c r="M141" s="442"/>
      <c r="N141" s="281"/>
      <c r="O141" s="281"/>
    </row>
    <row r="142" spans="1:15" ht="15">
      <c r="A142" s="676">
        <v>44657</v>
      </c>
      <c r="B142" s="1124" t="s">
        <v>521</v>
      </c>
      <c r="C142" s="1796" t="s">
        <v>3678</v>
      </c>
      <c r="D142" s="677" t="s">
        <v>1876</v>
      </c>
      <c r="E142" s="1047">
        <v>-318.73</v>
      </c>
      <c r="F142" s="694">
        <v>0</v>
      </c>
      <c r="G142" s="957">
        <v>-318.73</v>
      </c>
      <c r="H142" s="608"/>
      <c r="I142" s="2084"/>
      <c r="J142" s="2018"/>
      <c r="K142" s="2015"/>
      <c r="L142" s="2223"/>
      <c r="M142" s="442"/>
      <c r="N142" s="281"/>
      <c r="O142" s="281"/>
    </row>
    <row r="143" spans="1:15" ht="15">
      <c r="A143" s="1983">
        <v>44663</v>
      </c>
      <c r="B143" s="1918" t="s">
        <v>521</v>
      </c>
      <c r="C143" s="1918" t="s">
        <v>3678</v>
      </c>
      <c r="D143" s="1988" t="s">
        <v>1931</v>
      </c>
      <c r="E143" s="2219">
        <v>10295.27</v>
      </c>
      <c r="F143" s="2078">
        <v>0</v>
      </c>
      <c r="G143" s="957">
        <v>578.51</v>
      </c>
      <c r="H143" s="956">
        <v>44683</v>
      </c>
      <c r="I143" s="2085"/>
      <c r="J143" s="2019"/>
      <c r="K143" s="2016"/>
      <c r="L143" s="2224"/>
      <c r="M143" s="442"/>
      <c r="N143" s="281"/>
      <c r="O143" s="281"/>
    </row>
    <row r="144" spans="1:15" ht="15">
      <c r="A144" s="1984"/>
      <c r="B144" s="1919"/>
      <c r="C144" s="1919"/>
      <c r="D144" s="1989"/>
      <c r="E144" s="2221"/>
      <c r="F144" s="2079"/>
      <c r="G144" s="957">
        <v>3273.42</v>
      </c>
      <c r="H144" s="956">
        <v>44683</v>
      </c>
      <c r="I144" s="957">
        <v>3273.42</v>
      </c>
      <c r="J144" s="949">
        <v>44756</v>
      </c>
      <c r="K144" s="934" t="s">
        <v>2451</v>
      </c>
      <c r="L144" s="938"/>
      <c r="M144" s="442"/>
      <c r="N144" s="281"/>
      <c r="O144" s="281"/>
    </row>
    <row r="145" spans="1:15" ht="15">
      <c r="A145" s="1984"/>
      <c r="B145" s="1919"/>
      <c r="C145" s="1919"/>
      <c r="D145" s="1989"/>
      <c r="E145" s="2221"/>
      <c r="F145" s="2079"/>
      <c r="G145" s="957">
        <v>2998.8</v>
      </c>
      <c r="H145" s="956">
        <v>44683</v>
      </c>
      <c r="I145" s="957">
        <v>2998.8</v>
      </c>
      <c r="J145" s="949">
        <v>44761</v>
      </c>
      <c r="K145" s="934" t="s">
        <v>2109</v>
      </c>
      <c r="L145" s="938"/>
      <c r="M145" s="442"/>
      <c r="N145" s="281"/>
      <c r="O145" s="281"/>
    </row>
    <row r="146" spans="1:15" ht="15">
      <c r="A146" s="1984"/>
      <c r="B146" s="1919"/>
      <c r="C146" s="1919"/>
      <c r="D146" s="1989"/>
      <c r="E146" s="2221"/>
      <c r="F146" s="2079"/>
      <c r="G146" s="957">
        <v>3123</v>
      </c>
      <c r="H146" s="956">
        <v>44683</v>
      </c>
      <c r="I146" s="957">
        <v>3123</v>
      </c>
      <c r="J146" s="956">
        <v>44771</v>
      </c>
      <c r="K146" s="934" t="s">
        <v>2109</v>
      </c>
      <c r="L146" s="938"/>
      <c r="M146" s="442"/>
      <c r="N146" s="281"/>
      <c r="O146" s="281"/>
    </row>
    <row r="147" spans="1:15" ht="15">
      <c r="A147" s="1985"/>
      <c r="B147" s="1920"/>
      <c r="C147" s="1920"/>
      <c r="D147" s="1990"/>
      <c r="E147" s="2220"/>
      <c r="F147" s="2080"/>
      <c r="G147" s="957">
        <f>10295.27-578.51-3273.42-2998.8-3123</f>
        <v>321.53999999999996</v>
      </c>
      <c r="H147" s="956">
        <v>44683</v>
      </c>
      <c r="I147" s="2083">
        <v>2890.62</v>
      </c>
      <c r="J147" s="2017">
        <v>44771</v>
      </c>
      <c r="K147" s="2014" t="s">
        <v>2584</v>
      </c>
      <c r="L147" s="938"/>
      <c r="M147" s="442"/>
      <c r="N147" s="281"/>
      <c r="O147" s="281"/>
    </row>
    <row r="148" spans="1:15" ht="15">
      <c r="A148" s="1983">
        <v>44676</v>
      </c>
      <c r="B148" s="1918" t="s">
        <v>521</v>
      </c>
      <c r="C148" s="1918" t="s">
        <v>3678</v>
      </c>
      <c r="D148" s="1988" t="s">
        <v>2000</v>
      </c>
      <c r="E148" s="2219">
        <v>3719.52</v>
      </c>
      <c r="F148" s="2078">
        <v>0</v>
      </c>
      <c r="G148" s="957">
        <v>2569.08</v>
      </c>
      <c r="H148" s="956">
        <v>44682</v>
      </c>
      <c r="I148" s="2085"/>
      <c r="J148" s="2019"/>
      <c r="K148" s="2016"/>
      <c r="L148" s="938"/>
      <c r="M148" s="442"/>
      <c r="N148" s="281"/>
      <c r="O148" s="281"/>
    </row>
    <row r="149" spans="1:15" ht="15">
      <c r="A149" s="1985"/>
      <c r="B149" s="1920"/>
      <c r="C149" s="1920"/>
      <c r="D149" s="1990"/>
      <c r="E149" s="2220"/>
      <c r="F149" s="2080"/>
      <c r="G149" s="957">
        <f>3719.52-2569.08</f>
        <v>1150.44</v>
      </c>
      <c r="H149" s="956">
        <v>44682</v>
      </c>
      <c r="I149" s="2083">
        <v>2870.17</v>
      </c>
      <c r="J149" s="2017">
        <v>44771</v>
      </c>
      <c r="K149" s="2014" t="s">
        <v>2584</v>
      </c>
      <c r="L149" s="938"/>
      <c r="M149" s="442"/>
      <c r="N149" s="281"/>
      <c r="O149" s="281"/>
    </row>
    <row r="150" spans="1:15" ht="15">
      <c r="A150" s="676">
        <v>44680</v>
      </c>
      <c r="B150" s="1124" t="s">
        <v>521</v>
      </c>
      <c r="C150" s="1796" t="s">
        <v>3678</v>
      </c>
      <c r="D150" s="677" t="s">
        <v>2001</v>
      </c>
      <c r="E150" s="1047">
        <v>1141.22</v>
      </c>
      <c r="F150" s="694">
        <v>0</v>
      </c>
      <c r="G150" s="957">
        <v>1141.22</v>
      </c>
      <c r="H150" s="956">
        <v>44682</v>
      </c>
      <c r="I150" s="2084"/>
      <c r="J150" s="2018"/>
      <c r="K150" s="2015"/>
      <c r="L150" s="938"/>
      <c r="M150" s="442"/>
      <c r="N150" s="281"/>
      <c r="O150" s="281"/>
    </row>
    <row r="151" spans="1:15" ht="15">
      <c r="A151" s="1983">
        <v>44698</v>
      </c>
      <c r="B151" s="1918" t="s">
        <v>4119</v>
      </c>
      <c r="C151" s="1918" t="s">
        <v>3678</v>
      </c>
      <c r="D151" s="1988" t="s">
        <v>2132</v>
      </c>
      <c r="E151" s="2215">
        <v>3207.47</v>
      </c>
      <c r="F151" s="2117">
        <v>0</v>
      </c>
      <c r="G151" s="957">
        <v>578.51</v>
      </c>
      <c r="H151" s="956">
        <v>44714</v>
      </c>
      <c r="I151" s="2085"/>
      <c r="J151" s="2019"/>
      <c r="K151" s="2016"/>
      <c r="L151" s="938"/>
      <c r="M151" s="442"/>
      <c r="N151" s="281"/>
      <c r="O151" s="281"/>
    </row>
    <row r="152" spans="1:15" ht="15">
      <c r="A152" s="1985"/>
      <c r="B152" s="1920"/>
      <c r="C152" s="1920"/>
      <c r="D152" s="1990"/>
      <c r="E152" s="2216"/>
      <c r="F152" s="2118"/>
      <c r="G152" s="957">
        <f>3207.47-578.51</f>
        <v>2628.96</v>
      </c>
      <c r="H152" s="956">
        <v>44714</v>
      </c>
      <c r="I152" s="2083">
        <v>2830.56</v>
      </c>
      <c r="J152" s="2017">
        <v>44784</v>
      </c>
      <c r="K152" s="2014" t="s">
        <v>2109</v>
      </c>
      <c r="L152" s="938"/>
      <c r="M152" s="442"/>
      <c r="N152" s="281"/>
      <c r="O152" s="281"/>
    </row>
    <row r="153" spans="1:15" ht="15">
      <c r="A153" s="676">
        <v>44705</v>
      </c>
      <c r="B153" s="1124" t="s">
        <v>4119</v>
      </c>
      <c r="C153" s="1796" t="s">
        <v>3678</v>
      </c>
      <c r="D153" s="677" t="s">
        <v>2183</v>
      </c>
      <c r="E153" s="1048">
        <v>201.6</v>
      </c>
      <c r="F153" s="722">
        <v>0</v>
      </c>
      <c r="G153" s="957">
        <v>201.6</v>
      </c>
      <c r="H153" s="956">
        <v>44714</v>
      </c>
      <c r="I153" s="2085"/>
      <c r="J153" s="2019"/>
      <c r="K153" s="2016"/>
      <c r="L153" s="938"/>
      <c r="M153" s="442"/>
      <c r="N153" s="281"/>
      <c r="O153" s="281"/>
    </row>
    <row r="154" spans="1:15" ht="15">
      <c r="A154" s="676">
        <v>44705</v>
      </c>
      <c r="B154" s="1124" t="s">
        <v>4119</v>
      </c>
      <c r="C154" s="1796" t="s">
        <v>3678</v>
      </c>
      <c r="D154" s="677" t="s">
        <v>2184</v>
      </c>
      <c r="E154" s="1048">
        <v>3404.92</v>
      </c>
      <c r="F154" s="722">
        <v>0</v>
      </c>
      <c r="G154" s="957">
        <v>3404.92</v>
      </c>
      <c r="H154" s="956">
        <v>44713</v>
      </c>
      <c r="I154" s="957">
        <v>3404.92</v>
      </c>
      <c r="J154" s="956">
        <v>44805</v>
      </c>
      <c r="K154" s="934" t="s">
        <v>2109</v>
      </c>
      <c r="L154" s="938"/>
      <c r="M154" s="442"/>
      <c r="N154" s="281"/>
      <c r="O154" s="281"/>
    </row>
    <row r="155" spans="1:15" ht="15">
      <c r="A155" s="676">
        <v>44725</v>
      </c>
      <c r="B155" s="1124" t="s">
        <v>4119</v>
      </c>
      <c r="C155" s="1796" t="s">
        <v>3678</v>
      </c>
      <c r="D155" s="677" t="s">
        <v>2297</v>
      </c>
      <c r="E155" s="1048">
        <v>3631.17</v>
      </c>
      <c r="F155" s="722">
        <v>0</v>
      </c>
      <c r="G155" s="957">
        <v>3631.17</v>
      </c>
      <c r="H155" s="956">
        <v>44746</v>
      </c>
      <c r="I155" s="957">
        <v>3631.17</v>
      </c>
      <c r="J155" s="956">
        <v>44812</v>
      </c>
      <c r="K155" s="934" t="s">
        <v>2109</v>
      </c>
      <c r="L155" s="938"/>
      <c r="M155" s="442"/>
      <c r="N155" s="281"/>
      <c r="O155" s="281"/>
    </row>
    <row r="156" spans="1:15" ht="15">
      <c r="A156" s="676">
        <v>44736</v>
      </c>
      <c r="B156" s="1124" t="s">
        <v>4119</v>
      </c>
      <c r="C156" s="1796" t="s">
        <v>3678</v>
      </c>
      <c r="D156" s="677" t="s">
        <v>2331</v>
      </c>
      <c r="E156" s="1048">
        <v>3094.6</v>
      </c>
      <c r="F156" s="722">
        <v>0</v>
      </c>
      <c r="G156" s="957">
        <v>3094.6</v>
      </c>
      <c r="H156" s="956">
        <v>44744</v>
      </c>
      <c r="I156" s="957">
        <v>3094.6</v>
      </c>
      <c r="J156" s="956">
        <v>44832</v>
      </c>
      <c r="K156" s="934" t="s">
        <v>2109</v>
      </c>
      <c r="L156" s="938"/>
      <c r="M156" s="442"/>
      <c r="N156" s="281"/>
      <c r="O156" s="281"/>
    </row>
    <row r="157" spans="1:15" ht="15">
      <c r="A157" s="676">
        <v>44741</v>
      </c>
      <c r="B157" s="1124" t="s">
        <v>4119</v>
      </c>
      <c r="C157" s="1796" t="s">
        <v>3678</v>
      </c>
      <c r="D157" s="677" t="s">
        <v>2367</v>
      </c>
      <c r="E157" s="1048">
        <v>3230.34</v>
      </c>
      <c r="F157" s="722">
        <v>0</v>
      </c>
      <c r="G157" s="957">
        <v>3230.34</v>
      </c>
      <c r="H157" s="956">
        <v>44745</v>
      </c>
      <c r="I157" s="957">
        <v>3230.34</v>
      </c>
      <c r="J157" s="956">
        <v>44834</v>
      </c>
      <c r="K157" s="934" t="s">
        <v>2109</v>
      </c>
      <c r="L157" s="938"/>
      <c r="M157" s="442"/>
      <c r="N157" s="281"/>
      <c r="O157" s="281"/>
    </row>
    <row r="158" spans="1:15" ht="15">
      <c r="A158" s="676">
        <v>44748.000497685185</v>
      </c>
      <c r="B158" s="1124" t="s">
        <v>4119</v>
      </c>
      <c r="C158" s="1796" t="s">
        <v>3678</v>
      </c>
      <c r="D158" s="677" t="s">
        <v>2407</v>
      </c>
      <c r="E158" s="1048">
        <v>1457.7</v>
      </c>
      <c r="F158" s="722">
        <v>0</v>
      </c>
      <c r="G158" s="957">
        <v>1457.7</v>
      </c>
      <c r="H158" s="956">
        <v>44775.000497685185</v>
      </c>
      <c r="I158" s="957">
        <v>1457.7</v>
      </c>
      <c r="J158" s="949">
        <v>44823</v>
      </c>
      <c r="K158" s="934" t="s">
        <v>3080</v>
      </c>
      <c r="L158" s="938" t="s">
        <v>3081</v>
      </c>
      <c r="M158" s="442"/>
      <c r="N158" s="281"/>
      <c r="O158" s="281"/>
    </row>
    <row r="159" spans="1:15" ht="15">
      <c r="A159" s="676">
        <v>44761.000497685185</v>
      </c>
      <c r="B159" s="1124" t="s">
        <v>521</v>
      </c>
      <c r="C159" s="1796" t="s">
        <v>3678</v>
      </c>
      <c r="D159" s="677" t="s">
        <v>2484</v>
      </c>
      <c r="E159" s="1048">
        <v>5025.32</v>
      </c>
      <c r="F159" s="722">
        <v>0</v>
      </c>
      <c r="G159" s="957">
        <v>5025.32</v>
      </c>
      <c r="H159" s="956">
        <v>44775</v>
      </c>
      <c r="I159" s="957">
        <v>5025.32</v>
      </c>
      <c r="J159" s="949">
        <v>44823</v>
      </c>
      <c r="K159" s="934" t="s">
        <v>3080</v>
      </c>
      <c r="L159" s="938" t="s">
        <v>3081</v>
      </c>
      <c r="M159" s="442"/>
      <c r="N159" s="281"/>
      <c r="O159" s="281"/>
    </row>
    <row r="160" spans="1:15" ht="15">
      <c r="A160" s="676">
        <v>44778</v>
      </c>
      <c r="B160" s="1124" t="s">
        <v>2644</v>
      </c>
      <c r="C160" s="1796" t="s">
        <v>3678</v>
      </c>
      <c r="D160" s="677" t="s">
        <v>2610</v>
      </c>
      <c r="E160" s="1048">
        <v>795.92</v>
      </c>
      <c r="F160" s="722">
        <v>0</v>
      </c>
      <c r="G160" s="957">
        <v>795.92</v>
      </c>
      <c r="H160" s="956">
        <v>44805</v>
      </c>
      <c r="I160" s="2083">
        <v>3000.44</v>
      </c>
      <c r="J160" s="2017">
        <v>44844</v>
      </c>
      <c r="K160" s="2014" t="s">
        <v>3273</v>
      </c>
      <c r="L160" s="938"/>
      <c r="M160" s="442"/>
      <c r="N160" s="281"/>
      <c r="O160" s="281"/>
    </row>
    <row r="161" spans="1:15" ht="15">
      <c r="A161" s="676">
        <v>44781.000497685185</v>
      </c>
      <c r="B161" s="1124" t="s">
        <v>2644</v>
      </c>
      <c r="C161" s="1796" t="s">
        <v>3678</v>
      </c>
      <c r="D161" s="677" t="s">
        <v>2685</v>
      </c>
      <c r="E161" s="1048">
        <v>524</v>
      </c>
      <c r="F161" s="722">
        <v>0</v>
      </c>
      <c r="G161" s="957">
        <v>524</v>
      </c>
      <c r="H161" s="956">
        <v>44808.000497685185</v>
      </c>
      <c r="I161" s="2084"/>
      <c r="J161" s="2018"/>
      <c r="K161" s="2015"/>
      <c r="L161" s="938"/>
      <c r="M161" s="442"/>
      <c r="N161" s="281"/>
      <c r="O161" s="281"/>
    </row>
    <row r="162" spans="1:15" ht="15">
      <c r="A162" s="676">
        <v>44796</v>
      </c>
      <c r="B162" s="1124" t="s">
        <v>2644</v>
      </c>
      <c r="C162" s="1796" t="s">
        <v>3678</v>
      </c>
      <c r="D162" s="677" t="s">
        <v>2848</v>
      </c>
      <c r="E162" s="1048">
        <v>310.44</v>
      </c>
      <c r="F162" s="722">
        <v>0</v>
      </c>
      <c r="G162" s="957">
        <v>310.44</v>
      </c>
      <c r="H162" s="956">
        <v>44806</v>
      </c>
      <c r="I162" s="2084"/>
      <c r="J162" s="2018"/>
      <c r="K162" s="2015"/>
      <c r="L162" s="938"/>
      <c r="M162" s="442"/>
      <c r="N162" s="281"/>
      <c r="O162" s="281"/>
    </row>
    <row r="163" spans="1:15" ht="15">
      <c r="A163" s="676">
        <v>44799</v>
      </c>
      <c r="B163" s="1124" t="s">
        <v>2644</v>
      </c>
      <c r="C163" s="1796" t="s">
        <v>3678</v>
      </c>
      <c r="D163" s="677" t="s">
        <v>2849</v>
      </c>
      <c r="E163" s="1048">
        <v>291</v>
      </c>
      <c r="F163" s="722">
        <v>0</v>
      </c>
      <c r="G163" s="957">
        <v>291</v>
      </c>
      <c r="H163" s="956">
        <v>44806</v>
      </c>
      <c r="I163" s="2084"/>
      <c r="J163" s="2018"/>
      <c r="K163" s="2015"/>
      <c r="L163" s="938"/>
      <c r="M163" s="442"/>
      <c r="N163" s="281"/>
      <c r="O163" s="281"/>
    </row>
    <row r="164" spans="1:15" ht="15">
      <c r="A164" s="1983">
        <v>44782.000497685185</v>
      </c>
      <c r="B164" s="1918" t="s">
        <v>2644</v>
      </c>
      <c r="C164" s="1918" t="s">
        <v>3678</v>
      </c>
      <c r="D164" s="1988" t="s">
        <v>2686</v>
      </c>
      <c r="E164" s="2215">
        <v>4403.18</v>
      </c>
      <c r="F164" s="2117">
        <v>0</v>
      </c>
      <c r="G164" s="957">
        <v>1079.08</v>
      </c>
      <c r="H164" s="956">
        <v>44809.000497685185</v>
      </c>
      <c r="I164" s="2085"/>
      <c r="J164" s="2019"/>
      <c r="K164" s="2016"/>
      <c r="L164" s="938"/>
      <c r="M164" s="442"/>
      <c r="N164" s="281"/>
      <c r="O164" s="281"/>
    </row>
    <row r="165" spans="1:15" ht="15">
      <c r="A165" s="1985"/>
      <c r="B165" s="1920"/>
      <c r="C165" s="1920"/>
      <c r="D165" s="1990"/>
      <c r="E165" s="2216"/>
      <c r="F165" s="2118"/>
      <c r="G165" s="957">
        <f>4403.18-1079.08</f>
        <v>3324.1000000000004</v>
      </c>
      <c r="H165" s="956">
        <v>44809.000497685185</v>
      </c>
      <c r="I165" s="945">
        <v>3324.1000000000004</v>
      </c>
      <c r="J165" s="949">
        <v>44859</v>
      </c>
      <c r="K165" s="934" t="s">
        <v>3384</v>
      </c>
      <c r="L165" s="938"/>
      <c r="M165" s="442"/>
      <c r="N165" s="281"/>
      <c r="O165" s="281"/>
    </row>
    <row r="166" spans="1:15" ht="15">
      <c r="A166" s="676">
        <v>44790.000497685185</v>
      </c>
      <c r="B166" s="1124" t="s">
        <v>2644</v>
      </c>
      <c r="C166" s="1796" t="s">
        <v>3678</v>
      </c>
      <c r="D166" s="677" t="s">
        <v>2813</v>
      </c>
      <c r="E166" s="1048">
        <v>5413.54</v>
      </c>
      <c r="F166" s="722">
        <v>0</v>
      </c>
      <c r="G166" s="957">
        <v>5413.54</v>
      </c>
      <c r="H166" s="956">
        <v>44806.000497685185</v>
      </c>
      <c r="I166" s="945">
        <v>5413.54</v>
      </c>
      <c r="J166" s="949">
        <v>44886</v>
      </c>
      <c r="K166" s="934" t="s">
        <v>3582</v>
      </c>
      <c r="L166" s="938"/>
      <c r="M166" s="442"/>
      <c r="N166" s="281"/>
      <c r="O166" s="281"/>
    </row>
    <row r="167" spans="1:15" ht="15">
      <c r="A167" s="1983">
        <v>44799</v>
      </c>
      <c r="B167" s="1918" t="s">
        <v>2644</v>
      </c>
      <c r="C167" s="1918" t="s">
        <v>3678</v>
      </c>
      <c r="D167" s="1988" t="s">
        <v>2850</v>
      </c>
      <c r="E167" s="2215">
        <v>5389.6</v>
      </c>
      <c r="F167" s="2117">
        <v>0</v>
      </c>
      <c r="G167" s="986">
        <v>2500</v>
      </c>
      <c r="H167" s="985">
        <v>44806</v>
      </c>
      <c r="I167" s="986">
        <v>2500</v>
      </c>
      <c r="J167" s="985">
        <v>44895</v>
      </c>
      <c r="K167" s="581" t="s">
        <v>1506</v>
      </c>
      <c r="L167" s="938"/>
      <c r="M167" s="442"/>
      <c r="N167" s="281"/>
      <c r="O167" s="281"/>
    </row>
    <row r="168" spans="1:15" ht="15">
      <c r="A168" s="1985"/>
      <c r="B168" s="1920"/>
      <c r="C168" s="1920"/>
      <c r="D168" s="1990"/>
      <c r="E168" s="2216"/>
      <c r="F168" s="2118"/>
      <c r="G168" s="986">
        <f>5389.6-2500</f>
        <v>2889.6000000000004</v>
      </c>
      <c r="H168" s="985">
        <v>44806</v>
      </c>
      <c r="I168" s="986">
        <v>2889.6</v>
      </c>
      <c r="J168" s="985">
        <v>44902</v>
      </c>
      <c r="K168" s="581" t="s">
        <v>1506</v>
      </c>
      <c r="L168" s="938"/>
      <c r="M168" s="442"/>
      <c r="N168" s="281"/>
      <c r="O168" s="281"/>
    </row>
    <row r="169" spans="1:15" ht="15">
      <c r="A169" s="676">
        <v>44820</v>
      </c>
      <c r="B169" s="1124" t="s">
        <v>2644</v>
      </c>
      <c r="C169" s="1796" t="s">
        <v>3678</v>
      </c>
      <c r="D169" s="677" t="s">
        <v>3013</v>
      </c>
      <c r="E169" s="1048">
        <v>5790.23</v>
      </c>
      <c r="F169" s="722">
        <v>0</v>
      </c>
      <c r="G169" s="1025">
        <v>5790.23</v>
      </c>
      <c r="H169" s="1024">
        <v>44835</v>
      </c>
      <c r="I169" s="2083">
        <v>15944.63</v>
      </c>
      <c r="J169" s="2017">
        <v>44930</v>
      </c>
      <c r="K169" s="2014" t="s">
        <v>4006</v>
      </c>
      <c r="L169" s="938"/>
      <c r="M169" s="442"/>
      <c r="N169" s="281"/>
      <c r="O169" s="281"/>
    </row>
    <row r="170" spans="1:15" ht="15">
      <c r="A170" s="676">
        <v>44823</v>
      </c>
      <c r="B170" s="1124" t="s">
        <v>2644</v>
      </c>
      <c r="C170" s="1796" t="s">
        <v>3678</v>
      </c>
      <c r="D170" s="677" t="s">
        <v>3060</v>
      </c>
      <c r="E170" s="1048">
        <v>3272.67</v>
      </c>
      <c r="F170" s="722">
        <v>0</v>
      </c>
      <c r="G170" s="1025">
        <v>3272.67</v>
      </c>
      <c r="H170" s="1024">
        <v>44838</v>
      </c>
      <c r="I170" s="2084"/>
      <c r="J170" s="2018"/>
      <c r="K170" s="2015"/>
      <c r="L170" s="938"/>
      <c r="M170" s="442"/>
      <c r="N170" s="281"/>
      <c r="O170" s="281"/>
    </row>
    <row r="171" spans="1:15" ht="15">
      <c r="A171" s="676">
        <v>44841</v>
      </c>
      <c r="B171" s="1124" t="s">
        <v>2644</v>
      </c>
      <c r="C171" s="1796" t="s">
        <v>3678</v>
      </c>
      <c r="D171" s="677" t="s">
        <v>3240</v>
      </c>
      <c r="E171" s="1048">
        <v>6881.73</v>
      </c>
      <c r="F171" s="722">
        <v>0</v>
      </c>
      <c r="G171" s="1084">
        <v>6881.73</v>
      </c>
      <c r="H171" s="1083">
        <v>44867</v>
      </c>
      <c r="I171" s="2085"/>
      <c r="J171" s="2019"/>
      <c r="K171" s="2016"/>
      <c r="L171" s="938"/>
      <c r="M171" s="442"/>
      <c r="N171" s="281"/>
      <c r="O171" s="281"/>
    </row>
    <row r="172" spans="1:15" ht="15">
      <c r="A172" s="676">
        <v>44818</v>
      </c>
      <c r="B172" s="1124" t="s">
        <v>2644</v>
      </c>
      <c r="C172" s="1796" t="s">
        <v>3678</v>
      </c>
      <c r="D172" s="677" t="s">
        <v>3012</v>
      </c>
      <c r="E172" s="1048">
        <v>513.83000000000004</v>
      </c>
      <c r="F172" s="722">
        <v>0</v>
      </c>
      <c r="G172" s="1084">
        <v>513.83000000000004</v>
      </c>
      <c r="H172" s="1083">
        <v>44836</v>
      </c>
      <c r="I172" s="2081">
        <v>2353.61</v>
      </c>
      <c r="J172" s="2193">
        <v>44943</v>
      </c>
      <c r="K172" s="2218" t="s">
        <v>4007</v>
      </c>
      <c r="L172" s="938"/>
      <c r="M172" s="442"/>
      <c r="N172" s="281"/>
      <c r="O172" s="281"/>
    </row>
    <row r="173" spans="1:15" ht="15">
      <c r="A173" s="676">
        <v>44826</v>
      </c>
      <c r="B173" s="1124" t="s">
        <v>2644</v>
      </c>
      <c r="C173" s="1796" t="s">
        <v>3678</v>
      </c>
      <c r="D173" s="677" t="s">
        <v>3061</v>
      </c>
      <c r="E173" s="1048">
        <v>-11.03</v>
      </c>
      <c r="F173" s="722">
        <v>0</v>
      </c>
      <c r="G173" s="1084">
        <v>-11.03</v>
      </c>
      <c r="H173" s="1083"/>
      <c r="I173" s="2120"/>
      <c r="J173" s="2196"/>
      <c r="K173" s="1895"/>
      <c r="L173" s="938"/>
      <c r="M173" s="442"/>
      <c r="N173" s="281"/>
      <c r="O173" s="281"/>
    </row>
    <row r="174" spans="1:15" ht="15">
      <c r="A174" s="676">
        <v>44826</v>
      </c>
      <c r="B174" s="1124" t="s">
        <v>2644</v>
      </c>
      <c r="C174" s="1796" t="s">
        <v>3678</v>
      </c>
      <c r="D174" s="677" t="s">
        <v>3062</v>
      </c>
      <c r="E174" s="1048">
        <v>-540.15</v>
      </c>
      <c r="F174" s="722">
        <v>0</v>
      </c>
      <c r="G174" s="1084">
        <v>-540.15</v>
      </c>
      <c r="H174" s="1083"/>
      <c r="I174" s="2120"/>
      <c r="J174" s="2196"/>
      <c r="K174" s="1895"/>
      <c r="L174" s="938"/>
      <c r="M174" s="442"/>
      <c r="N174" s="281"/>
      <c r="O174" s="281"/>
    </row>
    <row r="175" spans="1:15" ht="15">
      <c r="A175" s="676">
        <v>44840</v>
      </c>
      <c r="B175" s="1124" t="s">
        <v>2644</v>
      </c>
      <c r="C175" s="1796" t="s">
        <v>3678</v>
      </c>
      <c r="D175" s="677" t="s">
        <v>3220</v>
      </c>
      <c r="E175" s="1048">
        <v>355.5</v>
      </c>
      <c r="F175" s="722">
        <v>0</v>
      </c>
      <c r="G175" s="1084">
        <v>355.5</v>
      </c>
      <c r="H175" s="1083">
        <v>44866</v>
      </c>
      <c r="I175" s="2120"/>
      <c r="J175" s="2196"/>
      <c r="K175" s="1895"/>
      <c r="L175" s="938"/>
      <c r="M175" s="442"/>
      <c r="N175" s="281"/>
      <c r="O175" s="281"/>
    </row>
    <row r="176" spans="1:15" ht="15">
      <c r="A176" s="676">
        <v>44862</v>
      </c>
      <c r="B176" s="1124" t="s">
        <v>2644</v>
      </c>
      <c r="C176" s="1796" t="s">
        <v>3678</v>
      </c>
      <c r="D176" s="677" t="s">
        <v>3361</v>
      </c>
      <c r="E176" s="1048">
        <v>579.6</v>
      </c>
      <c r="F176" s="722">
        <v>0</v>
      </c>
      <c r="G176" s="1084">
        <v>579.6</v>
      </c>
      <c r="H176" s="1083">
        <v>44867</v>
      </c>
      <c r="I176" s="2120"/>
      <c r="J176" s="2196"/>
      <c r="K176" s="1895"/>
      <c r="L176" s="938"/>
      <c r="M176" s="442"/>
      <c r="N176" s="281"/>
      <c r="O176" s="281"/>
    </row>
    <row r="177" spans="1:15" ht="15">
      <c r="A177" s="676">
        <v>44874</v>
      </c>
      <c r="B177" s="1124" t="s">
        <v>2644</v>
      </c>
      <c r="C177" s="1796" t="s">
        <v>3678</v>
      </c>
      <c r="D177" s="677" t="s">
        <v>3452</v>
      </c>
      <c r="E177" s="1048">
        <v>186.8</v>
      </c>
      <c r="F177" s="722">
        <v>0</v>
      </c>
      <c r="G177" s="1084">
        <v>186.8</v>
      </c>
      <c r="H177" s="1083">
        <v>44897</v>
      </c>
      <c r="I177" s="2120"/>
      <c r="J177" s="2196"/>
      <c r="K177" s="1895"/>
      <c r="L177" s="938"/>
      <c r="M177" s="442"/>
      <c r="N177" s="281"/>
      <c r="O177" s="281"/>
    </row>
    <row r="178" spans="1:15" ht="15">
      <c r="A178" s="676">
        <v>44894</v>
      </c>
      <c r="B178" s="1124" t="s">
        <v>2644</v>
      </c>
      <c r="C178" s="1796" t="s">
        <v>3678</v>
      </c>
      <c r="D178" s="677" t="s">
        <v>3616</v>
      </c>
      <c r="E178" s="1048">
        <v>288.60000000000002</v>
      </c>
      <c r="F178" s="722">
        <v>0</v>
      </c>
      <c r="G178" s="1084">
        <v>288.60000000000002</v>
      </c>
      <c r="H178" s="1083">
        <v>44896</v>
      </c>
      <c r="I178" s="2120"/>
      <c r="J178" s="2196"/>
      <c r="K178" s="1895"/>
      <c r="L178" s="938"/>
      <c r="M178" s="442"/>
      <c r="N178" s="281"/>
      <c r="O178" s="281"/>
    </row>
    <row r="179" spans="1:15" ht="15">
      <c r="A179" s="676">
        <v>44923</v>
      </c>
      <c r="B179" s="1124" t="s">
        <v>2644</v>
      </c>
      <c r="C179" s="1796" t="s">
        <v>3678</v>
      </c>
      <c r="D179" s="677" t="s">
        <v>3823</v>
      </c>
      <c r="E179" s="1048">
        <v>980.46</v>
      </c>
      <c r="F179" s="722">
        <v>0</v>
      </c>
      <c r="G179" s="1084">
        <v>980.46</v>
      </c>
      <c r="H179" s="1083">
        <v>44958</v>
      </c>
      <c r="I179" s="2082"/>
      <c r="J179" s="2194"/>
      <c r="K179" s="1896"/>
      <c r="L179" s="938"/>
      <c r="M179" s="442"/>
      <c r="N179" s="281"/>
      <c r="O179" s="281"/>
    </row>
    <row r="180" spans="1:15" ht="15">
      <c r="A180" s="676">
        <v>44862</v>
      </c>
      <c r="B180" s="1258" t="s">
        <v>2644</v>
      </c>
      <c r="C180" s="1798" t="s">
        <v>3678</v>
      </c>
      <c r="D180" s="677" t="s">
        <v>3362</v>
      </c>
      <c r="E180" s="1048">
        <v>5405.96</v>
      </c>
      <c r="F180" s="722">
        <v>0</v>
      </c>
      <c r="G180" s="1267">
        <v>5405.96</v>
      </c>
      <c r="H180" s="1266">
        <v>44867</v>
      </c>
      <c r="I180" s="1267">
        <v>5405.96</v>
      </c>
      <c r="J180" s="1266">
        <v>45009</v>
      </c>
      <c r="K180" s="581" t="s">
        <v>1506</v>
      </c>
      <c r="L180" s="938"/>
      <c r="M180" s="442"/>
      <c r="N180" s="281"/>
      <c r="O180" s="281"/>
    </row>
    <row r="181" spans="1:15" ht="15">
      <c r="A181" s="676">
        <v>44886</v>
      </c>
      <c r="B181" s="1152" t="s">
        <v>2644</v>
      </c>
      <c r="C181" s="1798" t="s">
        <v>3678</v>
      </c>
      <c r="D181" s="677" t="s">
        <v>3534</v>
      </c>
      <c r="E181" s="1048">
        <v>7073.45</v>
      </c>
      <c r="F181" s="722">
        <v>0</v>
      </c>
      <c r="G181" s="1163">
        <v>7073.45</v>
      </c>
      <c r="H181" s="1162">
        <v>44899</v>
      </c>
      <c r="I181" s="1163">
        <v>7073.45</v>
      </c>
      <c r="J181" s="1162">
        <v>44974</v>
      </c>
      <c r="K181" s="581" t="s">
        <v>4196</v>
      </c>
      <c r="L181" s="938"/>
      <c r="M181" s="442"/>
      <c r="N181" s="281"/>
      <c r="O181" s="281"/>
    </row>
    <row r="182" spans="1:15" ht="15">
      <c r="A182" s="676">
        <v>44909</v>
      </c>
      <c r="B182" s="1321" t="s">
        <v>2644</v>
      </c>
      <c r="C182" s="1798" t="s">
        <v>3678</v>
      </c>
      <c r="D182" s="677" t="s">
        <v>3702</v>
      </c>
      <c r="E182" s="1048">
        <v>5083.83</v>
      </c>
      <c r="F182" s="722">
        <v>0</v>
      </c>
      <c r="G182" s="1332">
        <v>5083.83</v>
      </c>
      <c r="H182" s="1331">
        <v>44957</v>
      </c>
      <c r="I182" s="1332">
        <v>5083.83</v>
      </c>
      <c r="J182" s="1331">
        <v>45014</v>
      </c>
      <c r="K182" s="581" t="s">
        <v>4850</v>
      </c>
      <c r="L182" s="938"/>
      <c r="M182" s="442"/>
      <c r="N182" s="281"/>
      <c r="O182" s="281"/>
    </row>
    <row r="183" spans="1:15" ht="15">
      <c r="A183" s="676">
        <v>44930</v>
      </c>
      <c r="B183" s="1321" t="s">
        <v>2644</v>
      </c>
      <c r="C183" s="1798" t="s">
        <v>3678</v>
      </c>
      <c r="D183" s="677" t="s">
        <v>3866</v>
      </c>
      <c r="E183" s="1048">
        <v>1891.71</v>
      </c>
      <c r="F183" s="722">
        <v>0</v>
      </c>
      <c r="G183" s="1332">
        <v>1891.71</v>
      </c>
      <c r="H183" s="1331">
        <v>44975.000497685185</v>
      </c>
      <c r="I183" s="2081">
        <v>3231.91</v>
      </c>
      <c r="J183" s="2193">
        <v>45033</v>
      </c>
      <c r="K183" s="2014" t="s">
        <v>4851</v>
      </c>
      <c r="L183" s="938"/>
      <c r="M183" s="442"/>
      <c r="N183" s="281"/>
      <c r="O183" s="281"/>
    </row>
    <row r="184" spans="1:15" ht="15">
      <c r="A184" s="676">
        <v>44937</v>
      </c>
      <c r="B184" s="1321" t="s">
        <v>2644</v>
      </c>
      <c r="C184" s="1798" t="s">
        <v>3678</v>
      </c>
      <c r="D184" s="677" t="s">
        <v>3902</v>
      </c>
      <c r="E184" s="1048">
        <v>1340.2</v>
      </c>
      <c r="F184" s="722">
        <v>0</v>
      </c>
      <c r="G184" s="1332">
        <v>1340.2</v>
      </c>
      <c r="H184" s="1331">
        <v>44997</v>
      </c>
      <c r="I184" s="2082"/>
      <c r="J184" s="2194"/>
      <c r="K184" s="2016"/>
      <c r="L184" s="1038"/>
      <c r="M184" s="442"/>
      <c r="N184" s="281"/>
      <c r="O184" s="281"/>
    </row>
    <row r="185" spans="1:15" ht="15">
      <c r="A185" s="676">
        <v>44949</v>
      </c>
      <c r="B185" s="1258" t="s">
        <v>2644</v>
      </c>
      <c r="C185" s="1798" t="s">
        <v>3678</v>
      </c>
      <c r="D185" s="677" t="s">
        <v>3973</v>
      </c>
      <c r="E185" s="1048">
        <v>6009.4</v>
      </c>
      <c r="F185" s="722">
        <v>0</v>
      </c>
      <c r="G185" s="1267">
        <v>6009.4</v>
      </c>
      <c r="H185" s="1266">
        <v>45009</v>
      </c>
      <c r="I185" s="1267">
        <v>6009.4</v>
      </c>
      <c r="J185" s="1040">
        <v>45007</v>
      </c>
      <c r="K185" s="1035" t="s">
        <v>4588</v>
      </c>
      <c r="L185" s="1038"/>
      <c r="M185" s="442"/>
      <c r="N185" s="281"/>
      <c r="O185" s="281"/>
    </row>
    <row r="186" spans="1:15" ht="15">
      <c r="A186" s="676">
        <v>44944</v>
      </c>
      <c r="B186" s="1339" t="s">
        <v>2644</v>
      </c>
      <c r="C186" s="1798" t="s">
        <v>3678</v>
      </c>
      <c r="D186" s="677" t="s">
        <v>3970</v>
      </c>
      <c r="E186" s="1048">
        <v>7350.29</v>
      </c>
      <c r="F186" s="722">
        <v>0</v>
      </c>
      <c r="G186" s="1352">
        <v>7350.29</v>
      </c>
      <c r="H186" s="1351">
        <v>45004</v>
      </c>
      <c r="I186" s="2081">
        <v>8851.76</v>
      </c>
      <c r="J186" s="2017">
        <v>45040</v>
      </c>
      <c r="K186" s="2014" t="s">
        <v>4897</v>
      </c>
      <c r="L186" s="1038"/>
      <c r="M186" s="442"/>
      <c r="N186" s="281"/>
      <c r="O186" s="281"/>
    </row>
    <row r="187" spans="1:15" ht="15">
      <c r="A187" s="676">
        <v>44949</v>
      </c>
      <c r="B187" s="1339" t="s">
        <v>2644</v>
      </c>
      <c r="C187" s="1798" t="s">
        <v>3678</v>
      </c>
      <c r="D187" s="677" t="s">
        <v>3971</v>
      </c>
      <c r="E187" s="1048">
        <v>-12.81</v>
      </c>
      <c r="F187" s="722">
        <v>0</v>
      </c>
      <c r="G187" s="1352">
        <v>-12.81</v>
      </c>
      <c r="H187" s="1351"/>
      <c r="I187" s="2120"/>
      <c r="J187" s="2018"/>
      <c r="K187" s="2015"/>
      <c r="L187" s="1038"/>
      <c r="M187" s="442"/>
      <c r="N187" s="281"/>
      <c r="O187" s="281"/>
    </row>
    <row r="188" spans="1:15" ht="15">
      <c r="A188" s="676">
        <v>44949</v>
      </c>
      <c r="B188" s="1339" t="s">
        <v>2644</v>
      </c>
      <c r="C188" s="1798" t="s">
        <v>3678</v>
      </c>
      <c r="D188" s="677" t="s">
        <v>3972</v>
      </c>
      <c r="E188" s="1048">
        <v>-519.95000000000005</v>
      </c>
      <c r="F188" s="722">
        <v>0</v>
      </c>
      <c r="G188" s="1352">
        <v>-519.95000000000005</v>
      </c>
      <c r="H188" s="1351"/>
      <c r="I188" s="2120"/>
      <c r="J188" s="2018"/>
      <c r="K188" s="2015"/>
      <c r="L188" s="1038"/>
      <c r="M188" s="442"/>
      <c r="N188" s="281"/>
      <c r="O188" s="281"/>
    </row>
    <row r="189" spans="1:15" ht="15">
      <c r="A189" s="676">
        <v>44970</v>
      </c>
      <c r="B189" s="676" t="s">
        <v>2644</v>
      </c>
      <c r="C189" s="1807" t="s">
        <v>3678</v>
      </c>
      <c r="D189" s="677" t="s">
        <v>4177</v>
      </c>
      <c r="E189" s="1048">
        <v>1392</v>
      </c>
      <c r="F189" s="722">
        <v>0</v>
      </c>
      <c r="G189" s="1352">
        <v>1392</v>
      </c>
      <c r="H189" s="1351">
        <v>45030</v>
      </c>
      <c r="I189" s="2120"/>
      <c r="J189" s="2018"/>
      <c r="K189" s="2015"/>
      <c r="L189" s="1073"/>
      <c r="M189" s="442"/>
      <c r="N189" s="281"/>
      <c r="O189" s="281"/>
    </row>
    <row r="190" spans="1:15" ht="15">
      <c r="A190" s="676">
        <v>44974</v>
      </c>
      <c r="B190" s="676" t="s">
        <v>2644</v>
      </c>
      <c r="C190" s="1807" t="s">
        <v>3678</v>
      </c>
      <c r="D190" s="677" t="s">
        <v>4178</v>
      </c>
      <c r="E190" s="1048">
        <v>832</v>
      </c>
      <c r="F190" s="722">
        <v>0</v>
      </c>
      <c r="G190" s="1352">
        <v>832</v>
      </c>
      <c r="H190" s="1351">
        <v>45034</v>
      </c>
      <c r="I190" s="2120"/>
      <c r="J190" s="2018"/>
      <c r="K190" s="2015"/>
      <c r="L190" s="1073"/>
      <c r="M190" s="442"/>
      <c r="N190" s="281"/>
      <c r="O190" s="281"/>
    </row>
    <row r="191" spans="1:15" ht="15">
      <c r="A191" s="676">
        <v>44974</v>
      </c>
      <c r="B191" s="676" t="s">
        <v>2644</v>
      </c>
      <c r="C191" s="1807" t="s">
        <v>3678</v>
      </c>
      <c r="D191" s="677" t="s">
        <v>4180</v>
      </c>
      <c r="E191" s="1048">
        <v>-189.77</v>
      </c>
      <c r="F191" s="722">
        <v>0</v>
      </c>
      <c r="G191" s="1352">
        <v>-189.77</v>
      </c>
      <c r="H191" s="1351"/>
      <c r="I191" s="2082"/>
      <c r="J191" s="2019"/>
      <c r="K191" s="2016"/>
      <c r="L191" s="938"/>
      <c r="M191" s="442"/>
      <c r="N191" s="281"/>
      <c r="O191" s="281"/>
    </row>
    <row r="192" spans="1:15" ht="15">
      <c r="A192" s="1983">
        <v>44974</v>
      </c>
      <c r="B192" s="1983" t="s">
        <v>2644</v>
      </c>
      <c r="C192" s="2193" t="s">
        <v>3678</v>
      </c>
      <c r="D192" s="1988" t="s">
        <v>4179</v>
      </c>
      <c r="E192" s="2215">
        <v>9533.65</v>
      </c>
      <c r="F192" s="2117">
        <v>0</v>
      </c>
      <c r="G192" s="1535">
        <v>2500</v>
      </c>
      <c r="H192" s="1534">
        <v>45034</v>
      </c>
      <c r="I192" s="1535">
        <v>2500</v>
      </c>
      <c r="J192" s="1534">
        <v>45058</v>
      </c>
      <c r="K192" s="581" t="s">
        <v>1506</v>
      </c>
      <c r="L192" s="1073"/>
      <c r="M192" s="442"/>
      <c r="N192" s="281"/>
      <c r="O192" s="281"/>
    </row>
    <row r="193" spans="1:15" ht="15">
      <c r="A193" s="1984"/>
      <c r="B193" s="1984"/>
      <c r="C193" s="2196"/>
      <c r="D193" s="1989"/>
      <c r="E193" s="2217"/>
      <c r="F193" s="2119"/>
      <c r="G193" s="1535">
        <v>2602</v>
      </c>
      <c r="H193" s="1534">
        <v>45034</v>
      </c>
      <c r="I193" s="1535">
        <v>2602</v>
      </c>
      <c r="J193" s="1534">
        <v>45069</v>
      </c>
      <c r="K193" s="581" t="s">
        <v>1506</v>
      </c>
      <c r="L193" s="1430"/>
      <c r="M193" s="442"/>
      <c r="N193" s="281"/>
      <c r="O193" s="281"/>
    </row>
    <row r="194" spans="1:15" ht="15">
      <c r="A194" s="1984"/>
      <c r="B194" s="1984"/>
      <c r="C194" s="2196"/>
      <c r="D194" s="1989"/>
      <c r="E194" s="2217"/>
      <c r="F194" s="2119"/>
      <c r="G194" s="1535">
        <v>3700</v>
      </c>
      <c r="H194" s="1534">
        <v>45034</v>
      </c>
      <c r="I194" s="1535">
        <v>3700</v>
      </c>
      <c r="J194" s="1534">
        <v>45085</v>
      </c>
      <c r="K194" s="581" t="s">
        <v>5358</v>
      </c>
      <c r="L194" s="1462"/>
      <c r="M194" s="442"/>
      <c r="N194" s="281"/>
      <c r="O194" s="281"/>
    </row>
    <row r="195" spans="1:15" ht="15">
      <c r="A195" s="1984"/>
      <c r="B195" s="1984"/>
      <c r="C195" s="2196"/>
      <c r="D195" s="1989"/>
      <c r="E195" s="2217"/>
      <c r="F195" s="2119"/>
      <c r="G195" s="1535">
        <f>9533.65-2500-2602-3700</f>
        <v>731.64999999999964</v>
      </c>
      <c r="H195" s="1534">
        <v>45034</v>
      </c>
      <c r="I195" s="2081">
        <v>3820</v>
      </c>
      <c r="J195" s="2193">
        <v>45086</v>
      </c>
      <c r="K195" s="1894" t="s">
        <v>5565</v>
      </c>
      <c r="L195" s="1462"/>
      <c r="M195" s="442"/>
      <c r="N195" s="281"/>
      <c r="O195" s="281"/>
    </row>
    <row r="196" spans="1:15" ht="15">
      <c r="A196" s="676">
        <v>44978</v>
      </c>
      <c r="B196" s="676" t="s">
        <v>2644</v>
      </c>
      <c r="C196" s="1807" t="s">
        <v>3678</v>
      </c>
      <c r="D196" s="677" t="s">
        <v>4226</v>
      </c>
      <c r="E196" s="1048">
        <v>971.6</v>
      </c>
      <c r="F196" s="722">
        <v>0</v>
      </c>
      <c r="G196" s="1535">
        <v>971.6</v>
      </c>
      <c r="H196" s="1534">
        <v>45038</v>
      </c>
      <c r="I196" s="2120"/>
      <c r="J196" s="2196"/>
      <c r="K196" s="1895"/>
      <c r="L196" s="1156"/>
      <c r="M196" s="442"/>
      <c r="N196" s="281"/>
      <c r="O196" s="281"/>
    </row>
    <row r="197" spans="1:15" ht="15">
      <c r="A197" s="676">
        <v>44978</v>
      </c>
      <c r="B197" s="676" t="s">
        <v>2644</v>
      </c>
      <c r="C197" s="1807" t="s">
        <v>3678</v>
      </c>
      <c r="D197" s="677" t="s">
        <v>4227</v>
      </c>
      <c r="E197" s="1048">
        <v>113.4</v>
      </c>
      <c r="F197" s="722">
        <v>0</v>
      </c>
      <c r="G197" s="1535">
        <v>113.4</v>
      </c>
      <c r="H197" s="1534">
        <v>45038</v>
      </c>
      <c r="I197" s="2120"/>
      <c r="J197" s="2196"/>
      <c r="K197" s="1895"/>
      <c r="L197" s="1156"/>
      <c r="M197" s="442"/>
      <c r="N197" s="281"/>
      <c r="O197" s="281"/>
    </row>
    <row r="198" spans="1:15" ht="15">
      <c r="A198" s="676">
        <v>44981</v>
      </c>
      <c r="B198" s="676" t="s">
        <v>2644</v>
      </c>
      <c r="C198" s="1807" t="s">
        <v>3678</v>
      </c>
      <c r="D198" s="677" t="s">
        <v>4228</v>
      </c>
      <c r="E198" s="1048">
        <v>1248</v>
      </c>
      <c r="F198" s="722">
        <v>0</v>
      </c>
      <c r="G198" s="1535">
        <v>1248</v>
      </c>
      <c r="H198" s="1534">
        <v>45041</v>
      </c>
      <c r="I198" s="2120"/>
      <c r="J198" s="2196"/>
      <c r="K198" s="1895"/>
      <c r="L198" s="1156"/>
      <c r="M198" s="442"/>
      <c r="N198" s="281"/>
      <c r="O198" s="281"/>
    </row>
    <row r="199" spans="1:15" ht="15">
      <c r="A199" s="676">
        <v>44984</v>
      </c>
      <c r="B199" s="676" t="s">
        <v>2644</v>
      </c>
      <c r="C199" s="1807" t="s">
        <v>3678</v>
      </c>
      <c r="D199" s="677" t="s">
        <v>4372</v>
      </c>
      <c r="E199" s="1048">
        <v>180</v>
      </c>
      <c r="F199" s="722">
        <v>0</v>
      </c>
      <c r="G199" s="1535">
        <v>180</v>
      </c>
      <c r="H199" s="1534">
        <v>45044</v>
      </c>
      <c r="I199" s="2120"/>
      <c r="J199" s="2196"/>
      <c r="K199" s="1895"/>
      <c r="L199" s="1177"/>
      <c r="M199" s="442"/>
      <c r="N199" s="281"/>
      <c r="O199" s="281"/>
    </row>
    <row r="200" spans="1:15" ht="15">
      <c r="A200" s="1983">
        <v>44984</v>
      </c>
      <c r="B200" s="1983" t="s">
        <v>2644</v>
      </c>
      <c r="C200" s="2193" t="s">
        <v>3678</v>
      </c>
      <c r="D200" s="1988" t="s">
        <v>4373</v>
      </c>
      <c r="E200" s="2215">
        <v>576.24</v>
      </c>
      <c r="F200" s="2117">
        <v>0</v>
      </c>
      <c r="G200" s="1535">
        <v>575.35</v>
      </c>
      <c r="H200" s="1534">
        <v>45044</v>
      </c>
      <c r="I200" s="2082"/>
      <c r="J200" s="2194"/>
      <c r="K200" s="1896"/>
      <c r="L200" s="1177"/>
      <c r="M200" s="442"/>
      <c r="N200" s="281"/>
      <c r="O200" s="281"/>
    </row>
    <row r="201" spans="1:15" ht="15">
      <c r="A201" s="1985"/>
      <c r="B201" s="1985"/>
      <c r="C201" s="2194"/>
      <c r="D201" s="1990"/>
      <c r="E201" s="2216"/>
      <c r="F201" s="2118"/>
      <c r="G201" s="1535">
        <f>576.24-575.35</f>
        <v>0.88999999999998636</v>
      </c>
      <c r="H201" s="1534">
        <v>45044</v>
      </c>
      <c r="I201" s="2081">
        <v>10000.9</v>
      </c>
      <c r="J201" s="2193">
        <v>45096</v>
      </c>
      <c r="K201" s="1894" t="s">
        <v>5462</v>
      </c>
      <c r="L201" s="1462"/>
      <c r="M201" s="442"/>
      <c r="N201" s="281"/>
      <c r="O201" s="281"/>
    </row>
    <row r="202" spans="1:15" ht="15">
      <c r="A202" s="676">
        <v>44994</v>
      </c>
      <c r="B202" s="676" t="s">
        <v>2644</v>
      </c>
      <c r="C202" s="1807" t="s">
        <v>3678</v>
      </c>
      <c r="D202" s="677" t="s">
        <v>4447</v>
      </c>
      <c r="E202" s="1048">
        <v>7171.64</v>
      </c>
      <c r="F202" s="722">
        <v>0</v>
      </c>
      <c r="G202" s="1535">
        <v>7171.64</v>
      </c>
      <c r="H202" s="1534">
        <v>44994</v>
      </c>
      <c r="I202" s="2120"/>
      <c r="J202" s="2196"/>
      <c r="K202" s="1895"/>
      <c r="L202" s="1177"/>
      <c r="M202" s="442"/>
      <c r="N202" s="281"/>
      <c r="O202" s="281"/>
    </row>
    <row r="203" spans="1:15" ht="15">
      <c r="A203" s="676">
        <v>44998</v>
      </c>
      <c r="B203" s="676" t="s">
        <v>2644</v>
      </c>
      <c r="C203" s="1807" t="s">
        <v>3678</v>
      </c>
      <c r="D203" s="677" t="s">
        <v>4501</v>
      </c>
      <c r="E203" s="1048">
        <v>756</v>
      </c>
      <c r="F203" s="722">
        <v>0</v>
      </c>
      <c r="G203" s="1535">
        <v>756</v>
      </c>
      <c r="H203" s="1534">
        <v>45058</v>
      </c>
      <c r="I203" s="2120"/>
      <c r="J203" s="2196"/>
      <c r="K203" s="1895"/>
      <c r="L203" s="1238"/>
      <c r="M203" s="442"/>
      <c r="N203" s="281"/>
      <c r="O203" s="281"/>
    </row>
    <row r="204" spans="1:15" ht="15">
      <c r="A204" s="676">
        <v>45006</v>
      </c>
      <c r="B204" s="676" t="s">
        <v>2644</v>
      </c>
      <c r="C204" s="1807" t="s">
        <v>3678</v>
      </c>
      <c r="D204" s="677" t="s">
        <v>4555</v>
      </c>
      <c r="E204" s="1048">
        <v>1955.31</v>
      </c>
      <c r="F204" s="722">
        <v>0</v>
      </c>
      <c r="G204" s="1535">
        <v>1955.31</v>
      </c>
      <c r="H204" s="1534">
        <v>45066</v>
      </c>
      <c r="I204" s="2120"/>
      <c r="J204" s="2196"/>
      <c r="K204" s="1895"/>
      <c r="L204" s="1238"/>
      <c r="M204" s="442"/>
      <c r="N204" s="281"/>
      <c r="O204" s="281"/>
    </row>
    <row r="205" spans="1:15" ht="15">
      <c r="A205" s="1983">
        <v>45006</v>
      </c>
      <c r="B205" s="1983" t="s">
        <v>2644</v>
      </c>
      <c r="C205" s="2193" t="s">
        <v>3678</v>
      </c>
      <c r="D205" s="1988" t="s">
        <v>4556</v>
      </c>
      <c r="E205" s="2215">
        <v>1020</v>
      </c>
      <c r="F205" s="2117">
        <v>0</v>
      </c>
      <c r="G205" s="1535">
        <v>117.06</v>
      </c>
      <c r="H205" s="1534">
        <v>45066</v>
      </c>
      <c r="I205" s="2082"/>
      <c r="J205" s="2194"/>
      <c r="K205" s="1896"/>
      <c r="L205" s="1238"/>
      <c r="M205" s="442"/>
      <c r="N205" s="281"/>
      <c r="O205" s="281"/>
    </row>
    <row r="206" spans="1:15" ht="15">
      <c r="A206" s="1985"/>
      <c r="B206" s="1985"/>
      <c r="C206" s="2194"/>
      <c r="D206" s="1990"/>
      <c r="E206" s="2216"/>
      <c r="F206" s="2118"/>
      <c r="G206" s="1535">
        <f>1020-117.06</f>
        <v>902.94</v>
      </c>
      <c r="H206" s="1534">
        <v>45066</v>
      </c>
      <c r="I206" s="2081">
        <v>6000</v>
      </c>
      <c r="J206" s="2193">
        <v>45110</v>
      </c>
      <c r="K206" s="1894" t="s">
        <v>5612</v>
      </c>
      <c r="L206" s="1487"/>
      <c r="M206" s="442"/>
      <c r="N206" s="281"/>
      <c r="O206" s="281"/>
    </row>
    <row r="207" spans="1:15" ht="15">
      <c r="A207" s="676">
        <v>45006</v>
      </c>
      <c r="B207" s="676" t="s">
        <v>2644</v>
      </c>
      <c r="C207" s="1807" t="s">
        <v>3678</v>
      </c>
      <c r="D207" s="677" t="s">
        <v>4557</v>
      </c>
      <c r="E207" s="1048">
        <v>822.5</v>
      </c>
      <c r="F207" s="722">
        <v>0</v>
      </c>
      <c r="G207" s="1535">
        <v>822.5</v>
      </c>
      <c r="H207" s="1534">
        <v>45066</v>
      </c>
      <c r="I207" s="2120"/>
      <c r="J207" s="2196"/>
      <c r="K207" s="1895"/>
      <c r="L207" s="1238"/>
      <c r="M207" s="442"/>
      <c r="N207" s="281"/>
      <c r="O207" s="281"/>
    </row>
    <row r="208" spans="1:15" ht="15">
      <c r="A208" s="676">
        <v>45012</v>
      </c>
      <c r="B208" s="676" t="s">
        <v>2644</v>
      </c>
      <c r="C208" s="1807" t="s">
        <v>3678</v>
      </c>
      <c r="D208" s="677" t="s">
        <v>4642</v>
      </c>
      <c r="E208" s="1048">
        <v>468</v>
      </c>
      <c r="F208" s="722">
        <v>0</v>
      </c>
      <c r="G208" s="1535">
        <v>468</v>
      </c>
      <c r="H208" s="1534">
        <v>45072</v>
      </c>
      <c r="I208" s="2120"/>
      <c r="J208" s="2196"/>
      <c r="K208" s="1895"/>
      <c r="L208" s="1263"/>
      <c r="M208" s="442"/>
      <c r="N208" s="281"/>
      <c r="O208" s="281"/>
    </row>
    <row r="209" spans="1:15" ht="15">
      <c r="A209" s="676">
        <v>45012</v>
      </c>
      <c r="B209" s="676" t="s">
        <v>2644</v>
      </c>
      <c r="C209" s="1807" t="s">
        <v>3678</v>
      </c>
      <c r="D209" s="677" t="s">
        <v>4643</v>
      </c>
      <c r="E209" s="1048">
        <v>3675</v>
      </c>
      <c r="F209" s="722">
        <v>0</v>
      </c>
      <c r="G209" s="1535">
        <v>3675</v>
      </c>
      <c r="H209" s="1534">
        <v>45072</v>
      </c>
      <c r="I209" s="2120"/>
      <c r="J209" s="2196"/>
      <c r="K209" s="1895"/>
      <c r="L209" s="1263"/>
      <c r="M209" s="442"/>
      <c r="N209" s="281"/>
      <c r="O209" s="281"/>
    </row>
    <row r="210" spans="1:15" ht="15">
      <c r="A210" s="676">
        <v>45015</v>
      </c>
      <c r="B210" s="676" t="s">
        <v>2644</v>
      </c>
      <c r="C210" s="1807" t="s">
        <v>3678</v>
      </c>
      <c r="D210" s="677" t="s">
        <v>4662</v>
      </c>
      <c r="E210" s="1048">
        <v>0.01</v>
      </c>
      <c r="F210" s="722">
        <v>0</v>
      </c>
      <c r="G210" s="1535">
        <v>0.01</v>
      </c>
      <c r="H210" s="1534"/>
      <c r="I210" s="2120"/>
      <c r="J210" s="2196"/>
      <c r="K210" s="1895"/>
      <c r="L210" s="1263" t="s">
        <v>4663</v>
      </c>
      <c r="M210" s="442"/>
      <c r="N210" s="281"/>
      <c r="O210" s="281"/>
    </row>
    <row r="211" spans="1:15" ht="15">
      <c r="A211" s="676">
        <v>45015</v>
      </c>
      <c r="B211" s="676" t="s">
        <v>2644</v>
      </c>
      <c r="C211" s="1807" t="s">
        <v>3678</v>
      </c>
      <c r="D211" s="677" t="s">
        <v>4644</v>
      </c>
      <c r="E211" s="1048">
        <v>-119.35</v>
      </c>
      <c r="F211" s="722">
        <v>0</v>
      </c>
      <c r="G211" s="1535">
        <v>-119.35</v>
      </c>
      <c r="H211" s="1534"/>
      <c r="I211" s="2120"/>
      <c r="J211" s="2196"/>
      <c r="K211" s="1895"/>
      <c r="L211" s="1263"/>
      <c r="M211" s="442"/>
      <c r="N211" s="281"/>
      <c r="O211" s="281"/>
    </row>
    <row r="212" spans="1:15" ht="15">
      <c r="A212" s="1983">
        <v>45034</v>
      </c>
      <c r="B212" s="1983" t="s">
        <v>2644</v>
      </c>
      <c r="C212" s="2193" t="s">
        <v>3678</v>
      </c>
      <c r="D212" s="1988" t="s">
        <v>4815</v>
      </c>
      <c r="E212" s="2215">
        <v>498</v>
      </c>
      <c r="F212" s="2117">
        <v>0</v>
      </c>
      <c r="G212" s="1535">
        <v>250.9</v>
      </c>
      <c r="H212" s="1534">
        <v>45094</v>
      </c>
      <c r="I212" s="2082"/>
      <c r="J212" s="2194"/>
      <c r="K212" s="1896"/>
      <c r="L212" s="1325"/>
      <c r="M212" s="442"/>
      <c r="N212" s="281"/>
      <c r="O212" s="281"/>
    </row>
    <row r="213" spans="1:15" ht="15">
      <c r="A213" s="1985"/>
      <c r="B213" s="1985"/>
      <c r="C213" s="2194"/>
      <c r="D213" s="1990"/>
      <c r="E213" s="2216"/>
      <c r="F213" s="2118"/>
      <c r="G213" s="1535">
        <f>498-250.9</f>
        <v>247.1</v>
      </c>
      <c r="H213" s="1534">
        <v>45094</v>
      </c>
      <c r="I213" s="2081">
        <v>5892.26</v>
      </c>
      <c r="J213" s="2193">
        <v>45117</v>
      </c>
      <c r="K213" s="1894" t="s">
        <v>5613</v>
      </c>
      <c r="L213" s="1510"/>
      <c r="M213" s="442"/>
      <c r="N213" s="281"/>
      <c r="O213" s="281"/>
    </row>
    <row r="214" spans="1:15" ht="15">
      <c r="A214" s="1983">
        <v>45037</v>
      </c>
      <c r="B214" s="1983" t="s">
        <v>2644</v>
      </c>
      <c r="C214" s="2193" t="s">
        <v>3678</v>
      </c>
      <c r="D214" s="1988" t="s">
        <v>4816</v>
      </c>
      <c r="E214" s="2215">
        <v>11823.67</v>
      </c>
      <c r="F214" s="2117">
        <v>0</v>
      </c>
      <c r="G214" s="1535">
        <f>11823.67-6178.51</f>
        <v>5645.16</v>
      </c>
      <c r="H214" s="1534">
        <v>45082</v>
      </c>
      <c r="I214" s="2082"/>
      <c r="J214" s="2194"/>
      <c r="K214" s="1896"/>
      <c r="L214" s="1325"/>
      <c r="M214" s="442"/>
      <c r="N214" s="281"/>
      <c r="O214" s="281"/>
    </row>
    <row r="215" spans="1:15" ht="15">
      <c r="A215" s="1985"/>
      <c r="B215" s="1985"/>
      <c r="C215" s="2194"/>
      <c r="D215" s="1990"/>
      <c r="E215" s="2216"/>
      <c r="F215" s="2118"/>
      <c r="G215" s="1535">
        <v>6178.51</v>
      </c>
      <c r="H215" s="1534">
        <v>45082</v>
      </c>
      <c r="I215" s="2081">
        <v>5500</v>
      </c>
      <c r="J215" s="2193">
        <v>45104</v>
      </c>
      <c r="K215" s="1894" t="s">
        <v>5850</v>
      </c>
      <c r="L215" s="1501"/>
      <c r="M215" s="442"/>
      <c r="N215" s="281"/>
      <c r="O215" s="281"/>
    </row>
    <row r="216" spans="1:15" ht="15">
      <c r="A216" s="676">
        <v>45040</v>
      </c>
      <c r="B216" s="676" t="s">
        <v>2644</v>
      </c>
      <c r="C216" s="1807" t="s">
        <v>3678</v>
      </c>
      <c r="D216" s="677" t="s">
        <v>4871</v>
      </c>
      <c r="E216" s="1048">
        <v>210</v>
      </c>
      <c r="F216" s="722">
        <v>0</v>
      </c>
      <c r="G216" s="1535">
        <v>210</v>
      </c>
      <c r="H216" s="1534">
        <v>45100</v>
      </c>
      <c r="I216" s="2120"/>
      <c r="J216" s="2196"/>
      <c r="K216" s="1895"/>
      <c r="L216" s="1345"/>
      <c r="M216" s="442"/>
      <c r="N216" s="281"/>
      <c r="O216" s="281"/>
    </row>
    <row r="217" spans="1:15" ht="15">
      <c r="A217" s="676">
        <v>45043</v>
      </c>
      <c r="B217" s="676" t="s">
        <v>2644</v>
      </c>
      <c r="C217" s="1807" t="s">
        <v>3678</v>
      </c>
      <c r="D217" s="677" t="s">
        <v>4872</v>
      </c>
      <c r="E217" s="1048">
        <v>-586.30999999999995</v>
      </c>
      <c r="F217" s="722">
        <v>0</v>
      </c>
      <c r="G217" s="1535">
        <v>-586.30999999999995</v>
      </c>
      <c r="H217" s="1534"/>
      <c r="I217" s="2120"/>
      <c r="J217" s="2196"/>
      <c r="K217" s="1895"/>
      <c r="L217" s="1345"/>
      <c r="M217" s="442"/>
      <c r="N217" s="281"/>
      <c r="O217" s="281"/>
    </row>
    <row r="218" spans="1:15" ht="15">
      <c r="A218" s="676">
        <v>45043</v>
      </c>
      <c r="B218" s="676" t="s">
        <v>2644</v>
      </c>
      <c r="C218" s="1807" t="s">
        <v>3678</v>
      </c>
      <c r="D218" s="677" t="s">
        <v>4873</v>
      </c>
      <c r="E218" s="1048">
        <v>-5.57</v>
      </c>
      <c r="F218" s="722">
        <v>0</v>
      </c>
      <c r="G218" s="1535">
        <v>-5.57</v>
      </c>
      <c r="H218" s="1534"/>
      <c r="I218" s="2120"/>
      <c r="J218" s="2196"/>
      <c r="K218" s="1895"/>
      <c r="L218" s="1345"/>
      <c r="M218" s="442"/>
      <c r="N218" s="281"/>
      <c r="O218" s="281"/>
    </row>
    <row r="219" spans="1:15" ht="15">
      <c r="A219" s="676">
        <v>45043</v>
      </c>
      <c r="B219" s="676" t="s">
        <v>2644</v>
      </c>
      <c r="C219" s="1807" t="s">
        <v>3678</v>
      </c>
      <c r="D219" s="677" t="s">
        <v>4874</v>
      </c>
      <c r="E219" s="1048">
        <v>-5.57</v>
      </c>
      <c r="F219" s="722">
        <v>0</v>
      </c>
      <c r="G219" s="1535">
        <v>-5.57</v>
      </c>
      <c r="H219" s="1534"/>
      <c r="I219" s="2120"/>
      <c r="J219" s="2196"/>
      <c r="K219" s="1895"/>
      <c r="L219" s="1345"/>
      <c r="M219" s="442"/>
      <c r="N219" s="281"/>
      <c r="O219" s="281"/>
    </row>
    <row r="220" spans="1:15" ht="15">
      <c r="A220" s="676">
        <v>45049</v>
      </c>
      <c r="B220" s="676" t="s">
        <v>2644</v>
      </c>
      <c r="C220" s="1807" t="s">
        <v>3678</v>
      </c>
      <c r="D220" s="677" t="s">
        <v>4917</v>
      </c>
      <c r="E220" s="1048">
        <v>-289.02999999999997</v>
      </c>
      <c r="F220" s="722">
        <v>0</v>
      </c>
      <c r="G220" s="1535">
        <v>-289.02999999999997</v>
      </c>
      <c r="H220" s="1534"/>
      <c r="I220" s="2120"/>
      <c r="J220" s="2196"/>
      <c r="K220" s="1895"/>
      <c r="L220" s="1345"/>
      <c r="M220" s="442"/>
      <c r="N220" s="281"/>
      <c r="O220" s="281"/>
    </row>
    <row r="221" spans="1:15" ht="15">
      <c r="A221" s="676">
        <v>45049</v>
      </c>
      <c r="B221" s="676" t="s">
        <v>2644</v>
      </c>
      <c r="C221" s="1807" t="s">
        <v>3678</v>
      </c>
      <c r="D221" s="677" t="s">
        <v>4918</v>
      </c>
      <c r="E221" s="1048">
        <v>-2.0299999999999998</v>
      </c>
      <c r="F221" s="722">
        <v>0</v>
      </c>
      <c r="G221" s="1535">
        <v>-2.0299999999999998</v>
      </c>
      <c r="H221" s="1534"/>
      <c r="I221" s="2082"/>
      <c r="J221" s="2194"/>
      <c r="K221" s="1896"/>
      <c r="L221" s="1345"/>
      <c r="M221" s="442"/>
      <c r="N221" s="281"/>
      <c r="O221" s="281"/>
    </row>
    <row r="222" spans="1:15" ht="15">
      <c r="A222" s="676">
        <v>45054</v>
      </c>
      <c r="B222" s="676" t="s">
        <v>2644</v>
      </c>
      <c r="C222" s="1807" t="s">
        <v>3678</v>
      </c>
      <c r="D222" s="677" t="s">
        <v>4986</v>
      </c>
      <c r="E222" s="1048">
        <v>1048.8</v>
      </c>
      <c r="F222" s="722">
        <v>0</v>
      </c>
      <c r="G222" s="1557">
        <v>1048.8</v>
      </c>
      <c r="H222" s="1556">
        <v>45114</v>
      </c>
      <c r="I222" s="2241">
        <v>10939.68</v>
      </c>
      <c r="J222" s="2243">
        <v>45128</v>
      </c>
      <c r="K222" s="2242" t="s">
        <v>5671</v>
      </c>
      <c r="L222" s="1381"/>
      <c r="M222" s="442"/>
      <c r="N222" s="281"/>
      <c r="O222" s="281"/>
    </row>
    <row r="223" spans="1:15" ht="15">
      <c r="A223" s="676">
        <v>45054</v>
      </c>
      <c r="B223" s="676" t="s">
        <v>2644</v>
      </c>
      <c r="C223" s="1807" t="s">
        <v>3678</v>
      </c>
      <c r="D223" s="677" t="s">
        <v>4987</v>
      </c>
      <c r="E223" s="1048">
        <v>1595.79</v>
      </c>
      <c r="F223" s="722">
        <v>0</v>
      </c>
      <c r="G223" s="1557">
        <v>1595.79</v>
      </c>
      <c r="H223" s="1556">
        <v>45114</v>
      </c>
      <c r="I223" s="2241"/>
      <c r="J223" s="2243"/>
      <c r="K223" s="2086"/>
      <c r="L223" s="1381"/>
      <c r="M223" s="442"/>
      <c r="N223" s="281"/>
      <c r="O223" s="281"/>
    </row>
    <row r="224" spans="1:15" ht="15">
      <c r="A224" s="676">
        <v>45072</v>
      </c>
      <c r="B224" s="676" t="s">
        <v>2644</v>
      </c>
      <c r="C224" s="1807" t="s">
        <v>3678</v>
      </c>
      <c r="D224" s="677" t="s">
        <v>5214</v>
      </c>
      <c r="E224" s="1048">
        <v>-40.82</v>
      </c>
      <c r="F224" s="722">
        <v>0</v>
      </c>
      <c r="G224" s="1557">
        <v>-40.82</v>
      </c>
      <c r="H224" s="1556"/>
      <c r="I224" s="2241"/>
      <c r="J224" s="2243"/>
      <c r="K224" s="2086"/>
      <c r="L224" s="1381"/>
      <c r="M224" s="442"/>
      <c r="N224" s="281"/>
      <c r="O224" s="281"/>
    </row>
    <row r="225" spans="1:15" ht="15">
      <c r="A225" s="1983">
        <v>45065</v>
      </c>
      <c r="B225" s="1983" t="s">
        <v>2644</v>
      </c>
      <c r="C225" s="2193" t="s">
        <v>3678</v>
      </c>
      <c r="D225" s="1988" t="s">
        <v>5114</v>
      </c>
      <c r="E225" s="2215">
        <v>19475.91</v>
      </c>
      <c r="F225" s="2117">
        <v>0</v>
      </c>
      <c r="G225" s="1634">
        <v>8335.91</v>
      </c>
      <c r="H225" s="1633">
        <v>45125</v>
      </c>
      <c r="I225" s="2241"/>
      <c r="J225" s="2243"/>
      <c r="K225" s="2086"/>
      <c r="L225" s="1381"/>
      <c r="M225" s="442"/>
      <c r="N225" s="281"/>
      <c r="O225" s="281"/>
    </row>
    <row r="226" spans="1:15" ht="15">
      <c r="A226" s="1984"/>
      <c r="B226" s="1984"/>
      <c r="C226" s="2196"/>
      <c r="D226" s="1989"/>
      <c r="E226" s="2217"/>
      <c r="F226" s="2119"/>
      <c r="G226" s="1634">
        <v>3500</v>
      </c>
      <c r="H226" s="1633">
        <v>45125</v>
      </c>
      <c r="I226" s="1612">
        <v>3500</v>
      </c>
      <c r="J226" s="1610">
        <v>45139</v>
      </c>
      <c r="K226" s="1605" t="s">
        <v>5851</v>
      </c>
      <c r="L226" s="1586"/>
      <c r="M226" s="442"/>
      <c r="N226" s="281"/>
      <c r="O226" s="281"/>
    </row>
    <row r="227" spans="1:15" ht="15">
      <c r="A227" s="1984"/>
      <c r="B227" s="1984"/>
      <c r="C227" s="2196"/>
      <c r="D227" s="1989"/>
      <c r="E227" s="2217"/>
      <c r="F227" s="2119"/>
      <c r="G227" s="1634">
        <v>3600</v>
      </c>
      <c r="H227" s="1633">
        <v>45125</v>
      </c>
      <c r="I227" s="1612">
        <v>3600</v>
      </c>
      <c r="J227" s="1610">
        <v>45149</v>
      </c>
      <c r="K227" s="1605" t="s">
        <v>2109</v>
      </c>
      <c r="L227" s="1608"/>
      <c r="M227" s="442"/>
      <c r="N227" s="281"/>
      <c r="O227" s="281"/>
    </row>
    <row r="228" spans="1:15" ht="15">
      <c r="A228" s="1985"/>
      <c r="B228" s="1985"/>
      <c r="C228" s="2194"/>
      <c r="D228" s="1990"/>
      <c r="E228" s="2216"/>
      <c r="F228" s="2118"/>
      <c r="G228" s="1634">
        <f>19475.91-8335.91-3500-3600</f>
        <v>4040</v>
      </c>
      <c r="H228" s="1633">
        <v>45125</v>
      </c>
      <c r="I228" s="1609">
        <v>4040</v>
      </c>
      <c r="J228" s="1610">
        <v>45154</v>
      </c>
      <c r="K228" s="1631" t="s">
        <v>6281</v>
      </c>
      <c r="L228" s="1553"/>
      <c r="M228" s="442"/>
      <c r="N228" s="281"/>
      <c r="O228" s="281"/>
    </row>
    <row r="229" spans="1:15" ht="15">
      <c r="A229" s="676">
        <v>45061</v>
      </c>
      <c r="B229" s="676" t="s">
        <v>2644</v>
      </c>
      <c r="C229" s="1807" t="s">
        <v>3678</v>
      </c>
      <c r="D229" s="677" t="s">
        <v>5113</v>
      </c>
      <c r="E229" s="1048">
        <v>-6.93</v>
      </c>
      <c r="F229" s="722">
        <v>0</v>
      </c>
      <c r="G229" s="1664">
        <v>-6.93</v>
      </c>
      <c r="H229" s="1663"/>
      <c r="I229" s="2241">
        <v>-939.65</v>
      </c>
      <c r="J229" s="2240">
        <v>45128</v>
      </c>
      <c r="K229" s="2238" t="s">
        <v>5963</v>
      </c>
      <c r="L229" s="1381"/>
      <c r="M229" s="442"/>
      <c r="N229" s="281"/>
      <c r="O229" s="281"/>
    </row>
    <row r="230" spans="1:15" ht="15">
      <c r="A230" s="676">
        <v>45072</v>
      </c>
      <c r="B230" s="676" t="s">
        <v>2644</v>
      </c>
      <c r="C230" s="1807" t="s">
        <v>3678</v>
      </c>
      <c r="D230" s="677" t="s">
        <v>5215</v>
      </c>
      <c r="E230" s="1048">
        <v>-337.23</v>
      </c>
      <c r="F230" s="722">
        <v>0</v>
      </c>
      <c r="G230" s="1664">
        <v>-337.23</v>
      </c>
      <c r="H230" s="1663"/>
      <c r="I230" s="2241"/>
      <c r="J230" s="2240"/>
      <c r="K230" s="2239"/>
      <c r="L230" s="1345"/>
      <c r="M230" s="442"/>
      <c r="N230" s="281"/>
      <c r="O230" s="281"/>
    </row>
    <row r="231" spans="1:15" ht="15">
      <c r="A231" s="676">
        <v>45072</v>
      </c>
      <c r="B231" s="676" t="s">
        <v>2644</v>
      </c>
      <c r="C231" s="1807" t="s">
        <v>3678</v>
      </c>
      <c r="D231" s="677" t="s">
        <v>5216</v>
      </c>
      <c r="E231" s="1048">
        <v>-595.49</v>
      </c>
      <c r="F231" s="722">
        <v>0</v>
      </c>
      <c r="G231" s="1664">
        <v>-595.49</v>
      </c>
      <c r="H231" s="1663"/>
      <c r="I231" s="2241"/>
      <c r="J231" s="2240"/>
      <c r="K231" s="2239"/>
      <c r="L231" s="1345"/>
      <c r="M231" s="442"/>
      <c r="N231" s="281"/>
      <c r="O231" s="281"/>
    </row>
    <row r="232" spans="1:15" ht="15">
      <c r="A232" s="1983">
        <v>45078</v>
      </c>
      <c r="B232" s="1983" t="s">
        <v>2644</v>
      </c>
      <c r="C232" s="2193" t="s">
        <v>3678</v>
      </c>
      <c r="D232" s="1988" t="s">
        <v>5258</v>
      </c>
      <c r="E232" s="2215">
        <v>9222.1</v>
      </c>
      <c r="F232" s="2117">
        <v>0</v>
      </c>
      <c r="G232" s="1747">
        <v>5000</v>
      </c>
      <c r="H232" s="1746">
        <v>45168</v>
      </c>
      <c r="I232" s="1747">
        <v>5000</v>
      </c>
      <c r="J232" s="1665">
        <v>45166</v>
      </c>
      <c r="K232" s="1605" t="s">
        <v>5964</v>
      </c>
      <c r="L232" s="1443"/>
      <c r="M232" s="442"/>
      <c r="N232" s="281"/>
      <c r="O232" s="281"/>
    </row>
    <row r="233" spans="1:15" ht="15">
      <c r="A233" s="1985"/>
      <c r="B233" s="1985"/>
      <c r="C233" s="2194"/>
      <c r="D233" s="1990"/>
      <c r="E233" s="2216"/>
      <c r="F233" s="2118"/>
      <c r="G233" s="1747">
        <f>9222.1-5000</f>
        <v>4222.1000000000004</v>
      </c>
      <c r="H233" s="1746">
        <v>45168</v>
      </c>
      <c r="I233" s="2081">
        <v>5849.88</v>
      </c>
      <c r="J233" s="2017">
        <v>45194</v>
      </c>
      <c r="K233" s="2014" t="s">
        <v>6282</v>
      </c>
      <c r="L233" s="1662"/>
      <c r="M233" s="442"/>
      <c r="N233" s="281"/>
      <c r="O233" s="281"/>
    </row>
    <row r="234" spans="1:15" ht="15">
      <c r="A234" s="676">
        <v>45078</v>
      </c>
      <c r="B234" s="676" t="s">
        <v>2644</v>
      </c>
      <c r="C234" s="1807" t="s">
        <v>3678</v>
      </c>
      <c r="D234" s="677" t="s">
        <v>5259</v>
      </c>
      <c r="E234" s="1048">
        <v>1627.78</v>
      </c>
      <c r="F234" s="722">
        <v>0</v>
      </c>
      <c r="G234" s="1747">
        <v>1627.78</v>
      </c>
      <c r="H234" s="1746">
        <v>45138</v>
      </c>
      <c r="I234" s="2082"/>
      <c r="J234" s="2019"/>
      <c r="K234" s="2016"/>
      <c r="L234" s="1443"/>
      <c r="M234" s="442"/>
      <c r="N234" s="281"/>
      <c r="O234" s="281"/>
    </row>
    <row r="235" spans="1:15" ht="15">
      <c r="A235" s="1983">
        <v>45099</v>
      </c>
      <c r="B235" s="1983" t="s">
        <v>2644</v>
      </c>
      <c r="C235" s="2193" t="s">
        <v>3678</v>
      </c>
      <c r="D235" s="1988" t="s">
        <v>5420</v>
      </c>
      <c r="E235" s="2215">
        <v>11794.78</v>
      </c>
      <c r="F235" s="2117">
        <v>0</v>
      </c>
      <c r="G235" s="1747">
        <v>6000</v>
      </c>
      <c r="H235" s="1746">
        <v>45159</v>
      </c>
      <c r="I235" s="1751">
        <v>6000</v>
      </c>
      <c r="J235" s="1748">
        <v>45198</v>
      </c>
      <c r="K235" s="1741" t="s">
        <v>6281</v>
      </c>
      <c r="L235" s="1443"/>
      <c r="M235" s="442"/>
      <c r="N235" s="281"/>
      <c r="O235" s="281"/>
    </row>
    <row r="236" spans="1:15" ht="15">
      <c r="A236" s="1985"/>
      <c r="B236" s="1985"/>
      <c r="C236" s="2194"/>
      <c r="D236" s="1990"/>
      <c r="E236" s="2216"/>
      <c r="F236" s="2118"/>
      <c r="G236" s="1747">
        <f>11794.78-6000</f>
        <v>5794.7800000000007</v>
      </c>
      <c r="H236" s="1746">
        <v>45159</v>
      </c>
      <c r="I236" s="1751">
        <v>5794.7800000000007</v>
      </c>
      <c r="J236" s="1748">
        <v>45203</v>
      </c>
      <c r="K236" s="1741" t="s">
        <v>6281</v>
      </c>
      <c r="L236" s="1749"/>
      <c r="M236" s="442"/>
      <c r="N236" s="281"/>
      <c r="O236" s="281"/>
    </row>
    <row r="237" spans="1:15" ht="15">
      <c r="A237" s="1983">
        <v>45131</v>
      </c>
      <c r="B237" s="1983" t="s">
        <v>2644</v>
      </c>
      <c r="C237" s="2193" t="s">
        <v>3678</v>
      </c>
      <c r="D237" s="1988" t="s">
        <v>5688</v>
      </c>
      <c r="E237" s="2215">
        <v>13499.12</v>
      </c>
      <c r="F237" s="2117">
        <v>0</v>
      </c>
      <c r="G237" s="1808">
        <v>7000</v>
      </c>
      <c r="H237" s="1807">
        <v>45191</v>
      </c>
      <c r="I237" s="1808">
        <v>7000</v>
      </c>
      <c r="J237" s="1807">
        <v>45216</v>
      </c>
      <c r="K237" s="1806" t="s">
        <v>6451</v>
      </c>
      <c r="L237" s="1443"/>
      <c r="M237" s="442"/>
      <c r="N237" s="281"/>
      <c r="O237" s="281"/>
    </row>
    <row r="238" spans="1:15" ht="15">
      <c r="A238" s="1985"/>
      <c r="B238" s="1985"/>
      <c r="C238" s="2194"/>
      <c r="D238" s="1990"/>
      <c r="E238" s="2216"/>
      <c r="F238" s="2118"/>
      <c r="G238" s="1808">
        <f>13499.12-7000</f>
        <v>6499.1200000000008</v>
      </c>
      <c r="H238" s="1807">
        <v>45191</v>
      </c>
      <c r="I238" s="2081">
        <v>5981.12</v>
      </c>
      <c r="J238" s="2193">
        <v>45222</v>
      </c>
      <c r="K238" s="1894" t="s">
        <v>6452</v>
      </c>
      <c r="L238" s="1790"/>
      <c r="M238" s="442"/>
      <c r="N238" s="281"/>
      <c r="O238" s="281"/>
    </row>
    <row r="239" spans="1:15" ht="15">
      <c r="A239" s="676">
        <v>45138</v>
      </c>
      <c r="B239" s="676" t="s">
        <v>2644</v>
      </c>
      <c r="C239" s="1807" t="s">
        <v>3678</v>
      </c>
      <c r="D239" s="677" t="s">
        <v>5825</v>
      </c>
      <c r="E239" s="1048">
        <v>-4.2</v>
      </c>
      <c r="F239" s="722">
        <v>0</v>
      </c>
      <c r="G239" s="1808">
        <v>-4.2</v>
      </c>
      <c r="H239" s="1807"/>
      <c r="I239" s="2120"/>
      <c r="J239" s="2196"/>
      <c r="K239" s="1895"/>
      <c r="L239" s="1586"/>
      <c r="M239" s="442"/>
      <c r="N239" s="281"/>
      <c r="O239" s="281"/>
    </row>
    <row r="240" spans="1:15" ht="15">
      <c r="A240" s="676">
        <v>45138</v>
      </c>
      <c r="B240" s="676" t="s">
        <v>2644</v>
      </c>
      <c r="C240" s="1807" t="s">
        <v>3678</v>
      </c>
      <c r="D240" s="677" t="s">
        <v>5826</v>
      </c>
      <c r="E240" s="1048">
        <v>-83.48</v>
      </c>
      <c r="F240" s="722">
        <v>0</v>
      </c>
      <c r="G240" s="1808">
        <v>-83.48</v>
      </c>
      <c r="H240" s="1807"/>
      <c r="I240" s="2120"/>
      <c r="J240" s="2196"/>
      <c r="K240" s="1895"/>
      <c r="L240" s="1586"/>
      <c r="M240" s="442"/>
      <c r="N240" s="281"/>
      <c r="O240" s="281"/>
    </row>
    <row r="241" spans="1:15" ht="15">
      <c r="A241" s="676">
        <v>45138</v>
      </c>
      <c r="B241" s="676" t="s">
        <v>2644</v>
      </c>
      <c r="C241" s="1807" t="s">
        <v>3678</v>
      </c>
      <c r="D241" s="677" t="s">
        <v>5827</v>
      </c>
      <c r="E241" s="1048">
        <v>-1.2</v>
      </c>
      <c r="F241" s="722">
        <v>0</v>
      </c>
      <c r="G241" s="1808">
        <v>-1.2</v>
      </c>
      <c r="H241" s="1807"/>
      <c r="I241" s="2120"/>
      <c r="J241" s="2196"/>
      <c r="K241" s="1895"/>
      <c r="L241" s="1586"/>
      <c r="M241" s="442"/>
      <c r="N241" s="281"/>
      <c r="O241" s="281"/>
    </row>
    <row r="242" spans="1:15" ht="15">
      <c r="A242" s="676">
        <v>45138</v>
      </c>
      <c r="B242" s="676" t="s">
        <v>2644</v>
      </c>
      <c r="C242" s="1807" t="s">
        <v>3678</v>
      </c>
      <c r="D242" s="677" t="s">
        <v>5828</v>
      </c>
      <c r="E242" s="1048">
        <v>-90.98</v>
      </c>
      <c r="F242" s="722">
        <v>0</v>
      </c>
      <c r="G242" s="1808">
        <v>-90.98</v>
      </c>
      <c r="H242" s="1807"/>
      <c r="I242" s="2120"/>
      <c r="J242" s="2196"/>
      <c r="K242" s="1895"/>
      <c r="L242" s="1586"/>
      <c r="M242" s="442"/>
      <c r="N242" s="281"/>
      <c r="O242" s="281"/>
    </row>
    <row r="243" spans="1:15" ht="15">
      <c r="A243" s="676">
        <v>45222</v>
      </c>
      <c r="B243" s="676" t="s">
        <v>2644</v>
      </c>
      <c r="C243" s="1807" t="s">
        <v>3678</v>
      </c>
      <c r="D243" s="677" t="s">
        <v>6422</v>
      </c>
      <c r="E243" s="1048">
        <v>-338.14</v>
      </c>
      <c r="F243" s="722">
        <v>0</v>
      </c>
      <c r="G243" s="1808">
        <v>-338.14</v>
      </c>
      <c r="H243" s="1807">
        <v>45224</v>
      </c>
      <c r="I243" s="2082"/>
      <c r="J243" s="2194"/>
      <c r="K243" s="1896"/>
      <c r="L243" s="1805" t="s">
        <v>6424</v>
      </c>
      <c r="M243" s="442"/>
      <c r="N243" s="281"/>
      <c r="O243" s="281"/>
    </row>
    <row r="244" spans="1:15" s="1830" customFormat="1" ht="15">
      <c r="A244" s="676">
        <v>45138</v>
      </c>
      <c r="B244" s="676" t="s">
        <v>2644</v>
      </c>
      <c r="C244" s="1807" t="s">
        <v>3678</v>
      </c>
      <c r="D244" s="677" t="s">
        <v>5829</v>
      </c>
      <c r="E244" s="1048">
        <v>-173.62</v>
      </c>
      <c r="F244" s="722">
        <v>0</v>
      </c>
      <c r="G244" s="1808">
        <v>-173.62</v>
      </c>
      <c r="H244" s="1807"/>
      <c r="I244" s="2138">
        <v>0</v>
      </c>
      <c r="J244" s="2193">
        <v>45223</v>
      </c>
      <c r="K244" s="1894" t="s">
        <v>6450</v>
      </c>
      <c r="L244" s="1828"/>
      <c r="M244" s="1829"/>
      <c r="N244" s="160"/>
      <c r="O244" s="160"/>
    </row>
    <row r="245" spans="1:15" s="1830" customFormat="1" ht="15">
      <c r="A245" s="676">
        <v>45138</v>
      </c>
      <c r="B245" s="676" t="s">
        <v>2644</v>
      </c>
      <c r="C245" s="1807" t="s">
        <v>3678</v>
      </c>
      <c r="D245" s="677" t="s">
        <v>5830</v>
      </c>
      <c r="E245" s="1048">
        <v>-164.52</v>
      </c>
      <c r="F245" s="722">
        <v>0</v>
      </c>
      <c r="G245" s="1808">
        <v>-164.52</v>
      </c>
      <c r="H245" s="1807"/>
      <c r="I245" s="2214"/>
      <c r="J245" s="2196"/>
      <c r="K245" s="1895"/>
      <c r="L245" s="1828"/>
      <c r="M245" s="1829"/>
      <c r="N245" s="160"/>
      <c r="O245" s="160"/>
    </row>
    <row r="246" spans="1:15" s="1830" customFormat="1" ht="15">
      <c r="A246" s="676">
        <v>45222</v>
      </c>
      <c r="B246" s="676" t="s">
        <v>2644</v>
      </c>
      <c r="C246" s="1807" t="s">
        <v>3678</v>
      </c>
      <c r="D246" s="677" t="s">
        <v>6423</v>
      </c>
      <c r="E246" s="1048">
        <v>338.14</v>
      </c>
      <c r="F246" s="722">
        <v>0</v>
      </c>
      <c r="G246" s="1808">
        <v>338.14</v>
      </c>
      <c r="H246" s="1807">
        <v>45224</v>
      </c>
      <c r="I246" s="2139"/>
      <c r="J246" s="2194"/>
      <c r="K246" s="1896"/>
      <c r="L246" s="1828" t="s">
        <v>6424</v>
      </c>
      <c r="M246" s="1829"/>
      <c r="N246" s="160"/>
      <c r="O246" s="160"/>
    </row>
    <row r="247" spans="1:15" ht="15">
      <c r="A247" s="676">
        <v>45142</v>
      </c>
      <c r="B247" s="676" t="s">
        <v>2644</v>
      </c>
      <c r="C247" s="1807" t="s">
        <v>3678</v>
      </c>
      <c r="D247" s="677" t="s">
        <v>5831</v>
      </c>
      <c r="E247" s="1048">
        <v>1019.62</v>
      </c>
      <c r="F247" s="722">
        <v>0</v>
      </c>
      <c r="G247" s="1687">
        <v>1019.62</v>
      </c>
      <c r="H247" s="1686">
        <v>45202</v>
      </c>
      <c r="I247" s="1687">
        <v>1019.62</v>
      </c>
      <c r="J247" s="1686">
        <v>45174</v>
      </c>
      <c r="K247" s="1685" t="s">
        <v>6022</v>
      </c>
      <c r="L247" s="1586"/>
      <c r="M247" s="442"/>
      <c r="N247" s="281"/>
      <c r="O247" s="281"/>
    </row>
    <row r="248" spans="1:15" ht="15">
      <c r="A248" s="681">
        <v>45173</v>
      </c>
      <c r="B248" s="681" t="s">
        <v>2644</v>
      </c>
      <c r="C248" s="601" t="s">
        <v>3678</v>
      </c>
      <c r="D248" s="682" t="s">
        <v>6002</v>
      </c>
      <c r="E248" s="1049">
        <v>20685.13</v>
      </c>
      <c r="F248" s="700">
        <v>0</v>
      </c>
      <c r="G248" s="699">
        <v>20685.14</v>
      </c>
      <c r="H248" s="601">
        <v>45233</v>
      </c>
      <c r="I248" s="1609"/>
      <c r="J248" s="1610"/>
      <c r="K248" s="1605"/>
      <c r="L248" s="1586"/>
      <c r="M248" s="442"/>
      <c r="N248" s="281"/>
      <c r="O248" s="281"/>
    </row>
    <row r="249" spans="1:15" ht="15">
      <c r="A249" s="681">
        <v>45181</v>
      </c>
      <c r="B249" s="681" t="s">
        <v>2644</v>
      </c>
      <c r="C249" s="601" t="s">
        <v>3678</v>
      </c>
      <c r="D249" s="682" t="s">
        <v>6043</v>
      </c>
      <c r="E249" s="1049">
        <v>2014.88</v>
      </c>
      <c r="F249" s="700">
        <v>0</v>
      </c>
      <c r="G249" s="699">
        <v>2014.88</v>
      </c>
      <c r="H249" s="601">
        <v>45240.000497685185</v>
      </c>
      <c r="I249" s="1588"/>
      <c r="J249" s="1589"/>
      <c r="K249" s="1583"/>
      <c r="L249" s="1586"/>
      <c r="M249" s="442"/>
      <c r="N249" s="281"/>
      <c r="O249" s="281"/>
    </row>
    <row r="250" spans="1:15" ht="15">
      <c r="A250" s="681">
        <v>45181</v>
      </c>
      <c r="B250" s="681" t="s">
        <v>2644</v>
      </c>
      <c r="C250" s="601" t="s">
        <v>3678</v>
      </c>
      <c r="D250" s="682" t="s">
        <v>6044</v>
      </c>
      <c r="E250" s="1049">
        <v>2226</v>
      </c>
      <c r="F250" s="700">
        <v>0</v>
      </c>
      <c r="G250" s="699">
        <v>2226</v>
      </c>
      <c r="H250" s="601">
        <v>45240.000497685185</v>
      </c>
      <c r="I250" s="1588"/>
      <c r="J250" s="1589"/>
      <c r="K250" s="1583"/>
      <c r="L250" s="1586"/>
      <c r="M250" s="442"/>
      <c r="N250" s="281"/>
      <c r="O250" s="281"/>
    </row>
    <row r="251" spans="1:15" ht="15">
      <c r="A251" s="681">
        <v>45202</v>
      </c>
      <c r="B251" s="681" t="s">
        <v>2644</v>
      </c>
      <c r="C251" s="601" t="s">
        <v>3678</v>
      </c>
      <c r="D251" s="682" t="s">
        <v>6223</v>
      </c>
      <c r="E251" s="1049">
        <v>13768.09</v>
      </c>
      <c r="F251" s="700">
        <v>0</v>
      </c>
      <c r="G251" s="699">
        <v>13768.09</v>
      </c>
      <c r="H251" s="601">
        <v>45261</v>
      </c>
      <c r="I251" s="1751"/>
      <c r="J251" s="1748"/>
      <c r="K251" s="1741"/>
      <c r="L251" s="1749"/>
      <c r="M251" s="442"/>
      <c r="N251" s="281"/>
      <c r="O251" s="281"/>
    </row>
    <row r="252" spans="1:15" ht="15">
      <c r="A252" s="681">
        <v>45202</v>
      </c>
      <c r="B252" s="681" t="s">
        <v>2644</v>
      </c>
      <c r="C252" s="601" t="s">
        <v>3678</v>
      </c>
      <c r="D252" s="682" t="s">
        <v>6224</v>
      </c>
      <c r="E252" s="1049">
        <v>-43.9</v>
      </c>
      <c r="F252" s="700">
        <v>0</v>
      </c>
      <c r="G252" s="699">
        <v>-43.9</v>
      </c>
      <c r="H252" s="601"/>
      <c r="I252" s="1751"/>
      <c r="J252" s="1748"/>
      <c r="K252" s="1741"/>
      <c r="L252" s="1749"/>
      <c r="M252" s="442"/>
      <c r="N252" s="281"/>
      <c r="O252" s="281"/>
    </row>
    <row r="253" spans="1:15" ht="15">
      <c r="A253" s="681">
        <v>45202</v>
      </c>
      <c r="B253" s="681" t="s">
        <v>2644</v>
      </c>
      <c r="C253" s="601" t="s">
        <v>3678</v>
      </c>
      <c r="D253" s="682" t="s">
        <v>6225</v>
      </c>
      <c r="E253" s="1049">
        <v>-82.54</v>
      </c>
      <c r="F253" s="700">
        <v>0</v>
      </c>
      <c r="G253" s="699">
        <v>-82.54</v>
      </c>
      <c r="H253" s="601"/>
      <c r="I253" s="1751"/>
      <c r="J253" s="1748"/>
      <c r="K253" s="1741"/>
      <c r="L253" s="1749"/>
      <c r="M253" s="442"/>
      <c r="N253" s="281"/>
      <c r="O253" s="281"/>
    </row>
    <row r="254" spans="1:15" ht="15">
      <c r="A254" s="681">
        <v>45202</v>
      </c>
      <c r="B254" s="681" t="s">
        <v>2644</v>
      </c>
      <c r="C254" s="601" t="s">
        <v>3678</v>
      </c>
      <c r="D254" s="682" t="s">
        <v>6226</v>
      </c>
      <c r="E254" s="1049">
        <v>-2.4500000000000002</v>
      </c>
      <c r="F254" s="700">
        <v>0</v>
      </c>
      <c r="G254" s="699">
        <v>-2.4500000000000002</v>
      </c>
      <c r="H254" s="601"/>
      <c r="I254" s="1751"/>
      <c r="J254" s="1748"/>
      <c r="K254" s="1741"/>
      <c r="L254" s="1749"/>
      <c r="M254" s="442"/>
      <c r="N254" s="281"/>
      <c r="O254" s="281"/>
    </row>
    <row r="255" spans="1:15" ht="15">
      <c r="A255" s="681">
        <v>45202</v>
      </c>
      <c r="B255" s="681" t="s">
        <v>2644</v>
      </c>
      <c r="C255" s="601" t="s">
        <v>3678</v>
      </c>
      <c r="D255" s="682" t="s">
        <v>6227</v>
      </c>
      <c r="E255" s="1049">
        <v>-155.38</v>
      </c>
      <c r="F255" s="700">
        <v>0</v>
      </c>
      <c r="G255" s="699">
        <v>-155.38</v>
      </c>
      <c r="H255" s="601"/>
      <c r="I255" s="1751"/>
      <c r="J255" s="1748"/>
      <c r="K255" s="1741"/>
      <c r="L255" s="1749"/>
      <c r="M255" s="442"/>
      <c r="N255" s="281"/>
      <c r="O255" s="281"/>
    </row>
    <row r="256" spans="1:15" ht="15">
      <c r="A256" s="681">
        <v>45202</v>
      </c>
      <c r="B256" s="681" t="s">
        <v>2644</v>
      </c>
      <c r="C256" s="601" t="s">
        <v>3678</v>
      </c>
      <c r="D256" s="682" t="s">
        <v>6228</v>
      </c>
      <c r="E256" s="1049">
        <v>-106.37</v>
      </c>
      <c r="F256" s="700">
        <v>0</v>
      </c>
      <c r="G256" s="699">
        <v>-106.37</v>
      </c>
      <c r="H256" s="601"/>
      <c r="I256" s="1751"/>
      <c r="J256" s="1748"/>
      <c r="K256" s="1741"/>
      <c r="L256" s="1749"/>
      <c r="M256" s="442"/>
      <c r="N256" s="281"/>
      <c r="O256" s="281"/>
    </row>
    <row r="257" spans="1:15" ht="15">
      <c r="A257" s="681">
        <v>45202</v>
      </c>
      <c r="B257" s="681" t="s">
        <v>2644</v>
      </c>
      <c r="C257" s="601" t="s">
        <v>3678</v>
      </c>
      <c r="D257" s="682" t="s">
        <v>6229</v>
      </c>
      <c r="E257" s="1049">
        <v>-111.01</v>
      </c>
      <c r="F257" s="700">
        <v>0</v>
      </c>
      <c r="G257" s="699">
        <v>-111.02</v>
      </c>
      <c r="H257" s="601"/>
      <c r="I257" s="1751"/>
      <c r="J257" s="1748"/>
      <c r="K257" s="1741"/>
      <c r="L257" s="1749"/>
      <c r="M257" s="442"/>
      <c r="N257" s="281"/>
      <c r="O257" s="281"/>
    </row>
    <row r="258" spans="1:15" ht="15">
      <c r="A258" s="681">
        <v>45203</v>
      </c>
      <c r="B258" s="681" t="s">
        <v>2644</v>
      </c>
      <c r="C258" s="601" t="s">
        <v>3678</v>
      </c>
      <c r="D258" s="682" t="s">
        <v>6230</v>
      </c>
      <c r="E258" s="1049">
        <v>-15.93</v>
      </c>
      <c r="F258" s="700">
        <v>0</v>
      </c>
      <c r="G258" s="699">
        <v>-15.93</v>
      </c>
      <c r="H258" s="601"/>
      <c r="I258" s="1751"/>
      <c r="J258" s="1748"/>
      <c r="K258" s="1741"/>
      <c r="L258" s="1749"/>
      <c r="M258" s="442"/>
      <c r="N258" s="281"/>
      <c r="O258" s="281"/>
    </row>
    <row r="259" spans="1:15" ht="15">
      <c r="A259" s="681">
        <v>45203</v>
      </c>
      <c r="B259" s="681" t="s">
        <v>2644</v>
      </c>
      <c r="C259" s="601" t="s">
        <v>3678</v>
      </c>
      <c r="D259" s="682" t="s">
        <v>6231</v>
      </c>
      <c r="E259" s="1049">
        <v>-254.25</v>
      </c>
      <c r="F259" s="700">
        <v>0</v>
      </c>
      <c r="G259" s="699">
        <v>-254.25</v>
      </c>
      <c r="H259" s="601"/>
      <c r="I259" s="1751"/>
      <c r="J259" s="1748"/>
      <c r="K259" s="1741"/>
      <c r="L259" s="1749"/>
      <c r="M259" s="442"/>
      <c r="N259" s="281"/>
      <c r="O259" s="281"/>
    </row>
    <row r="260" spans="1:15" ht="15">
      <c r="A260" s="681">
        <v>45203</v>
      </c>
      <c r="B260" s="681" t="s">
        <v>2644</v>
      </c>
      <c r="C260" s="601" t="s">
        <v>3678</v>
      </c>
      <c r="D260" s="682" t="s">
        <v>6425</v>
      </c>
      <c r="E260" s="1049">
        <v>-203.19</v>
      </c>
      <c r="F260" s="700">
        <v>0</v>
      </c>
      <c r="G260" s="699">
        <v>-203.19</v>
      </c>
      <c r="H260" s="601"/>
      <c r="I260" s="1751"/>
      <c r="J260" s="1748"/>
      <c r="K260" s="1741"/>
      <c r="L260" s="1749"/>
      <c r="M260" s="442"/>
      <c r="N260" s="281"/>
      <c r="O260" s="281"/>
    </row>
    <row r="261" spans="1:15" ht="15">
      <c r="A261" s="681">
        <v>45212</v>
      </c>
      <c r="B261" s="681" t="s">
        <v>2644</v>
      </c>
      <c r="C261" s="601" t="s">
        <v>3678</v>
      </c>
      <c r="D261" s="682" t="s">
        <v>6323</v>
      </c>
      <c r="E261" s="1049">
        <v>11425.61</v>
      </c>
      <c r="F261" s="700">
        <v>0</v>
      </c>
      <c r="G261" s="699">
        <v>11425.61</v>
      </c>
      <c r="H261" s="601">
        <v>45271</v>
      </c>
      <c r="I261" s="1751"/>
      <c r="J261" s="1748"/>
      <c r="K261" s="1741"/>
      <c r="L261" s="1749"/>
      <c r="M261" s="442"/>
      <c r="N261" s="281"/>
      <c r="O261" s="281"/>
    </row>
    <row r="262" spans="1:15" ht="15">
      <c r="A262" s="681">
        <v>45212</v>
      </c>
      <c r="B262" s="681" t="s">
        <v>2644</v>
      </c>
      <c r="C262" s="601" t="s">
        <v>3678</v>
      </c>
      <c r="D262" s="682" t="s">
        <v>6324</v>
      </c>
      <c r="E262" s="1049">
        <v>6014.45</v>
      </c>
      <c r="F262" s="700">
        <v>0</v>
      </c>
      <c r="G262" s="699">
        <v>6014.45</v>
      </c>
      <c r="H262" s="601">
        <v>45271</v>
      </c>
      <c r="I262" s="1751"/>
      <c r="J262" s="1748"/>
      <c r="K262" s="1741"/>
      <c r="L262" s="1749"/>
      <c r="M262" s="442"/>
      <c r="N262" s="281"/>
      <c r="O262" s="281"/>
    </row>
    <row r="263" spans="1:15" ht="15">
      <c r="A263" s="681">
        <v>45247</v>
      </c>
      <c r="B263" s="681" t="s">
        <v>2644</v>
      </c>
      <c r="C263" s="681" t="s">
        <v>3678</v>
      </c>
      <c r="D263" s="682" t="s">
        <v>6570</v>
      </c>
      <c r="E263" s="1049">
        <v>11122.16</v>
      </c>
      <c r="F263" s="700">
        <v>0</v>
      </c>
      <c r="G263" s="699">
        <v>11122.16</v>
      </c>
      <c r="H263" s="601">
        <v>45307</v>
      </c>
      <c r="I263" s="1810"/>
      <c r="J263" s="1809"/>
      <c r="K263" s="1800"/>
      <c r="L263" s="1805"/>
      <c r="M263" s="442"/>
      <c r="N263" s="281"/>
      <c r="O263" s="281"/>
    </row>
    <row r="264" spans="1:15" ht="15">
      <c r="A264" s="681"/>
      <c r="B264" s="681"/>
      <c r="C264" s="681"/>
      <c r="D264" s="682"/>
      <c r="E264" s="1049"/>
      <c r="F264" s="700"/>
      <c r="G264" s="699"/>
      <c r="H264" s="601"/>
      <c r="I264" s="1810"/>
      <c r="J264" s="1809"/>
      <c r="K264" s="1800"/>
      <c r="L264" s="1805"/>
      <c r="M264" s="442"/>
      <c r="N264" s="281"/>
      <c r="O264" s="281"/>
    </row>
    <row r="265" spans="1:15" ht="15">
      <c r="A265" s="681"/>
      <c r="B265" s="681"/>
      <c r="C265" s="681"/>
      <c r="D265" s="682"/>
      <c r="E265" s="1049"/>
      <c r="F265" s="700"/>
      <c r="G265" s="699"/>
      <c r="H265" s="601"/>
      <c r="I265" s="1810"/>
      <c r="J265" s="1809"/>
      <c r="K265" s="1800"/>
      <c r="L265" s="1805"/>
      <c r="M265" s="442"/>
      <c r="N265" s="281"/>
      <c r="O265" s="281"/>
    </row>
    <row r="266" spans="1:15" ht="15">
      <c r="A266" s="681"/>
      <c r="B266" s="681"/>
      <c r="C266" s="681"/>
      <c r="D266" s="682"/>
      <c r="E266" s="1049"/>
      <c r="F266" s="700"/>
      <c r="G266" s="699"/>
      <c r="H266" s="601"/>
      <c r="I266" s="1446"/>
      <c r="J266" s="1447"/>
      <c r="K266" s="1441"/>
      <c r="L266" s="1443"/>
      <c r="M266" s="442"/>
      <c r="N266" s="281"/>
      <c r="O266" s="281"/>
    </row>
    <row r="267" spans="1:15" ht="15">
      <c r="A267" s="681"/>
      <c r="B267" s="681"/>
      <c r="C267" s="681"/>
      <c r="D267" s="682"/>
      <c r="E267" s="1049"/>
      <c r="F267" s="700"/>
      <c r="G267" s="699"/>
      <c r="H267" s="601"/>
      <c r="I267" s="1446"/>
      <c r="J267" s="1447"/>
      <c r="K267" s="1441"/>
      <c r="L267" s="1443"/>
      <c r="M267" s="442"/>
      <c r="N267" s="281"/>
      <c r="O267" s="281"/>
    </row>
    <row r="268" spans="1:15" ht="15">
      <c r="A268" s="681"/>
      <c r="B268" s="681"/>
      <c r="C268" s="681"/>
      <c r="D268" s="682"/>
      <c r="E268" s="1049"/>
      <c r="F268" s="700"/>
      <c r="G268" s="699"/>
      <c r="H268" s="601"/>
      <c r="I268" s="1327"/>
      <c r="J268" s="1328"/>
      <c r="K268" s="1323"/>
      <c r="L268" s="1325"/>
      <c r="M268" s="442"/>
      <c r="N268" s="281"/>
      <c r="O268" s="281"/>
    </row>
    <row r="269" spans="1:15" ht="15">
      <c r="A269" s="681"/>
      <c r="B269" s="681"/>
      <c r="C269" s="681"/>
      <c r="D269" s="682"/>
      <c r="E269" s="1049"/>
      <c r="F269" s="700"/>
      <c r="G269" s="699"/>
      <c r="H269" s="601"/>
      <c r="I269" s="1327"/>
      <c r="J269" s="1328"/>
      <c r="K269" s="1323"/>
      <c r="L269" s="1325"/>
      <c r="M269" s="442"/>
      <c r="N269" s="281"/>
      <c r="O269" s="281"/>
    </row>
    <row r="270" spans="1:15" ht="15">
      <c r="A270" s="681"/>
      <c r="B270" s="681"/>
      <c r="C270" s="681"/>
      <c r="D270" s="682"/>
      <c r="E270" s="1049"/>
      <c r="F270" s="700"/>
      <c r="G270" s="699"/>
      <c r="H270" s="601"/>
      <c r="I270" s="1157"/>
      <c r="J270" s="1158"/>
      <c r="K270" s="1153"/>
      <c r="L270" s="1156"/>
      <c r="M270" s="442"/>
      <c r="N270" s="281"/>
      <c r="O270" s="281"/>
    </row>
    <row r="271" spans="1:15" ht="15">
      <c r="A271" s="681"/>
      <c r="B271" s="681"/>
      <c r="C271" s="681"/>
      <c r="D271" s="682"/>
      <c r="E271" s="1049"/>
      <c r="F271" s="700"/>
      <c r="G271" s="699"/>
      <c r="H271" s="601"/>
      <c r="I271" s="945"/>
      <c r="J271" s="949"/>
      <c r="K271" s="934"/>
      <c r="L271" s="938"/>
      <c r="M271" s="442"/>
      <c r="N271" s="281"/>
      <c r="O271" s="281"/>
    </row>
    <row r="272" spans="1:15" ht="15">
      <c r="A272" s="944"/>
      <c r="B272" s="1138"/>
      <c r="C272" s="1811"/>
      <c r="D272" s="702"/>
      <c r="E272" s="1050"/>
      <c r="F272" s="1144" t="s">
        <v>545</v>
      </c>
      <c r="G272" s="729">
        <f>SUM(G131:G271)-SUM(I131:I271)</f>
        <v>66281.300000000017</v>
      </c>
      <c r="H272" s="944"/>
      <c r="I272" s="945"/>
      <c r="J272" s="949"/>
      <c r="K272" s="939"/>
      <c r="L272" s="938"/>
      <c r="M272" s="281"/>
      <c r="N272" s="281"/>
      <c r="O272" s="281"/>
    </row>
    <row r="273" spans="1:15">
      <c r="A273" s="246"/>
      <c r="B273" s="246"/>
      <c r="C273" s="246"/>
      <c r="D273" s="246"/>
      <c r="E273" s="246"/>
      <c r="F273" s="246"/>
      <c r="G273" s="123"/>
      <c r="I273" s="246"/>
      <c r="J273" s="363"/>
      <c r="K273" s="246"/>
      <c r="L273" s="281"/>
      <c r="M273" s="281"/>
      <c r="N273" s="281"/>
      <c r="O273" s="281"/>
    </row>
    <row r="274" spans="1:15">
      <c r="A274" s="246"/>
      <c r="B274" s="246"/>
      <c r="C274" s="246"/>
      <c r="D274" s="246"/>
      <c r="E274" s="246"/>
      <c r="F274" s="246"/>
      <c r="G274" s="1184" t="s">
        <v>4199</v>
      </c>
      <c r="H274" s="1184" t="s">
        <v>4014</v>
      </c>
      <c r="I274" s="246"/>
      <c r="J274" s="363"/>
      <c r="K274" s="246"/>
      <c r="L274" s="281"/>
      <c r="M274" s="281"/>
      <c r="N274" s="281"/>
      <c r="O274" s="281"/>
    </row>
    <row r="275" spans="1:15" ht="15">
      <c r="A275" s="246"/>
      <c r="B275" s="246"/>
      <c r="C275" s="246"/>
      <c r="D275" s="363"/>
      <c r="E275" s="363"/>
      <c r="G275" s="1182">
        <v>7000</v>
      </c>
      <c r="H275" s="1183">
        <v>45251</v>
      </c>
      <c r="J275" s="363"/>
      <c r="K275" s="246"/>
      <c r="L275" s="281"/>
      <c r="M275" s="281"/>
      <c r="N275" s="281"/>
      <c r="O275" s="281"/>
    </row>
    <row r="276" spans="1:15" ht="15">
      <c r="A276" s="246"/>
      <c r="B276" s="246"/>
      <c r="C276" s="246"/>
      <c r="D276" s="363"/>
      <c r="E276" s="363"/>
      <c r="G276" s="1182">
        <v>7000</v>
      </c>
      <c r="H276" s="1183">
        <v>45257</v>
      </c>
      <c r="J276" s="363"/>
      <c r="K276" s="246"/>
      <c r="L276" s="281"/>
      <c r="M276" s="281"/>
      <c r="N276" s="281"/>
      <c r="O276" s="281"/>
    </row>
    <row r="277" spans="1:15" ht="15">
      <c r="A277" s="246"/>
      <c r="B277" s="246"/>
      <c r="C277" s="246"/>
      <c r="D277" s="246"/>
      <c r="E277" s="246"/>
      <c r="G277" s="1182">
        <v>6685.14</v>
      </c>
      <c r="H277" s="1183">
        <v>45260</v>
      </c>
      <c r="J277" s="246"/>
      <c r="K277" s="246"/>
      <c r="L277" s="281"/>
      <c r="M277" s="281"/>
      <c r="N277" s="281"/>
      <c r="O277" s="281"/>
    </row>
    <row r="278" spans="1:15" ht="15">
      <c r="A278" s="246"/>
      <c r="B278" s="246"/>
      <c r="C278" s="246"/>
      <c r="D278" s="246"/>
      <c r="E278" s="246"/>
      <c r="G278" s="1182">
        <v>4240.88</v>
      </c>
      <c r="H278" s="1183">
        <v>45266</v>
      </c>
      <c r="J278" s="363"/>
      <c r="K278" s="246"/>
      <c r="L278" s="281"/>
      <c r="M278" s="281"/>
      <c r="N278" s="281"/>
      <c r="O278" s="281"/>
    </row>
    <row r="279" spans="1:15" ht="15">
      <c r="G279" s="1761">
        <f>SUM(G275:G278)</f>
        <v>24926.02</v>
      </c>
      <c r="H279" s="1762"/>
    </row>
  </sheetData>
  <mergeCells count="279">
    <mergeCell ref="A237:A238"/>
    <mergeCell ref="B237:B238"/>
    <mergeCell ref="C237:C238"/>
    <mergeCell ref="D237:D238"/>
    <mergeCell ref="E237:E238"/>
    <mergeCell ref="F237:F238"/>
    <mergeCell ref="K233:K234"/>
    <mergeCell ref="J233:J234"/>
    <mergeCell ref="I233:I234"/>
    <mergeCell ref="A235:A236"/>
    <mergeCell ref="B235:B236"/>
    <mergeCell ref="C235:C236"/>
    <mergeCell ref="D235:D236"/>
    <mergeCell ref="E235:E236"/>
    <mergeCell ref="F235:F236"/>
    <mergeCell ref="F232:F233"/>
    <mergeCell ref="E232:E233"/>
    <mergeCell ref="D232:D233"/>
    <mergeCell ref="C232:C233"/>
    <mergeCell ref="B232:B233"/>
    <mergeCell ref="A232:A233"/>
    <mergeCell ref="K229:K231"/>
    <mergeCell ref="J229:J231"/>
    <mergeCell ref="I229:I231"/>
    <mergeCell ref="F225:F228"/>
    <mergeCell ref="E225:E228"/>
    <mergeCell ref="D225:D228"/>
    <mergeCell ref="C225:C228"/>
    <mergeCell ref="B225:B228"/>
    <mergeCell ref="A225:A228"/>
    <mergeCell ref="K222:K225"/>
    <mergeCell ref="J222:J225"/>
    <mergeCell ref="I222:I225"/>
    <mergeCell ref="B212:B213"/>
    <mergeCell ref="F212:F213"/>
    <mergeCell ref="E212:E213"/>
    <mergeCell ref="K206:K212"/>
    <mergeCell ref="J206:J212"/>
    <mergeCell ref="I206:I212"/>
    <mergeCell ref="F205:F206"/>
    <mergeCell ref="E205:E206"/>
    <mergeCell ref="D205:D206"/>
    <mergeCell ref="K201:K205"/>
    <mergeCell ref="J201:J205"/>
    <mergeCell ref="I201:I205"/>
    <mergeCell ref="F200:F201"/>
    <mergeCell ref="E200:E201"/>
    <mergeCell ref="D200:D201"/>
    <mergeCell ref="C200:C201"/>
    <mergeCell ref="C148:C149"/>
    <mergeCell ref="C164:C165"/>
    <mergeCell ref="B164:B165"/>
    <mergeCell ref="B167:B168"/>
    <mergeCell ref="C167:C168"/>
    <mergeCell ref="I169:I171"/>
    <mergeCell ref="F167:F168"/>
    <mergeCell ref="E167:E168"/>
    <mergeCell ref="D167:D168"/>
    <mergeCell ref="D148:D149"/>
    <mergeCell ref="F164:F165"/>
    <mergeCell ref="E164:E165"/>
    <mergeCell ref="D164:D165"/>
    <mergeCell ref="L10:L12"/>
    <mergeCell ref="L13:L14"/>
    <mergeCell ref="K91:K94"/>
    <mergeCell ref="K95:K96"/>
    <mergeCell ref="K97:K99"/>
    <mergeCell ref="K104:K109"/>
    <mergeCell ref="K110:K111"/>
    <mergeCell ref="K112:K113"/>
    <mergeCell ref="K66:K68"/>
    <mergeCell ref="K69:K70"/>
    <mergeCell ref="K71:K73"/>
    <mergeCell ref="K74:K77"/>
    <mergeCell ref="K79:K81"/>
    <mergeCell ref="K84:K87"/>
    <mergeCell ref="K61:K62"/>
    <mergeCell ref="K63:K65"/>
    <mergeCell ref="K47:K51"/>
    <mergeCell ref="K17:K20"/>
    <mergeCell ref="K40:K42"/>
    <mergeCell ref="K21:K23"/>
    <mergeCell ref="I55:I56"/>
    <mergeCell ref="I57:I60"/>
    <mergeCell ref="I61:I62"/>
    <mergeCell ref="I63:I65"/>
    <mergeCell ref="K24:K35"/>
    <mergeCell ref="K36:K39"/>
    <mergeCell ref="K44:K46"/>
    <mergeCell ref="J79:J83"/>
    <mergeCell ref="J84:J87"/>
    <mergeCell ref="K53:K54"/>
    <mergeCell ref="K55:K56"/>
    <mergeCell ref="K57:K60"/>
    <mergeCell ref="J47:J51"/>
    <mergeCell ref="J53:J54"/>
    <mergeCell ref="J55:J56"/>
    <mergeCell ref="J57:J60"/>
    <mergeCell ref="J61:J62"/>
    <mergeCell ref="J71:J73"/>
    <mergeCell ref="J66:J68"/>
    <mergeCell ref="J69:J70"/>
    <mergeCell ref="J44:J46"/>
    <mergeCell ref="I10:I12"/>
    <mergeCell ref="I47:I51"/>
    <mergeCell ref="I53:I54"/>
    <mergeCell ref="I8:I9"/>
    <mergeCell ref="I40:I42"/>
    <mergeCell ref="I13:I16"/>
    <mergeCell ref="I17:I20"/>
    <mergeCell ref="I21:I23"/>
    <mergeCell ref="I24:I35"/>
    <mergeCell ref="I36:I39"/>
    <mergeCell ref="I44:I46"/>
    <mergeCell ref="I95:I96"/>
    <mergeCell ref="I104:I109"/>
    <mergeCell ref="I110:I111"/>
    <mergeCell ref="J91:J94"/>
    <mergeCell ref="J95:J96"/>
    <mergeCell ref="J104:J109"/>
    <mergeCell ref="K3:K4"/>
    <mergeCell ref="K6:K7"/>
    <mergeCell ref="K8:K9"/>
    <mergeCell ref="K10:K12"/>
    <mergeCell ref="K13:K16"/>
    <mergeCell ref="J3:J4"/>
    <mergeCell ref="J6:J7"/>
    <mergeCell ref="J8:J9"/>
    <mergeCell ref="J10:J12"/>
    <mergeCell ref="J13:J16"/>
    <mergeCell ref="I3:I4"/>
    <mergeCell ref="I6:I7"/>
    <mergeCell ref="J63:J65"/>
    <mergeCell ref="J17:J20"/>
    <mergeCell ref="J21:J23"/>
    <mergeCell ref="J24:J35"/>
    <mergeCell ref="J36:J39"/>
    <mergeCell ref="J40:J42"/>
    <mergeCell ref="J101:J103"/>
    <mergeCell ref="K117:K118"/>
    <mergeCell ref="J117:J118"/>
    <mergeCell ref="K101:K103"/>
    <mergeCell ref="J110:J111"/>
    <mergeCell ref="J112:J113"/>
    <mergeCell ref="J121:J122"/>
    <mergeCell ref="I66:I68"/>
    <mergeCell ref="I69:I70"/>
    <mergeCell ref="I71:I73"/>
    <mergeCell ref="I74:I77"/>
    <mergeCell ref="I121:I122"/>
    <mergeCell ref="I114:I115"/>
    <mergeCell ref="I119:I120"/>
    <mergeCell ref="I97:I99"/>
    <mergeCell ref="I112:I113"/>
    <mergeCell ref="I117:I118"/>
    <mergeCell ref="I101:I103"/>
    <mergeCell ref="J97:J99"/>
    <mergeCell ref="J119:J120"/>
    <mergeCell ref="J74:J77"/>
    <mergeCell ref="I79:I83"/>
    <mergeCell ref="I84:I87"/>
    <mergeCell ref="I91:I94"/>
    <mergeCell ref="E133:E134"/>
    <mergeCell ref="C136:C137"/>
    <mergeCell ref="B136:B137"/>
    <mergeCell ref="B138:B139"/>
    <mergeCell ref="C138:C139"/>
    <mergeCell ref="K114:K115"/>
    <mergeCell ref="K119:K120"/>
    <mergeCell ref="J114:J115"/>
    <mergeCell ref="J123:J128"/>
    <mergeCell ref="K121:K122"/>
    <mergeCell ref="K123:K128"/>
    <mergeCell ref="I123:I128"/>
    <mergeCell ref="I132:I133"/>
    <mergeCell ref="B133:B134"/>
    <mergeCell ref="C133:C134"/>
    <mergeCell ref="E138:E139"/>
    <mergeCell ref="F136:F137"/>
    <mergeCell ref="E136:E137"/>
    <mergeCell ref="L139:L143"/>
    <mergeCell ref="D143:D147"/>
    <mergeCell ref="A143:A147"/>
    <mergeCell ref="C143:C147"/>
    <mergeCell ref="B143:B147"/>
    <mergeCell ref="A133:A134"/>
    <mergeCell ref="D133:D134"/>
    <mergeCell ref="A136:A137"/>
    <mergeCell ref="D136:D137"/>
    <mergeCell ref="A138:A139"/>
    <mergeCell ref="D138:D139"/>
    <mergeCell ref="L137:L138"/>
    <mergeCell ref="I137:I138"/>
    <mergeCell ref="K137:K138"/>
    <mergeCell ref="J137:J138"/>
    <mergeCell ref="L134:L136"/>
    <mergeCell ref="K134:K136"/>
    <mergeCell ref="J134:J136"/>
    <mergeCell ref="I134:I136"/>
    <mergeCell ref="L132:L133"/>
    <mergeCell ref="K132:K133"/>
    <mergeCell ref="J132:J133"/>
    <mergeCell ref="F138:F139"/>
    <mergeCell ref="F133:F134"/>
    <mergeCell ref="K147:K148"/>
    <mergeCell ref="J147:J148"/>
    <mergeCell ref="D151:D152"/>
    <mergeCell ref="A151:A152"/>
    <mergeCell ref="K149:K151"/>
    <mergeCell ref="J149:J151"/>
    <mergeCell ref="K152:K153"/>
    <mergeCell ref="J152:J153"/>
    <mergeCell ref="K139:K143"/>
    <mergeCell ref="J139:J143"/>
    <mergeCell ref="F148:F149"/>
    <mergeCell ref="E148:E149"/>
    <mergeCell ref="F143:F147"/>
    <mergeCell ref="E143:E147"/>
    <mergeCell ref="A148:A149"/>
    <mergeCell ref="I147:I148"/>
    <mergeCell ref="I149:I151"/>
    <mergeCell ref="F151:F152"/>
    <mergeCell ref="E151:E152"/>
    <mergeCell ref="I152:I153"/>
    <mergeCell ref="I139:I143"/>
    <mergeCell ref="C151:C152"/>
    <mergeCell ref="B151:B152"/>
    <mergeCell ref="B148:B149"/>
    <mergeCell ref="K186:K191"/>
    <mergeCell ref="J186:J191"/>
    <mergeCell ref="I186:I191"/>
    <mergeCell ref="A164:A165"/>
    <mergeCell ref="I160:I164"/>
    <mergeCell ref="K160:K164"/>
    <mergeCell ref="J160:J164"/>
    <mergeCell ref="A167:A168"/>
    <mergeCell ref="K183:K184"/>
    <mergeCell ref="J183:J184"/>
    <mergeCell ref="I183:I184"/>
    <mergeCell ref="J169:J171"/>
    <mergeCell ref="K169:K171"/>
    <mergeCell ref="K172:K179"/>
    <mergeCell ref="J172:J179"/>
    <mergeCell ref="I172:I179"/>
    <mergeCell ref="A200:A201"/>
    <mergeCell ref="K195:K200"/>
    <mergeCell ref="J195:J200"/>
    <mergeCell ref="I195:I200"/>
    <mergeCell ref="B200:B201"/>
    <mergeCell ref="F192:F195"/>
    <mergeCell ref="E192:E195"/>
    <mergeCell ref="D192:D195"/>
    <mergeCell ref="C192:C195"/>
    <mergeCell ref="B192:B195"/>
    <mergeCell ref="A192:A195"/>
    <mergeCell ref="K244:K246"/>
    <mergeCell ref="J244:J246"/>
    <mergeCell ref="I244:I246"/>
    <mergeCell ref="K238:K243"/>
    <mergeCell ref="J238:J243"/>
    <mergeCell ref="I238:I243"/>
    <mergeCell ref="C205:C206"/>
    <mergeCell ref="B205:B206"/>
    <mergeCell ref="A205:A206"/>
    <mergeCell ref="F214:F215"/>
    <mergeCell ref="E214:E215"/>
    <mergeCell ref="D214:D215"/>
    <mergeCell ref="C214:C215"/>
    <mergeCell ref="B214:B215"/>
    <mergeCell ref="A214:A215"/>
    <mergeCell ref="A212:A213"/>
    <mergeCell ref="K215:K221"/>
    <mergeCell ref="J215:J221"/>
    <mergeCell ref="I215:I221"/>
    <mergeCell ref="K213:K214"/>
    <mergeCell ref="J213:J214"/>
    <mergeCell ref="I213:I214"/>
    <mergeCell ref="D212:D213"/>
    <mergeCell ref="C212:C213"/>
  </mergeCells>
  <phoneticPr fontId="15" type="noConversion"/>
  <hyperlinks>
    <hyperlink ref="F272" location="汇总!A1" display="剩余欠款"/>
  </hyperlinks>
  <pageMargins left="0.75" right="0.75" top="1" bottom="1" header="0.5" footer="0.5"/>
  <pageSetup paperSize="9"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L43"/>
  <sheetViews>
    <sheetView workbookViewId="0">
      <pane ySplit="1" topLeftCell="A17" activePane="bottomLeft" state="frozen"/>
      <selection activeCell="C33" sqref="C33"/>
      <selection pane="bottomLeft" activeCell="F43" sqref="F43"/>
    </sheetView>
  </sheetViews>
  <sheetFormatPr defaultRowHeight="14.25"/>
  <cols>
    <col min="1" max="1" width="12.875" bestFit="1" customWidth="1"/>
    <col min="2" max="2" width="8.875" bestFit="1" customWidth="1"/>
    <col min="3" max="3" width="18.375" bestFit="1" customWidth="1"/>
    <col min="4" max="4" width="15" bestFit="1" customWidth="1"/>
    <col min="5" max="6" width="12.75" customWidth="1"/>
    <col min="7" max="7" width="11.5" bestFit="1" customWidth="1"/>
    <col min="8" max="8" width="16.75" bestFit="1" customWidth="1"/>
    <col min="9" max="9" width="14.125" bestFit="1" customWidth="1"/>
    <col min="10" max="10" width="13.25" bestFit="1" customWidth="1"/>
    <col min="11" max="11" width="11.625" bestFit="1" customWidth="1"/>
    <col min="12" max="12" width="76" bestFit="1" customWidth="1"/>
  </cols>
  <sheetData>
    <row r="1" spans="1:12" s="96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6" t="s">
        <v>542</v>
      </c>
    </row>
    <row r="2" spans="1:12" ht="15">
      <c r="A2" s="632">
        <v>44208</v>
      </c>
      <c r="B2" s="1124" t="s">
        <v>4121</v>
      </c>
      <c r="C2" s="1124" t="s">
        <v>4097</v>
      </c>
      <c r="D2" s="615" t="s">
        <v>1877</v>
      </c>
      <c r="E2" s="631">
        <v>5183.84</v>
      </c>
      <c r="F2" s="731">
        <v>0</v>
      </c>
      <c r="G2" s="631">
        <v>5183.84</v>
      </c>
      <c r="H2" s="632">
        <v>44209</v>
      </c>
      <c r="I2" s="2209">
        <v>5073.59</v>
      </c>
      <c r="J2" s="2040">
        <v>44298</v>
      </c>
      <c r="K2" s="2244" t="s">
        <v>1878</v>
      </c>
      <c r="L2" s="100" t="s">
        <v>1170</v>
      </c>
    </row>
    <row r="3" spans="1:12" ht="15">
      <c r="A3" s="632">
        <v>44293</v>
      </c>
      <c r="B3" s="1124" t="s">
        <v>4121</v>
      </c>
      <c r="C3" s="1124" t="s">
        <v>4097</v>
      </c>
      <c r="D3" s="615" t="s">
        <v>1171</v>
      </c>
      <c r="E3" s="631">
        <v>-110.25</v>
      </c>
      <c r="F3" s="731">
        <v>0</v>
      </c>
      <c r="G3" s="631">
        <v>-110.25</v>
      </c>
      <c r="H3" s="632" t="s">
        <v>1529</v>
      </c>
      <c r="I3" s="2209"/>
      <c r="J3" s="2142"/>
      <c r="K3" s="2245"/>
      <c r="L3" s="100" t="s">
        <v>389</v>
      </c>
    </row>
    <row r="4" spans="1:12" ht="15">
      <c r="A4" s="632">
        <v>44330</v>
      </c>
      <c r="B4" s="1124" t="s">
        <v>4121</v>
      </c>
      <c r="C4" s="1124" t="s">
        <v>4097</v>
      </c>
      <c r="D4" s="615" t="s">
        <v>1172</v>
      </c>
      <c r="E4" s="631">
        <v>578.70000000000005</v>
      </c>
      <c r="F4" s="731">
        <v>0</v>
      </c>
      <c r="G4" s="631">
        <v>578.70000000000005</v>
      </c>
      <c r="H4" s="632">
        <v>44331</v>
      </c>
      <c r="I4" s="742">
        <f>578+0.7</f>
        <v>578.70000000000005</v>
      </c>
      <c r="J4" s="747">
        <v>44560</v>
      </c>
      <c r="K4" s="315" t="s">
        <v>1878</v>
      </c>
      <c r="L4" s="113"/>
    </row>
    <row r="5" spans="1:12" ht="15">
      <c r="A5" s="623">
        <v>44872</v>
      </c>
      <c r="B5" s="623" t="s">
        <v>3719</v>
      </c>
      <c r="C5" s="623" t="s">
        <v>4097</v>
      </c>
      <c r="D5" s="624" t="s">
        <v>3453</v>
      </c>
      <c r="E5" s="606">
        <v>3226.91</v>
      </c>
      <c r="F5" s="732">
        <v>0</v>
      </c>
      <c r="G5" s="606">
        <v>3226.91</v>
      </c>
      <c r="H5" s="623">
        <v>44902</v>
      </c>
      <c r="I5" s="901"/>
      <c r="J5" s="721"/>
      <c r="K5" s="902"/>
      <c r="L5" s="219"/>
    </row>
    <row r="6" spans="1:12" ht="15">
      <c r="A6" s="623">
        <v>44949</v>
      </c>
      <c r="B6" s="623" t="s">
        <v>3719</v>
      </c>
      <c r="C6" s="623" t="s">
        <v>4097</v>
      </c>
      <c r="D6" s="624" t="s">
        <v>3974</v>
      </c>
      <c r="E6" s="606">
        <v>1230.6199999999999</v>
      </c>
      <c r="F6" s="732">
        <v>258.43</v>
      </c>
      <c r="G6" s="606">
        <v>1489.05</v>
      </c>
      <c r="H6" s="623">
        <v>45009</v>
      </c>
      <c r="I6" s="901"/>
      <c r="J6" s="721"/>
      <c r="K6" s="902"/>
      <c r="L6" s="219"/>
    </row>
    <row r="7" spans="1:12" ht="15">
      <c r="A7" s="623">
        <v>44981</v>
      </c>
      <c r="B7" s="623" t="s">
        <v>2644</v>
      </c>
      <c r="C7" s="623" t="s">
        <v>4097</v>
      </c>
      <c r="D7" s="624" t="s">
        <v>4229</v>
      </c>
      <c r="E7" s="606">
        <v>-7.13</v>
      </c>
      <c r="F7" s="732">
        <v>0</v>
      </c>
      <c r="G7" s="606">
        <v>-7.13</v>
      </c>
      <c r="H7" s="623"/>
      <c r="I7" s="901"/>
      <c r="J7" s="721"/>
      <c r="K7" s="902"/>
      <c r="L7" s="219"/>
    </row>
    <row r="8" spans="1:12" ht="15">
      <c r="A8" s="623">
        <v>45077</v>
      </c>
      <c r="B8" s="623" t="s">
        <v>3719</v>
      </c>
      <c r="C8" s="623" t="s">
        <v>4097</v>
      </c>
      <c r="D8" s="624" t="s">
        <v>5260</v>
      </c>
      <c r="E8" s="606">
        <v>-87.77</v>
      </c>
      <c r="F8" s="732">
        <v>0</v>
      </c>
      <c r="G8" s="606">
        <v>-87.77</v>
      </c>
      <c r="H8" s="623"/>
      <c r="I8" s="901"/>
      <c r="J8" s="721"/>
      <c r="K8" s="902"/>
      <c r="L8" s="219"/>
    </row>
    <row r="9" spans="1:12" ht="15">
      <c r="A9" s="623">
        <v>45077</v>
      </c>
      <c r="B9" s="623" t="s">
        <v>3719</v>
      </c>
      <c r="C9" s="623" t="s">
        <v>4097</v>
      </c>
      <c r="D9" s="624" t="s">
        <v>5261</v>
      </c>
      <c r="E9" s="606">
        <v>-303.11</v>
      </c>
      <c r="F9" s="732">
        <v>0</v>
      </c>
      <c r="G9" s="606">
        <v>-303.11</v>
      </c>
      <c r="H9" s="623"/>
      <c r="I9" s="901"/>
      <c r="J9" s="721"/>
      <c r="K9" s="902"/>
      <c r="L9" s="219"/>
    </row>
    <row r="10" spans="1:12" ht="15">
      <c r="A10" s="623">
        <v>45077</v>
      </c>
      <c r="B10" s="623" t="s">
        <v>3719</v>
      </c>
      <c r="C10" s="623" t="s">
        <v>4097</v>
      </c>
      <c r="D10" s="624" t="s">
        <v>5262</v>
      </c>
      <c r="E10" s="606">
        <v>-64.31</v>
      </c>
      <c r="F10" s="732">
        <v>0</v>
      </c>
      <c r="G10" s="606">
        <v>-64.31</v>
      </c>
      <c r="H10" s="623"/>
      <c r="I10" s="901"/>
      <c r="J10" s="721"/>
      <c r="K10" s="902"/>
      <c r="L10" s="219"/>
    </row>
    <row r="11" spans="1:12" ht="15">
      <c r="A11" s="623">
        <v>45077</v>
      </c>
      <c r="B11" s="623" t="s">
        <v>3719</v>
      </c>
      <c r="C11" s="623" t="s">
        <v>4097</v>
      </c>
      <c r="D11" s="624" t="s">
        <v>5263</v>
      </c>
      <c r="E11" s="606">
        <v>-186.6</v>
      </c>
      <c r="F11" s="732">
        <v>0</v>
      </c>
      <c r="G11" s="606">
        <v>-186.6</v>
      </c>
      <c r="H11" s="623"/>
      <c r="I11" s="901"/>
      <c r="J11" s="721"/>
      <c r="K11" s="902"/>
      <c r="L11" s="219"/>
    </row>
    <row r="12" spans="1:12" ht="15">
      <c r="A12" s="623">
        <v>45077</v>
      </c>
      <c r="B12" s="623" t="s">
        <v>3719</v>
      </c>
      <c r="C12" s="623" t="s">
        <v>4097</v>
      </c>
      <c r="D12" s="624" t="s">
        <v>5264</v>
      </c>
      <c r="E12" s="606">
        <v>-102.65</v>
      </c>
      <c r="F12" s="732">
        <v>-21.56</v>
      </c>
      <c r="G12" s="606">
        <v>-124.2</v>
      </c>
      <c r="H12" s="623"/>
      <c r="I12" s="901"/>
      <c r="J12" s="721"/>
      <c r="K12" s="902"/>
      <c r="L12" s="219"/>
    </row>
    <row r="13" spans="1:12" ht="15">
      <c r="A13" s="623">
        <v>45077</v>
      </c>
      <c r="B13" s="623" t="s">
        <v>3719</v>
      </c>
      <c r="C13" s="623" t="s">
        <v>4097</v>
      </c>
      <c r="D13" s="624" t="s">
        <v>5265</v>
      </c>
      <c r="E13" s="606">
        <v>-3.84</v>
      </c>
      <c r="F13" s="732">
        <v>-0.81</v>
      </c>
      <c r="G13" s="606">
        <v>-4.6500000000000004</v>
      </c>
      <c r="H13" s="623"/>
      <c r="I13" s="901"/>
      <c r="J13" s="721"/>
      <c r="K13" s="902"/>
      <c r="L13" s="219"/>
    </row>
    <row r="14" spans="1:12" ht="15">
      <c r="A14" s="623">
        <v>45077</v>
      </c>
      <c r="B14" s="623" t="s">
        <v>3719</v>
      </c>
      <c r="C14" s="623" t="s">
        <v>4097</v>
      </c>
      <c r="D14" s="624" t="s">
        <v>5266</v>
      </c>
      <c r="E14" s="606">
        <v>-50.3</v>
      </c>
      <c r="F14" s="732">
        <v>-10.56</v>
      </c>
      <c r="G14" s="606">
        <v>-60.86</v>
      </c>
      <c r="H14" s="623"/>
      <c r="I14" s="901"/>
      <c r="J14" s="721"/>
      <c r="K14" s="902"/>
      <c r="L14" s="219"/>
    </row>
    <row r="15" spans="1:12" ht="15">
      <c r="A15" s="623">
        <v>45077</v>
      </c>
      <c r="B15" s="623" t="s">
        <v>3719</v>
      </c>
      <c r="C15" s="623" t="s">
        <v>4097</v>
      </c>
      <c r="D15" s="624" t="s">
        <v>5267</v>
      </c>
      <c r="E15" s="606">
        <v>-46.12</v>
      </c>
      <c r="F15" s="732">
        <v>-9.68</v>
      </c>
      <c r="G15" s="606">
        <v>-55.8</v>
      </c>
      <c r="H15" s="623"/>
      <c r="I15" s="901"/>
      <c r="J15" s="721"/>
      <c r="K15" s="902"/>
      <c r="L15" s="219"/>
    </row>
    <row r="16" spans="1:12" ht="15">
      <c r="A16" s="623">
        <v>45077</v>
      </c>
      <c r="B16" s="623" t="s">
        <v>3719</v>
      </c>
      <c r="C16" s="623" t="s">
        <v>4097</v>
      </c>
      <c r="D16" s="624" t="s">
        <v>5268</v>
      </c>
      <c r="E16" s="606">
        <v>-156.57</v>
      </c>
      <c r="F16" s="732">
        <v>-32.880000000000003</v>
      </c>
      <c r="G16" s="606">
        <v>-189.45</v>
      </c>
      <c r="H16" s="623"/>
      <c r="I16" s="901"/>
      <c r="J16" s="721"/>
      <c r="K16" s="902"/>
      <c r="L16" s="219"/>
    </row>
    <row r="17" spans="1:12" ht="15">
      <c r="A17" s="623">
        <v>45077</v>
      </c>
      <c r="B17" s="623" t="s">
        <v>3719</v>
      </c>
      <c r="C17" s="623" t="s">
        <v>4097</v>
      </c>
      <c r="D17" s="624" t="s">
        <v>5269</v>
      </c>
      <c r="E17" s="606">
        <v>-107.85</v>
      </c>
      <c r="F17" s="732">
        <v>-22.65</v>
      </c>
      <c r="G17" s="606">
        <v>-130.5</v>
      </c>
      <c r="H17" s="623"/>
      <c r="I17" s="901"/>
      <c r="J17" s="721"/>
      <c r="K17" s="902"/>
      <c r="L17" s="219"/>
    </row>
    <row r="18" spans="1:12" ht="15">
      <c r="A18" s="623">
        <v>45078</v>
      </c>
      <c r="B18" s="623" t="s">
        <v>3719</v>
      </c>
      <c r="C18" s="623" t="s">
        <v>4097</v>
      </c>
      <c r="D18" s="624" t="s">
        <v>5270</v>
      </c>
      <c r="E18" s="606">
        <v>-224.93</v>
      </c>
      <c r="F18" s="732">
        <v>0</v>
      </c>
      <c r="G18" s="606">
        <v>-224.93</v>
      </c>
      <c r="H18" s="623"/>
      <c r="I18" s="901"/>
      <c r="J18" s="721"/>
      <c r="K18" s="902"/>
      <c r="L18" s="219"/>
    </row>
    <row r="19" spans="1:12" ht="15">
      <c r="A19" s="623">
        <v>45078</v>
      </c>
      <c r="B19" s="623" t="s">
        <v>3719</v>
      </c>
      <c r="C19" s="623" t="s">
        <v>4097</v>
      </c>
      <c r="D19" s="624" t="s">
        <v>5271</v>
      </c>
      <c r="E19" s="606">
        <v>-388.8</v>
      </c>
      <c r="F19" s="732">
        <v>0</v>
      </c>
      <c r="G19" s="606">
        <v>-388.8</v>
      </c>
      <c r="H19" s="623"/>
      <c r="I19" s="901"/>
      <c r="J19" s="721"/>
      <c r="K19" s="902"/>
      <c r="L19" s="219"/>
    </row>
    <row r="20" spans="1:12" ht="15">
      <c r="A20" s="623">
        <v>45078</v>
      </c>
      <c r="B20" s="623" t="s">
        <v>3719</v>
      </c>
      <c r="C20" s="623" t="s">
        <v>4097</v>
      </c>
      <c r="D20" s="624" t="s">
        <v>5272</v>
      </c>
      <c r="E20" s="606">
        <v>-23.93</v>
      </c>
      <c r="F20" s="732">
        <v>0</v>
      </c>
      <c r="G20" s="606">
        <v>-23.93</v>
      </c>
      <c r="H20" s="623"/>
      <c r="I20" s="901"/>
      <c r="J20" s="721"/>
      <c r="K20" s="902"/>
      <c r="L20" s="219"/>
    </row>
    <row r="21" spans="1:12" ht="15">
      <c r="A21" s="623">
        <v>45078</v>
      </c>
      <c r="B21" s="623" t="s">
        <v>3719</v>
      </c>
      <c r="C21" s="623" t="s">
        <v>4097</v>
      </c>
      <c r="D21" s="624" t="s">
        <v>5273</v>
      </c>
      <c r="E21" s="606">
        <v>-189.21</v>
      </c>
      <c r="F21" s="732">
        <v>0</v>
      </c>
      <c r="G21" s="606">
        <v>-189.21</v>
      </c>
      <c r="H21" s="623"/>
      <c r="I21" s="901"/>
      <c r="J21" s="721"/>
      <c r="K21" s="902"/>
      <c r="L21" s="219"/>
    </row>
    <row r="22" spans="1:12" ht="15">
      <c r="A22" s="623">
        <v>45078</v>
      </c>
      <c r="B22" s="623" t="s">
        <v>3719</v>
      </c>
      <c r="C22" s="623" t="s">
        <v>4097</v>
      </c>
      <c r="D22" s="624" t="s">
        <v>5274</v>
      </c>
      <c r="E22" s="606">
        <v>-107.14</v>
      </c>
      <c r="F22" s="732">
        <v>0</v>
      </c>
      <c r="G22" s="606">
        <v>-107.14</v>
      </c>
      <c r="H22" s="623"/>
      <c r="I22" s="901"/>
      <c r="J22" s="721"/>
      <c r="K22" s="902"/>
      <c r="L22" s="219"/>
    </row>
    <row r="23" spans="1:12" ht="15">
      <c r="A23" s="623">
        <v>45078</v>
      </c>
      <c r="B23" s="623" t="s">
        <v>3719</v>
      </c>
      <c r="C23" s="623" t="s">
        <v>4097</v>
      </c>
      <c r="D23" s="624" t="s">
        <v>5275</v>
      </c>
      <c r="E23" s="606">
        <v>-331.96</v>
      </c>
      <c r="F23" s="732">
        <v>0</v>
      </c>
      <c r="G23" s="606">
        <v>-331.97</v>
      </c>
      <c r="H23" s="623"/>
      <c r="I23" s="901"/>
      <c r="J23" s="721"/>
      <c r="K23" s="902"/>
      <c r="L23" s="219"/>
    </row>
    <row r="24" spans="1:12" ht="15">
      <c r="A24" s="623">
        <v>45078</v>
      </c>
      <c r="B24" s="623" t="s">
        <v>3719</v>
      </c>
      <c r="C24" s="623" t="s">
        <v>4097</v>
      </c>
      <c r="D24" s="624" t="s">
        <v>5276</v>
      </c>
      <c r="E24" s="606">
        <v>-83.21</v>
      </c>
      <c r="F24" s="732">
        <v>0</v>
      </c>
      <c r="G24" s="606">
        <v>-83.21</v>
      </c>
      <c r="H24" s="623"/>
      <c r="I24" s="901"/>
      <c r="J24" s="721"/>
      <c r="K24" s="902"/>
      <c r="L24" s="219"/>
    </row>
    <row r="25" spans="1:12" ht="15">
      <c r="A25" s="623">
        <v>45078</v>
      </c>
      <c r="B25" s="623" t="s">
        <v>3719</v>
      </c>
      <c r="C25" s="623" t="s">
        <v>4097</v>
      </c>
      <c r="D25" s="624" t="s">
        <v>5277</v>
      </c>
      <c r="E25" s="606">
        <v>-21.49</v>
      </c>
      <c r="F25" s="732">
        <v>0</v>
      </c>
      <c r="G25" s="606">
        <v>-21.49</v>
      </c>
      <c r="H25" s="623"/>
      <c r="I25" s="901"/>
      <c r="J25" s="721"/>
      <c r="K25" s="902"/>
      <c r="L25" s="219"/>
    </row>
    <row r="26" spans="1:12" ht="15">
      <c r="A26" s="623">
        <v>45105</v>
      </c>
      <c r="B26" s="623" t="s">
        <v>3719</v>
      </c>
      <c r="C26" s="623" t="s">
        <v>4097</v>
      </c>
      <c r="D26" s="624" t="s">
        <v>5491</v>
      </c>
      <c r="E26" s="606">
        <v>-2.7</v>
      </c>
      <c r="F26" s="732">
        <v>0</v>
      </c>
      <c r="G26" s="606">
        <v>-2.7</v>
      </c>
      <c r="H26" s="623"/>
      <c r="I26" s="901"/>
      <c r="J26" s="721"/>
      <c r="K26" s="902"/>
      <c r="L26" s="219"/>
    </row>
    <row r="27" spans="1:12" ht="15">
      <c r="A27" s="623">
        <v>45105</v>
      </c>
      <c r="B27" s="623" t="s">
        <v>3719</v>
      </c>
      <c r="C27" s="623" t="s">
        <v>4097</v>
      </c>
      <c r="D27" s="624" t="s">
        <v>5492</v>
      </c>
      <c r="E27" s="606">
        <v>-154.04</v>
      </c>
      <c r="F27" s="732">
        <v>0</v>
      </c>
      <c r="G27" s="606">
        <v>-154.04</v>
      </c>
      <c r="H27" s="623"/>
      <c r="I27" s="901"/>
      <c r="J27" s="721"/>
      <c r="K27" s="902"/>
      <c r="L27" s="219"/>
    </row>
    <row r="28" spans="1:12" ht="15">
      <c r="A28" s="623">
        <v>45105</v>
      </c>
      <c r="B28" s="623" t="s">
        <v>3719</v>
      </c>
      <c r="C28" s="623" t="s">
        <v>4097</v>
      </c>
      <c r="D28" s="624" t="s">
        <v>5493</v>
      </c>
      <c r="E28" s="606">
        <v>-251.44</v>
      </c>
      <c r="F28" s="732">
        <v>0</v>
      </c>
      <c r="G28" s="606">
        <v>-251.44</v>
      </c>
      <c r="H28" s="623"/>
      <c r="I28" s="901"/>
      <c r="J28" s="721"/>
      <c r="K28" s="902"/>
      <c r="L28" s="219"/>
    </row>
    <row r="29" spans="1:12" ht="15">
      <c r="A29" s="623">
        <v>45105</v>
      </c>
      <c r="B29" s="623" t="s">
        <v>3719</v>
      </c>
      <c r="C29" s="623" t="s">
        <v>4097</v>
      </c>
      <c r="D29" s="624" t="s">
        <v>5494</v>
      </c>
      <c r="E29" s="606">
        <v>-58.41</v>
      </c>
      <c r="F29" s="732">
        <v>0</v>
      </c>
      <c r="G29" s="606">
        <v>-58.41</v>
      </c>
      <c r="H29" s="623"/>
      <c r="I29" s="901"/>
      <c r="J29" s="721"/>
      <c r="K29" s="902"/>
      <c r="L29" s="219"/>
    </row>
    <row r="30" spans="1:12" ht="15">
      <c r="A30" s="623">
        <v>45105</v>
      </c>
      <c r="B30" s="623" t="s">
        <v>3719</v>
      </c>
      <c r="C30" s="623" t="s">
        <v>4097</v>
      </c>
      <c r="D30" s="624" t="s">
        <v>5495</v>
      </c>
      <c r="E30" s="606">
        <v>-232.73</v>
      </c>
      <c r="F30" s="732">
        <v>0</v>
      </c>
      <c r="G30" s="606">
        <v>-232.73</v>
      </c>
      <c r="H30" s="623"/>
      <c r="I30" s="901"/>
      <c r="J30" s="721"/>
      <c r="K30" s="902"/>
      <c r="L30" s="219"/>
    </row>
    <row r="31" spans="1:12" ht="15">
      <c r="A31" s="623">
        <v>45105</v>
      </c>
      <c r="B31" s="623" t="s">
        <v>3719</v>
      </c>
      <c r="C31" s="623" t="s">
        <v>4097</v>
      </c>
      <c r="D31" s="624" t="s">
        <v>5496</v>
      </c>
      <c r="E31" s="606">
        <v>-79.2</v>
      </c>
      <c r="F31" s="732">
        <v>0</v>
      </c>
      <c r="G31" s="606">
        <v>-79.2</v>
      </c>
      <c r="H31" s="623"/>
      <c r="I31" s="901"/>
      <c r="J31" s="721"/>
      <c r="K31" s="902"/>
      <c r="L31" s="219"/>
    </row>
    <row r="32" spans="1:12" ht="15">
      <c r="A32" s="623">
        <v>45105</v>
      </c>
      <c r="B32" s="623" t="s">
        <v>3719</v>
      </c>
      <c r="C32" s="623" t="s">
        <v>4097</v>
      </c>
      <c r="D32" s="624" t="s">
        <v>5497</v>
      </c>
      <c r="E32" s="606">
        <v>-128.82</v>
      </c>
      <c r="F32" s="732">
        <v>0</v>
      </c>
      <c r="G32" s="606">
        <v>-128.82</v>
      </c>
      <c r="H32" s="623"/>
      <c r="I32" s="901"/>
      <c r="J32" s="721"/>
      <c r="K32" s="902"/>
      <c r="L32" s="219"/>
    </row>
    <row r="33" spans="1:12" ht="15">
      <c r="A33" s="623">
        <v>45105</v>
      </c>
      <c r="B33" s="623" t="s">
        <v>3719</v>
      </c>
      <c r="C33" s="623" t="s">
        <v>4097</v>
      </c>
      <c r="D33" s="624" t="s">
        <v>5498</v>
      </c>
      <c r="E33" s="606">
        <v>-73.64</v>
      </c>
      <c r="F33" s="732">
        <v>-15.46</v>
      </c>
      <c r="G33" s="606">
        <v>-89.1</v>
      </c>
      <c r="H33" s="623"/>
      <c r="I33" s="901"/>
      <c r="J33" s="721"/>
      <c r="K33" s="902"/>
      <c r="L33" s="219"/>
    </row>
    <row r="34" spans="1:12" ht="15">
      <c r="A34" s="623">
        <v>45105</v>
      </c>
      <c r="B34" s="623" t="s">
        <v>3719</v>
      </c>
      <c r="C34" s="623" t="s">
        <v>4097</v>
      </c>
      <c r="D34" s="624" t="s">
        <v>5499</v>
      </c>
      <c r="E34" s="606">
        <v>-275.79000000000002</v>
      </c>
      <c r="F34" s="732">
        <v>-57.92</v>
      </c>
      <c r="G34" s="606">
        <v>-333.71</v>
      </c>
      <c r="H34" s="623"/>
      <c r="I34" s="901"/>
      <c r="J34" s="721"/>
      <c r="K34" s="902"/>
      <c r="L34" s="219"/>
    </row>
    <row r="35" spans="1:12" ht="15">
      <c r="A35" s="623">
        <v>45105</v>
      </c>
      <c r="B35" s="623" t="s">
        <v>3719</v>
      </c>
      <c r="C35" s="623" t="s">
        <v>4097</v>
      </c>
      <c r="D35" s="624" t="s">
        <v>5500</v>
      </c>
      <c r="E35" s="606">
        <v>-77.67</v>
      </c>
      <c r="F35" s="732">
        <v>-16.309999999999999</v>
      </c>
      <c r="G35" s="606">
        <v>-93.98</v>
      </c>
      <c r="H35" s="623"/>
      <c r="I35" s="901"/>
      <c r="J35" s="721"/>
      <c r="K35" s="902"/>
      <c r="L35" s="219"/>
    </row>
    <row r="36" spans="1:12" ht="15">
      <c r="A36" s="623">
        <v>45105</v>
      </c>
      <c r="B36" s="623" t="s">
        <v>3719</v>
      </c>
      <c r="C36" s="623" t="s">
        <v>4097</v>
      </c>
      <c r="D36" s="624" t="s">
        <v>5501</v>
      </c>
      <c r="E36" s="606">
        <v>-78.17</v>
      </c>
      <c r="F36" s="732">
        <v>-16.41</v>
      </c>
      <c r="G36" s="606">
        <v>-94.58</v>
      </c>
      <c r="H36" s="623"/>
      <c r="I36" s="901"/>
      <c r="J36" s="721"/>
      <c r="K36" s="902"/>
      <c r="L36" s="219"/>
    </row>
    <row r="37" spans="1:12" ht="15">
      <c r="A37" s="623"/>
      <c r="B37" s="623"/>
      <c r="C37" s="623"/>
      <c r="D37" s="624"/>
      <c r="E37" s="606"/>
      <c r="F37" s="732"/>
      <c r="G37" s="606"/>
      <c r="H37" s="623"/>
      <c r="I37" s="901"/>
      <c r="J37" s="721"/>
      <c r="K37" s="902"/>
      <c r="L37" s="219"/>
    </row>
    <row r="38" spans="1:12" ht="15">
      <c r="A38" s="623"/>
      <c r="B38" s="623"/>
      <c r="C38" s="623"/>
      <c r="D38" s="624"/>
      <c r="E38" s="606"/>
      <c r="F38" s="732"/>
      <c r="G38" s="606"/>
      <c r="H38" s="623"/>
      <c r="I38" s="901"/>
      <c r="J38" s="721"/>
      <c r="K38" s="902"/>
      <c r="L38" s="219"/>
    </row>
    <row r="39" spans="1:12" ht="15">
      <c r="A39" s="623"/>
      <c r="B39" s="623"/>
      <c r="C39" s="623"/>
      <c r="D39" s="624"/>
      <c r="E39" s="606"/>
      <c r="F39" s="732"/>
      <c r="G39" s="606"/>
      <c r="H39" s="623"/>
      <c r="I39" s="901"/>
      <c r="J39" s="721"/>
      <c r="K39" s="902"/>
      <c r="L39" s="219"/>
    </row>
    <row r="40" spans="1:12" ht="15">
      <c r="A40" s="623"/>
      <c r="B40" s="623"/>
      <c r="C40" s="623"/>
      <c r="D40" s="624"/>
      <c r="E40" s="606"/>
      <c r="F40" s="732"/>
      <c r="G40" s="606"/>
      <c r="H40" s="623"/>
      <c r="I40" s="901"/>
      <c r="J40" s="721"/>
      <c r="K40" s="902"/>
      <c r="L40" s="219"/>
    </row>
    <row r="41" spans="1:12" ht="15">
      <c r="A41" s="623"/>
      <c r="B41" s="623"/>
      <c r="C41" s="623"/>
      <c r="D41" s="624"/>
      <c r="E41" s="606"/>
      <c r="F41" s="732"/>
      <c r="G41" s="606"/>
      <c r="H41" s="623"/>
      <c r="I41" s="901"/>
      <c r="J41" s="721"/>
      <c r="K41" s="902"/>
      <c r="L41" s="219"/>
    </row>
    <row r="42" spans="1:12" ht="15">
      <c r="A42" s="623"/>
      <c r="B42" s="623"/>
      <c r="C42" s="623"/>
      <c r="D42" s="624"/>
      <c r="E42" s="606"/>
      <c r="F42" s="732"/>
      <c r="G42" s="606"/>
      <c r="H42" s="623"/>
      <c r="I42" s="901"/>
      <c r="J42" s="721"/>
      <c r="K42" s="902"/>
      <c r="L42" s="219"/>
    </row>
    <row r="43" spans="1:12" ht="15">
      <c r="A43" s="708"/>
      <c r="B43" s="708"/>
      <c r="C43" s="708"/>
      <c r="D43" s="708"/>
      <c r="E43" s="616"/>
      <c r="F43" s="1144" t="s">
        <v>545</v>
      </c>
      <c r="G43" s="645">
        <f>SUM(G2:G42)-SUM(I2:I42)</f>
        <v>612.19000000000233</v>
      </c>
      <c r="H43" s="708"/>
      <c r="I43" s="708"/>
      <c r="J43" s="708"/>
      <c r="K43" s="113"/>
      <c r="L43" s="113"/>
    </row>
  </sheetData>
  <mergeCells count="3">
    <mergeCell ref="I2:I3"/>
    <mergeCell ref="J2:J3"/>
    <mergeCell ref="K2:K3"/>
  </mergeCells>
  <phoneticPr fontId="15" type="noConversion"/>
  <hyperlinks>
    <hyperlink ref="F43" location="汇总!A1" display="剩余欠款"/>
  </hyperlinks>
  <pageMargins left="0.7" right="0.7" top="0.75" bottom="0.75" header="0.3" footer="0.3"/>
  <pageSetup paperSize="9"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L14"/>
  <sheetViews>
    <sheetView workbookViewId="0">
      <pane ySplit="1" topLeftCell="A2" activePane="bottomLeft" state="frozen"/>
      <selection activeCell="C33" sqref="C33"/>
      <selection pane="bottomLeft" activeCell="F13" sqref="F13"/>
    </sheetView>
  </sheetViews>
  <sheetFormatPr defaultRowHeight="14.25"/>
  <cols>
    <col min="1" max="1" width="12" bestFit="1" customWidth="1"/>
    <col min="2" max="2" width="8.875" bestFit="1" customWidth="1"/>
    <col min="3" max="3" width="57.875" customWidth="1"/>
    <col min="4" max="4" width="15" bestFit="1" customWidth="1"/>
    <col min="5" max="5" width="15" customWidth="1"/>
    <col min="6" max="6" width="9.125" bestFit="1" customWidth="1"/>
    <col min="7" max="7" width="11.5" bestFit="1" customWidth="1"/>
    <col min="8" max="8" width="16.75" bestFit="1" customWidth="1"/>
    <col min="9" max="9" width="14.125" bestFit="1" customWidth="1"/>
    <col min="10" max="10" width="15.125" bestFit="1" customWidth="1"/>
    <col min="11" max="11" width="11.375" bestFit="1" customWidth="1"/>
    <col min="12" max="12" width="25.375" customWidth="1"/>
  </cols>
  <sheetData>
    <row r="1" spans="1:12" s="96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6" t="s">
        <v>542</v>
      </c>
    </row>
    <row r="2" spans="1:12" ht="15">
      <c r="A2" s="632">
        <v>44648</v>
      </c>
      <c r="B2" s="1124" t="s">
        <v>4119</v>
      </c>
      <c r="C2" s="1124" t="s">
        <v>4018</v>
      </c>
      <c r="D2" s="615" t="s">
        <v>1879</v>
      </c>
      <c r="E2" s="611">
        <v>0.26</v>
      </c>
      <c r="F2" s="731">
        <v>0</v>
      </c>
      <c r="G2" s="611">
        <v>0.26</v>
      </c>
      <c r="H2" s="632">
        <v>44648</v>
      </c>
      <c r="I2" s="1923">
        <v>0.49</v>
      </c>
      <c r="J2" s="1903">
        <v>44722</v>
      </c>
      <c r="K2" s="1935" t="s">
        <v>2264</v>
      </c>
      <c r="L2" s="2051" t="s">
        <v>2266</v>
      </c>
    </row>
    <row r="3" spans="1:12" ht="15">
      <c r="A3" s="632">
        <v>44648</v>
      </c>
      <c r="B3" s="1124" t="s">
        <v>4119</v>
      </c>
      <c r="C3" s="1124" t="s">
        <v>4018</v>
      </c>
      <c r="D3" s="615" t="s">
        <v>1880</v>
      </c>
      <c r="E3" s="611">
        <v>0.23</v>
      </c>
      <c r="F3" s="731">
        <v>0</v>
      </c>
      <c r="G3" s="611">
        <v>0.23</v>
      </c>
      <c r="H3" s="632">
        <v>44648</v>
      </c>
      <c r="I3" s="1924"/>
      <c r="J3" s="1905"/>
      <c r="K3" s="1888"/>
      <c r="L3" s="2246"/>
    </row>
    <row r="4" spans="1:12" ht="15">
      <c r="A4" s="1903">
        <v>44649</v>
      </c>
      <c r="B4" s="1918" t="s">
        <v>4119</v>
      </c>
      <c r="C4" s="1918" t="s">
        <v>4018</v>
      </c>
      <c r="D4" s="1909" t="s">
        <v>1809</v>
      </c>
      <c r="E4" s="1923">
        <v>8893.75</v>
      </c>
      <c r="F4" s="1927">
        <v>0</v>
      </c>
      <c r="G4" s="611">
        <v>2000</v>
      </c>
      <c r="H4" s="991">
        <v>44739</v>
      </c>
      <c r="I4" s="611">
        <v>2000</v>
      </c>
      <c r="J4" s="991">
        <v>44781</v>
      </c>
      <c r="K4" s="989" t="s">
        <v>2720</v>
      </c>
      <c r="L4" s="100"/>
    </row>
    <row r="5" spans="1:12" ht="15">
      <c r="A5" s="1904"/>
      <c r="B5" s="1919"/>
      <c r="C5" s="1919"/>
      <c r="D5" s="1910"/>
      <c r="E5" s="1961"/>
      <c r="F5" s="1960"/>
      <c r="G5" s="611">
        <v>4000</v>
      </c>
      <c r="H5" s="991">
        <v>44739</v>
      </c>
      <c r="I5" s="611">
        <v>4000</v>
      </c>
      <c r="J5" s="991">
        <v>44823</v>
      </c>
      <c r="K5" s="989" t="s">
        <v>2720</v>
      </c>
      <c r="L5" s="100"/>
    </row>
    <row r="6" spans="1:12" ht="15">
      <c r="A6" s="1905"/>
      <c r="B6" s="1920"/>
      <c r="C6" s="1920"/>
      <c r="D6" s="1911"/>
      <c r="E6" s="1924"/>
      <c r="F6" s="1928"/>
      <c r="G6" s="611">
        <f>8893.75-2000-4000</f>
        <v>2893.75</v>
      </c>
      <c r="H6" s="991">
        <v>44739</v>
      </c>
      <c r="I6" s="611">
        <v>2893.75</v>
      </c>
      <c r="J6" s="991">
        <v>44865</v>
      </c>
      <c r="K6" s="989" t="s">
        <v>1752</v>
      </c>
      <c r="L6" s="382" t="s">
        <v>3385</v>
      </c>
    </row>
    <row r="7" spans="1:12" ht="15">
      <c r="A7" s="991">
        <v>44781.000497685185</v>
      </c>
      <c r="B7" s="1124" t="s">
        <v>2644</v>
      </c>
      <c r="C7" s="1124" t="s">
        <v>4018</v>
      </c>
      <c r="D7" s="992" t="s">
        <v>2687</v>
      </c>
      <c r="E7" s="611">
        <v>1626.45</v>
      </c>
      <c r="F7" s="731">
        <v>0</v>
      </c>
      <c r="G7" s="611">
        <v>1626.45</v>
      </c>
      <c r="H7" s="991">
        <v>44782.000497685185</v>
      </c>
      <c r="I7" s="1923">
        <v>654.59</v>
      </c>
      <c r="J7" s="1903">
        <v>44911</v>
      </c>
      <c r="K7" s="1935" t="s">
        <v>3721</v>
      </c>
      <c r="L7" s="100"/>
    </row>
    <row r="8" spans="1:12" ht="15">
      <c r="A8" s="991">
        <v>44781.000497685185</v>
      </c>
      <c r="B8" s="1124" t="s">
        <v>2644</v>
      </c>
      <c r="C8" s="1124" t="s">
        <v>4018</v>
      </c>
      <c r="D8" s="992" t="s">
        <v>2688</v>
      </c>
      <c r="E8" s="611">
        <v>332</v>
      </c>
      <c r="F8" s="731">
        <v>0</v>
      </c>
      <c r="G8" s="611">
        <v>332</v>
      </c>
      <c r="H8" s="991">
        <v>44782.000497685185</v>
      </c>
      <c r="I8" s="1961"/>
      <c r="J8" s="1904"/>
      <c r="K8" s="1950"/>
      <c r="L8" s="100"/>
    </row>
    <row r="9" spans="1:12" ht="15">
      <c r="A9" s="991">
        <v>44895</v>
      </c>
      <c r="B9" s="1124" t="s">
        <v>2644</v>
      </c>
      <c r="C9" s="1124" t="s">
        <v>4018</v>
      </c>
      <c r="D9" s="992" t="s">
        <v>3617</v>
      </c>
      <c r="E9" s="611">
        <v>-1303.8599999999999</v>
      </c>
      <c r="F9" s="731">
        <v>0</v>
      </c>
      <c r="G9" s="611">
        <v>-1303.8599999999999</v>
      </c>
      <c r="H9" s="991"/>
      <c r="I9" s="1924"/>
      <c r="J9" s="1905"/>
      <c r="K9" s="1947"/>
      <c r="L9" s="100"/>
    </row>
    <row r="10" spans="1:12" ht="15">
      <c r="A10" s="623"/>
      <c r="B10" s="623"/>
      <c r="C10" s="623"/>
      <c r="D10" s="624"/>
      <c r="E10" s="605"/>
      <c r="F10" s="732"/>
      <c r="G10" s="605"/>
      <c r="H10" s="623"/>
      <c r="I10" s="611"/>
      <c r="J10" s="931"/>
      <c r="K10" s="100"/>
      <c r="L10" s="100"/>
    </row>
    <row r="11" spans="1:12" ht="15">
      <c r="A11" s="623"/>
      <c r="B11" s="623"/>
      <c r="C11" s="623"/>
      <c r="D11" s="624"/>
      <c r="E11" s="605"/>
      <c r="F11" s="732"/>
      <c r="G11" s="605"/>
      <c r="H11" s="623"/>
      <c r="I11" s="611"/>
      <c r="J11" s="931"/>
      <c r="K11" s="100"/>
      <c r="L11" s="100"/>
    </row>
    <row r="12" spans="1:12" ht="15">
      <c r="A12" s="623"/>
      <c r="B12" s="623"/>
      <c r="C12" s="623"/>
      <c r="D12" s="624"/>
      <c r="E12" s="605"/>
      <c r="F12" s="732"/>
      <c r="G12" s="605"/>
      <c r="H12" s="623"/>
      <c r="I12" s="611"/>
      <c r="J12" s="931"/>
      <c r="K12" s="100"/>
      <c r="L12" s="100"/>
    </row>
    <row r="13" spans="1:12" ht="15">
      <c r="A13" s="615"/>
      <c r="B13" s="1133"/>
      <c r="C13" s="1133"/>
      <c r="D13" s="616"/>
      <c r="E13" s="616"/>
      <c r="F13" s="1144" t="s">
        <v>545</v>
      </c>
      <c r="G13" s="617">
        <f>SUM(G2:G12)-SUM(I2:I12)</f>
        <v>0</v>
      </c>
      <c r="H13" s="708"/>
      <c r="I13" s="611"/>
      <c r="J13" s="747"/>
      <c r="K13" s="113"/>
      <c r="L13" s="113"/>
    </row>
    <row r="14" spans="1:12">
      <c r="A14" s="96"/>
      <c r="B14" s="96"/>
      <c r="C14" s="96"/>
      <c r="D14" s="96"/>
      <c r="E14" s="96"/>
      <c r="F14" s="96"/>
      <c r="G14" s="114"/>
    </row>
  </sheetData>
  <mergeCells count="13">
    <mergeCell ref="I2:I3"/>
    <mergeCell ref="L2:L3"/>
    <mergeCell ref="K2:K3"/>
    <mergeCell ref="J2:J3"/>
    <mergeCell ref="E4:E6"/>
    <mergeCell ref="I7:I9"/>
    <mergeCell ref="J7:J9"/>
    <mergeCell ref="K7:K9"/>
    <mergeCell ref="D4:D6"/>
    <mergeCell ref="A4:A6"/>
    <mergeCell ref="F4:F6"/>
    <mergeCell ref="C4:C6"/>
    <mergeCell ref="B4:B6"/>
  </mergeCells>
  <phoneticPr fontId="15" type="noConversion"/>
  <hyperlinks>
    <hyperlink ref="F13" location="汇总!A1" display="剩余欠款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4"/>
  <sheetViews>
    <sheetView workbookViewId="0">
      <pane ySplit="1" topLeftCell="A5" activePane="bottomLeft" state="frozen"/>
      <selection pane="bottomLeft" activeCell="F34" sqref="F34"/>
    </sheetView>
  </sheetViews>
  <sheetFormatPr defaultRowHeight="14.25"/>
  <cols>
    <col min="1" max="1" width="12" style="273" bestFit="1" customWidth="1"/>
    <col min="2" max="2" width="11.25" style="271" customWidth="1"/>
    <col min="3" max="3" width="26.125" style="271" bestFit="1" customWidth="1"/>
    <col min="4" max="4" width="15" style="99" bestFit="1" customWidth="1"/>
    <col min="5" max="5" width="15" style="99" customWidth="1"/>
    <col min="6" max="6" width="11.375" style="99" customWidth="1"/>
    <col min="7" max="7" width="11.5" style="99" bestFit="1" customWidth="1"/>
    <col min="8" max="8" width="16.75" style="99" bestFit="1" customWidth="1"/>
    <col min="9" max="9" width="14.125" style="99" bestFit="1" customWidth="1"/>
    <col min="10" max="10" width="15.125" style="273" bestFit="1" customWidth="1"/>
    <col min="11" max="11" width="16.125" style="99" bestFit="1" customWidth="1"/>
    <col min="12" max="12" width="57.625" style="99" customWidth="1"/>
  </cols>
  <sheetData>
    <row r="1" spans="1:12" s="96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7" t="s">
        <v>4099</v>
      </c>
      <c r="I1" s="257" t="s">
        <v>3043</v>
      </c>
      <c r="J1" s="257" t="s">
        <v>4100</v>
      </c>
      <c r="K1" s="257" t="s">
        <v>541</v>
      </c>
      <c r="L1" s="257" t="s">
        <v>542</v>
      </c>
    </row>
    <row r="2" spans="1:12" s="1" customFormat="1" ht="15">
      <c r="A2" s="882">
        <v>44439</v>
      </c>
      <c r="B2" s="1124" t="s">
        <v>4146</v>
      </c>
      <c r="C2" s="1124" t="s">
        <v>1822</v>
      </c>
      <c r="D2" s="628" t="s">
        <v>563</v>
      </c>
      <c r="E2" s="613">
        <v>11027.63</v>
      </c>
      <c r="F2" s="614">
        <v>0</v>
      </c>
      <c r="G2" s="629">
        <v>11027.62</v>
      </c>
      <c r="H2" s="630">
        <v>44440</v>
      </c>
      <c r="I2" s="631">
        <v>2800</v>
      </c>
      <c r="J2" s="632">
        <v>44510</v>
      </c>
      <c r="K2" s="232" t="s">
        <v>544</v>
      </c>
      <c r="L2" s="436" t="s">
        <v>564</v>
      </c>
    </row>
    <row r="3" spans="1:12" s="1" customFormat="1" ht="15">
      <c r="A3" s="632">
        <v>44455</v>
      </c>
      <c r="B3" s="1124" t="s">
        <v>4146</v>
      </c>
      <c r="C3" s="1124" t="s">
        <v>1822</v>
      </c>
      <c r="D3" s="615" t="s">
        <v>565</v>
      </c>
      <c r="E3" s="613">
        <v>-326.56</v>
      </c>
      <c r="F3" s="614">
        <v>0</v>
      </c>
      <c r="G3" s="631">
        <v>-326.56</v>
      </c>
      <c r="H3" s="632">
        <v>44456</v>
      </c>
      <c r="I3" s="631">
        <v>2713.81</v>
      </c>
      <c r="J3" s="632">
        <v>44511</v>
      </c>
      <c r="K3" s="434" t="s">
        <v>544</v>
      </c>
      <c r="L3" s="100" t="s">
        <v>566</v>
      </c>
    </row>
    <row r="4" spans="1:12" s="1" customFormat="1" ht="15">
      <c r="A4" s="632">
        <v>44455</v>
      </c>
      <c r="B4" s="1124" t="s">
        <v>4146</v>
      </c>
      <c r="C4" s="1124" t="s">
        <v>1822</v>
      </c>
      <c r="D4" s="615" t="s">
        <v>567</v>
      </c>
      <c r="E4" s="613">
        <v>-142.12</v>
      </c>
      <c r="F4" s="614">
        <v>0</v>
      </c>
      <c r="G4" s="631">
        <v>-142.12</v>
      </c>
      <c r="H4" s="632">
        <v>44456</v>
      </c>
      <c r="I4" s="631">
        <v>5045.13</v>
      </c>
      <c r="J4" s="620">
        <v>44580</v>
      </c>
      <c r="K4" s="228" t="s">
        <v>1826</v>
      </c>
      <c r="L4" s="100" t="s">
        <v>568</v>
      </c>
    </row>
    <row r="5" spans="1:12" ht="15">
      <c r="A5" s="1918">
        <v>44508</v>
      </c>
      <c r="B5" s="1918" t="s">
        <v>4146</v>
      </c>
      <c r="C5" s="1918" t="s">
        <v>1822</v>
      </c>
      <c r="D5" s="1929" t="s">
        <v>2575</v>
      </c>
      <c r="E5" s="1915">
        <v>5636.16</v>
      </c>
      <c r="F5" s="1912">
        <v>0</v>
      </c>
      <c r="G5" s="1931">
        <v>5636.16</v>
      </c>
      <c r="H5" s="1903">
        <v>44568</v>
      </c>
      <c r="I5" s="631">
        <v>2817.1</v>
      </c>
      <c r="J5" s="620">
        <v>44627</v>
      </c>
      <c r="K5" s="232" t="s">
        <v>544</v>
      </c>
      <c r="L5" s="103"/>
    </row>
    <row r="6" spans="1:12" ht="15">
      <c r="A6" s="1920"/>
      <c r="B6" s="1920"/>
      <c r="C6" s="1920"/>
      <c r="D6" s="1930"/>
      <c r="E6" s="1917"/>
      <c r="F6" s="1914"/>
      <c r="G6" s="1932"/>
      <c r="H6" s="1905"/>
      <c r="I6" s="631">
        <v>2819.06</v>
      </c>
      <c r="J6" s="620">
        <v>44692</v>
      </c>
      <c r="K6" s="376" t="s">
        <v>1752</v>
      </c>
      <c r="L6" s="166" t="s">
        <v>2576</v>
      </c>
    </row>
    <row r="7" spans="1:12" ht="15">
      <c r="A7" s="632">
        <v>44628</v>
      </c>
      <c r="B7" s="1124" t="s">
        <v>4146</v>
      </c>
      <c r="C7" s="1124" t="s">
        <v>1822</v>
      </c>
      <c r="D7" s="615" t="s">
        <v>2573</v>
      </c>
      <c r="E7" s="613">
        <v>1507.53</v>
      </c>
      <c r="F7" s="614">
        <v>0</v>
      </c>
      <c r="G7" s="631">
        <v>1507.53</v>
      </c>
      <c r="H7" s="632">
        <v>44629</v>
      </c>
      <c r="I7" s="631">
        <v>1507.53</v>
      </c>
      <c r="J7" s="620">
        <v>44770</v>
      </c>
      <c r="K7" s="483" t="s">
        <v>1752</v>
      </c>
      <c r="L7" s="166" t="s">
        <v>2574</v>
      </c>
    </row>
    <row r="8" spans="1:12" ht="15">
      <c r="A8" s="632">
        <v>44628</v>
      </c>
      <c r="B8" s="1124" t="s">
        <v>4146</v>
      </c>
      <c r="C8" s="1124" t="s">
        <v>1822</v>
      </c>
      <c r="D8" s="615" t="s">
        <v>2571</v>
      </c>
      <c r="E8" s="613">
        <v>641.66</v>
      </c>
      <c r="F8" s="614">
        <v>0</v>
      </c>
      <c r="G8" s="631">
        <v>641.66</v>
      </c>
      <c r="H8" s="632">
        <v>44629</v>
      </c>
      <c r="I8" s="631">
        <v>641.66</v>
      </c>
      <c r="J8" s="632">
        <v>44770</v>
      </c>
      <c r="K8" s="483" t="s">
        <v>1752</v>
      </c>
      <c r="L8" s="166" t="s">
        <v>2572</v>
      </c>
    </row>
    <row r="9" spans="1:12" ht="15">
      <c r="A9" s="1903">
        <v>44768</v>
      </c>
      <c r="B9" s="1918" t="s">
        <v>4146</v>
      </c>
      <c r="C9" s="1918" t="s">
        <v>1822</v>
      </c>
      <c r="D9" s="1909" t="s">
        <v>2520</v>
      </c>
      <c r="E9" s="1923">
        <v>4532.54</v>
      </c>
      <c r="F9" s="1927">
        <v>0</v>
      </c>
      <c r="G9" s="631">
        <v>2266.27</v>
      </c>
      <c r="H9" s="632">
        <v>44769</v>
      </c>
      <c r="I9" s="631">
        <v>2266.27</v>
      </c>
      <c r="J9" s="632">
        <v>44806</v>
      </c>
      <c r="K9" s="587" t="s">
        <v>544</v>
      </c>
      <c r="L9" s="166"/>
    </row>
    <row r="10" spans="1:12" ht="15">
      <c r="A10" s="1905"/>
      <c r="B10" s="1920"/>
      <c r="C10" s="1920"/>
      <c r="D10" s="1911"/>
      <c r="E10" s="1924"/>
      <c r="F10" s="1928"/>
      <c r="G10" s="631">
        <f>4532.54-2266.27</f>
        <v>2266.27</v>
      </c>
      <c r="H10" s="632">
        <v>44769</v>
      </c>
      <c r="I10" s="631">
        <v>2266.27</v>
      </c>
      <c r="J10" s="632">
        <v>44816</v>
      </c>
      <c r="K10" s="587" t="s">
        <v>3035</v>
      </c>
      <c r="L10" s="166" t="s">
        <v>3036</v>
      </c>
    </row>
    <row r="11" spans="1:12" s="1" customFormat="1" ht="15">
      <c r="A11" s="1903">
        <v>44867.000497685185</v>
      </c>
      <c r="B11" s="1903" t="s">
        <v>4146</v>
      </c>
      <c r="C11" s="1903" t="s">
        <v>1822</v>
      </c>
      <c r="D11" s="1925" t="s">
        <v>3404</v>
      </c>
      <c r="E11" s="1923">
        <v>3554.2</v>
      </c>
      <c r="F11" s="1921">
        <v>0</v>
      </c>
      <c r="G11" s="629">
        <v>1822.88</v>
      </c>
      <c r="H11" s="1197">
        <v>44868.000497685185</v>
      </c>
      <c r="I11" s="631">
        <v>1822.88</v>
      </c>
      <c r="J11" s="1152">
        <v>44974</v>
      </c>
      <c r="K11" s="1150" t="s">
        <v>4194</v>
      </c>
      <c r="L11" s="436"/>
    </row>
    <row r="12" spans="1:12" s="1" customFormat="1" ht="15">
      <c r="A12" s="1905"/>
      <c r="B12" s="1905"/>
      <c r="C12" s="1905"/>
      <c r="D12" s="1926"/>
      <c r="E12" s="1924"/>
      <c r="F12" s="1922"/>
      <c r="G12" s="629">
        <f>3554.2-1822.88</f>
        <v>1731.3199999999997</v>
      </c>
      <c r="H12" s="1197">
        <v>44868.000497685185</v>
      </c>
      <c r="I12" s="631">
        <v>1731.32</v>
      </c>
      <c r="J12" s="1152">
        <v>44988</v>
      </c>
      <c r="K12" s="1147" t="s">
        <v>550</v>
      </c>
      <c r="L12" s="436"/>
    </row>
    <row r="13" spans="1:12" s="1" customFormat="1" ht="15">
      <c r="A13" s="1903">
        <v>44964</v>
      </c>
      <c r="B13" s="1903" t="s">
        <v>4147</v>
      </c>
      <c r="C13" s="1903" t="s">
        <v>1822</v>
      </c>
      <c r="D13" s="1925" t="s">
        <v>4041</v>
      </c>
      <c r="E13" s="1923">
        <v>17283.509999999998</v>
      </c>
      <c r="F13" s="1921">
        <v>0</v>
      </c>
      <c r="G13" s="629">
        <v>8641.75</v>
      </c>
      <c r="H13" s="1668">
        <v>44965</v>
      </c>
      <c r="I13" s="631">
        <v>8641.75</v>
      </c>
      <c r="J13" s="1679">
        <v>45106</v>
      </c>
      <c r="K13" s="1677" t="s">
        <v>4006</v>
      </c>
      <c r="L13" s="436"/>
    </row>
    <row r="14" spans="1:12" s="1" customFormat="1" ht="15">
      <c r="A14" s="1905"/>
      <c r="B14" s="1905"/>
      <c r="C14" s="1905"/>
      <c r="D14" s="1926"/>
      <c r="E14" s="1924"/>
      <c r="F14" s="1922"/>
      <c r="G14" s="629">
        <f>17283.51-8641.75</f>
        <v>8641.7599999999984</v>
      </c>
      <c r="H14" s="1668">
        <v>44965</v>
      </c>
      <c r="I14" s="1688">
        <v>8641.76</v>
      </c>
      <c r="J14" s="1668">
        <v>45176</v>
      </c>
      <c r="K14" s="1670" t="s">
        <v>6013</v>
      </c>
      <c r="L14" s="436"/>
    </row>
    <row r="15" spans="1:12" s="1" customFormat="1" ht="15">
      <c r="A15" s="1148">
        <v>44964</v>
      </c>
      <c r="B15" s="1152" t="s">
        <v>4147</v>
      </c>
      <c r="C15" s="1152" t="s">
        <v>1822</v>
      </c>
      <c r="D15" s="628" t="s">
        <v>4042</v>
      </c>
      <c r="E15" s="1159">
        <v>-403.04</v>
      </c>
      <c r="F15" s="1151">
        <v>0</v>
      </c>
      <c r="G15" s="629">
        <v>-403.04</v>
      </c>
      <c r="H15" s="1148"/>
      <c r="I15" s="1933">
        <v>0</v>
      </c>
      <c r="J15" s="1903">
        <v>44973</v>
      </c>
      <c r="K15" s="1935" t="s">
        <v>4193</v>
      </c>
      <c r="L15" s="436"/>
    </row>
    <row r="16" spans="1:12" s="1" customFormat="1" ht="15">
      <c r="A16" s="1148">
        <v>44964</v>
      </c>
      <c r="B16" s="1152" t="s">
        <v>4147</v>
      </c>
      <c r="C16" s="1152" t="s">
        <v>1822</v>
      </c>
      <c r="D16" s="628" t="s">
        <v>4043</v>
      </c>
      <c r="E16" s="1159">
        <v>403.04</v>
      </c>
      <c r="F16" s="1151">
        <v>0</v>
      </c>
      <c r="G16" s="629">
        <v>403.04</v>
      </c>
      <c r="H16" s="1148">
        <v>44965</v>
      </c>
      <c r="I16" s="1934"/>
      <c r="J16" s="1905"/>
      <c r="K16" s="1888"/>
      <c r="L16" s="436"/>
    </row>
    <row r="17" spans="1:12" s="388" customFormat="1" ht="15">
      <c r="A17" s="1539">
        <v>45110</v>
      </c>
      <c r="B17" s="1549" t="s">
        <v>4147</v>
      </c>
      <c r="C17" s="1549" t="s">
        <v>1822</v>
      </c>
      <c r="D17" s="1542" t="s">
        <v>5528</v>
      </c>
      <c r="E17" s="1555">
        <v>3424.89</v>
      </c>
      <c r="F17" s="1548">
        <v>0</v>
      </c>
      <c r="G17" s="629">
        <v>3424.89</v>
      </c>
      <c r="H17" s="1539">
        <v>45200</v>
      </c>
      <c r="I17" s="1933">
        <v>0</v>
      </c>
      <c r="J17" s="1903">
        <v>45126</v>
      </c>
      <c r="K17" s="1935" t="s">
        <v>4193</v>
      </c>
      <c r="L17" s="1559"/>
    </row>
    <row r="18" spans="1:12" s="388" customFormat="1" ht="15">
      <c r="A18" s="1539">
        <v>45111</v>
      </c>
      <c r="B18" s="1549" t="s">
        <v>4147</v>
      </c>
      <c r="C18" s="1549" t="s">
        <v>1822</v>
      </c>
      <c r="D18" s="1542" t="s">
        <v>5530</v>
      </c>
      <c r="E18" s="1555">
        <v>-3424.89</v>
      </c>
      <c r="F18" s="1548">
        <v>0</v>
      </c>
      <c r="G18" s="629">
        <v>-3424.89</v>
      </c>
      <c r="H18" s="1539"/>
      <c r="I18" s="1934"/>
      <c r="J18" s="1905"/>
      <c r="K18" s="1888"/>
      <c r="L18" s="1559" t="s">
        <v>5657</v>
      </c>
    </row>
    <row r="19" spans="1:12" s="1" customFormat="1" ht="35.25" customHeight="1">
      <c r="A19" s="1708">
        <v>45027.000497685185</v>
      </c>
      <c r="B19" s="1718" t="s">
        <v>4147</v>
      </c>
      <c r="C19" s="1718" t="s">
        <v>1822</v>
      </c>
      <c r="D19" s="1711" t="s">
        <v>4694</v>
      </c>
      <c r="E19" s="1724">
        <v>432.14</v>
      </c>
      <c r="F19" s="1717">
        <v>0</v>
      </c>
      <c r="G19" s="629">
        <v>432.14</v>
      </c>
      <c r="H19" s="1708">
        <v>45028</v>
      </c>
      <c r="I19" s="1936">
        <v>2368.7800000000002</v>
      </c>
      <c r="J19" s="1903">
        <v>45187</v>
      </c>
      <c r="K19" s="1938" t="s">
        <v>6128</v>
      </c>
      <c r="L19" s="436"/>
    </row>
    <row r="20" spans="1:12" s="1" customFormat="1" ht="15">
      <c r="A20" s="1941">
        <v>45027.000497685185</v>
      </c>
      <c r="B20" s="1941" t="s">
        <v>4147</v>
      </c>
      <c r="C20" s="1941" t="s">
        <v>1822</v>
      </c>
      <c r="D20" s="1943" t="s">
        <v>4695</v>
      </c>
      <c r="E20" s="1945">
        <v>4305.42</v>
      </c>
      <c r="F20" s="1939">
        <v>0</v>
      </c>
      <c r="G20" s="629">
        <v>1936.64</v>
      </c>
      <c r="H20" s="1708">
        <v>45028</v>
      </c>
      <c r="I20" s="1937"/>
      <c r="J20" s="1905"/>
      <c r="K20" s="1888"/>
      <c r="L20" s="436"/>
    </row>
    <row r="21" spans="1:12" s="1" customFormat="1" ht="15">
      <c r="A21" s="1942"/>
      <c r="B21" s="1942"/>
      <c r="C21" s="1942"/>
      <c r="D21" s="1944"/>
      <c r="E21" s="1946"/>
      <c r="F21" s="1940"/>
      <c r="G21" s="889">
        <f>4305.42-1936.64</f>
        <v>2368.7799999999997</v>
      </c>
      <c r="H21" s="1708">
        <v>45028</v>
      </c>
      <c r="I21" s="1723"/>
      <c r="J21" s="1708"/>
      <c r="K21" s="1710"/>
      <c r="L21" s="436"/>
    </row>
    <row r="22" spans="1:12" s="1" customFormat="1" ht="42.75">
      <c r="A22" s="1941">
        <v>45111</v>
      </c>
      <c r="B22" s="1941" t="s">
        <v>4147</v>
      </c>
      <c r="C22" s="1941" t="s">
        <v>1822</v>
      </c>
      <c r="D22" s="1943" t="s">
        <v>5529</v>
      </c>
      <c r="E22" s="1945">
        <v>3424.89</v>
      </c>
      <c r="F22" s="1939">
        <v>0</v>
      </c>
      <c r="G22" s="629">
        <v>2234.29</v>
      </c>
      <c r="H22" s="1708">
        <v>45201</v>
      </c>
      <c r="I22" s="631">
        <v>2234.29</v>
      </c>
      <c r="J22" s="1718">
        <v>45187</v>
      </c>
      <c r="K22" s="1725" t="s">
        <v>6129</v>
      </c>
      <c r="L22" s="436"/>
    </row>
    <row r="23" spans="1:12" s="1" customFormat="1" ht="15">
      <c r="A23" s="1942"/>
      <c r="B23" s="1942"/>
      <c r="C23" s="1942"/>
      <c r="D23" s="1944"/>
      <c r="E23" s="1946"/>
      <c r="F23" s="1940"/>
      <c r="G23" s="889">
        <f>3424.89-2234.29</f>
        <v>1190.5999999999999</v>
      </c>
      <c r="H23" s="1708">
        <v>45201</v>
      </c>
      <c r="I23" s="1723"/>
      <c r="J23" s="1708"/>
      <c r="K23" s="1710"/>
      <c r="L23" s="436"/>
    </row>
    <row r="24" spans="1:12" s="1" customFormat="1" ht="15">
      <c r="A24" s="1506">
        <v>45189</v>
      </c>
      <c r="B24" s="623" t="s">
        <v>4147</v>
      </c>
      <c r="C24" s="623" t="s">
        <v>1822</v>
      </c>
      <c r="D24" s="1515" t="s">
        <v>6072</v>
      </c>
      <c r="E24" s="603">
        <v>7860.44</v>
      </c>
      <c r="F24" s="604">
        <v>0</v>
      </c>
      <c r="G24" s="889">
        <v>7860.44</v>
      </c>
      <c r="H24" s="1506">
        <v>45278</v>
      </c>
      <c r="I24" s="631"/>
      <c r="J24" s="1507"/>
      <c r="K24" s="1511"/>
      <c r="L24" s="436"/>
    </row>
    <row r="25" spans="1:12" s="1" customFormat="1" ht="15">
      <c r="A25" s="1506"/>
      <c r="B25" s="623"/>
      <c r="C25" s="623"/>
      <c r="D25" s="1515"/>
      <c r="E25" s="603"/>
      <c r="F25" s="604"/>
      <c r="G25" s="889"/>
      <c r="H25" s="1506"/>
      <c r="I25" s="631"/>
      <c r="J25" s="1507"/>
      <c r="K25" s="1511"/>
      <c r="L25" s="436"/>
    </row>
    <row r="26" spans="1:12" s="1" customFormat="1" ht="15">
      <c r="A26" s="1506"/>
      <c r="B26" s="623"/>
      <c r="C26" s="623"/>
      <c r="D26" s="1515"/>
      <c r="E26" s="603"/>
      <c r="F26" s="604"/>
      <c r="G26" s="889"/>
      <c r="H26" s="1506"/>
      <c r="I26" s="631"/>
      <c r="J26" s="1507"/>
      <c r="K26" s="1511"/>
      <c r="L26" s="436"/>
    </row>
    <row r="27" spans="1:12" s="1" customFormat="1" ht="15">
      <c r="A27" s="1506"/>
      <c r="B27" s="623"/>
      <c r="C27" s="623"/>
      <c r="D27" s="1515"/>
      <c r="E27" s="603"/>
      <c r="F27" s="604"/>
      <c r="G27" s="889"/>
      <c r="H27" s="1506"/>
      <c r="I27" s="631"/>
      <c r="J27" s="1507"/>
      <c r="K27" s="1511"/>
      <c r="L27" s="436"/>
    </row>
    <row r="28" spans="1:12" s="1" customFormat="1" ht="15">
      <c r="A28" s="1506"/>
      <c r="B28" s="623"/>
      <c r="C28" s="623"/>
      <c r="D28" s="1515"/>
      <c r="E28" s="603"/>
      <c r="F28" s="604"/>
      <c r="G28" s="889"/>
      <c r="H28" s="1506"/>
      <c r="I28" s="631"/>
      <c r="J28" s="1507"/>
      <c r="K28" s="1511"/>
      <c r="L28" s="436"/>
    </row>
    <row r="29" spans="1:12" s="1" customFormat="1" ht="15">
      <c r="A29" s="1506"/>
      <c r="B29" s="623"/>
      <c r="C29" s="623"/>
      <c r="D29" s="1515"/>
      <c r="E29" s="603"/>
      <c r="F29" s="604"/>
      <c r="G29" s="889"/>
      <c r="H29" s="1506"/>
      <c r="I29" s="631"/>
      <c r="J29" s="1507"/>
      <c r="K29" s="1511"/>
      <c r="L29" s="436"/>
    </row>
    <row r="30" spans="1:12" s="1" customFormat="1" ht="15">
      <c r="A30" s="1291"/>
      <c r="B30" s="623"/>
      <c r="C30" s="623"/>
      <c r="D30" s="888"/>
      <c r="E30" s="603"/>
      <c r="F30" s="604"/>
      <c r="G30" s="889"/>
      <c r="H30" s="1291"/>
      <c r="I30" s="631"/>
      <c r="J30" s="885"/>
      <c r="K30" s="880"/>
      <c r="L30" s="436"/>
    </row>
    <row r="31" spans="1:12" s="1" customFormat="1" ht="15">
      <c r="A31" s="1291"/>
      <c r="B31" s="623"/>
      <c r="C31" s="623"/>
      <c r="D31" s="888"/>
      <c r="E31" s="603"/>
      <c r="F31" s="604"/>
      <c r="G31" s="889"/>
      <c r="H31" s="1291"/>
      <c r="I31" s="631"/>
      <c r="J31" s="885"/>
      <c r="K31" s="880"/>
      <c r="L31" s="436"/>
    </row>
    <row r="32" spans="1:12" s="1" customFormat="1" ht="15">
      <c r="A32" s="1291"/>
      <c r="B32" s="623"/>
      <c r="C32" s="623"/>
      <c r="D32" s="888"/>
      <c r="E32" s="603"/>
      <c r="F32" s="604"/>
      <c r="G32" s="889"/>
      <c r="H32" s="1291"/>
      <c r="I32" s="631"/>
      <c r="J32" s="885"/>
      <c r="K32" s="880"/>
      <c r="L32" s="436"/>
    </row>
    <row r="33" spans="1:12" s="1" customFormat="1" ht="15">
      <c r="A33" s="1291"/>
      <c r="B33" s="623"/>
      <c r="C33" s="623"/>
      <c r="D33" s="888"/>
      <c r="E33" s="603"/>
      <c r="F33" s="604"/>
      <c r="G33" s="889"/>
      <c r="H33" s="1291"/>
      <c r="I33" s="631"/>
      <c r="J33" s="885"/>
      <c r="K33" s="880"/>
      <c r="L33" s="436"/>
    </row>
    <row r="34" spans="1:12" ht="15">
      <c r="A34" s="621"/>
      <c r="B34" s="1124"/>
      <c r="C34" s="1124"/>
      <c r="D34" s="619"/>
      <c r="E34" s="619"/>
      <c r="F34" s="1144" t="s">
        <v>545</v>
      </c>
      <c r="G34" s="625">
        <f>SUM(G2:G33)-SUM(I2:I33)</f>
        <v>11419.819999999992</v>
      </c>
      <c r="H34" s="634"/>
      <c r="I34" s="631"/>
      <c r="J34" s="620"/>
      <c r="K34" s="226"/>
      <c r="L34" s="219"/>
    </row>
  </sheetData>
  <mergeCells count="47">
    <mergeCell ref="I19:I20"/>
    <mergeCell ref="J19:J20"/>
    <mergeCell ref="K19:K20"/>
    <mergeCell ref="F20:F21"/>
    <mergeCell ref="A22:A23"/>
    <mergeCell ref="B22:B23"/>
    <mergeCell ref="C22:C23"/>
    <mergeCell ref="D22:D23"/>
    <mergeCell ref="E22:E23"/>
    <mergeCell ref="F22:F23"/>
    <mergeCell ref="A20:A21"/>
    <mergeCell ref="B20:B21"/>
    <mergeCell ref="C20:C21"/>
    <mergeCell ref="D20:D21"/>
    <mergeCell ref="E20:E21"/>
    <mergeCell ref="I17:I18"/>
    <mergeCell ref="J17:J18"/>
    <mergeCell ref="K17:K18"/>
    <mergeCell ref="D9:D10"/>
    <mergeCell ref="A9:A10"/>
    <mergeCell ref="C9:C10"/>
    <mergeCell ref="B9:B10"/>
    <mergeCell ref="D11:D12"/>
    <mergeCell ref="C11:C12"/>
    <mergeCell ref="B11:B12"/>
    <mergeCell ref="A11:A12"/>
    <mergeCell ref="K15:K16"/>
    <mergeCell ref="J15:J16"/>
    <mergeCell ref="I15:I16"/>
    <mergeCell ref="F11:F12"/>
    <mergeCell ref="E11:E12"/>
    <mergeCell ref="A5:A6"/>
    <mergeCell ref="D5:D6"/>
    <mergeCell ref="G5:G6"/>
    <mergeCell ref="C5:C6"/>
    <mergeCell ref="B5:B6"/>
    <mergeCell ref="H5:H6"/>
    <mergeCell ref="F5:F6"/>
    <mergeCell ref="E5:E6"/>
    <mergeCell ref="F9:F10"/>
    <mergeCell ref="E9:E10"/>
    <mergeCell ref="C13:C14"/>
    <mergeCell ref="B13:B14"/>
    <mergeCell ref="A13:A14"/>
    <mergeCell ref="F13:F14"/>
    <mergeCell ref="E13:E14"/>
    <mergeCell ref="D13:D14"/>
  </mergeCells>
  <phoneticPr fontId="15" type="noConversion"/>
  <hyperlinks>
    <hyperlink ref="F34" location="汇总!A1" display="剩余欠款"/>
  </hyperlink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L56"/>
  <sheetViews>
    <sheetView workbookViewId="0">
      <pane ySplit="1" topLeftCell="A23" activePane="bottomLeft" state="frozen"/>
      <selection activeCell="C33" sqref="C33"/>
      <selection pane="bottomLeft" activeCell="F50" sqref="F50"/>
    </sheetView>
  </sheetViews>
  <sheetFormatPr defaultRowHeight="14.25"/>
  <cols>
    <col min="1" max="1" width="15.125" bestFit="1" customWidth="1"/>
    <col min="2" max="2" width="8.875" bestFit="1" customWidth="1"/>
    <col min="3" max="3" width="27.875" bestFit="1" customWidth="1"/>
    <col min="4" max="4" width="15" bestFit="1" customWidth="1"/>
    <col min="5" max="5" width="15.625" bestFit="1" customWidth="1"/>
    <col min="6" max="6" width="11.25" style="418" bestFit="1" customWidth="1"/>
    <col min="7" max="7" width="17.25" bestFit="1" customWidth="1"/>
    <col min="8" max="8" width="16.625" bestFit="1" customWidth="1"/>
    <col min="9" max="9" width="14" bestFit="1" customWidth="1"/>
    <col min="10" max="10" width="13.875" bestFit="1" customWidth="1"/>
    <col min="11" max="11" width="11.25" style="96" customWidth="1"/>
    <col min="12" max="12" width="6.5" bestFit="1" customWidth="1"/>
  </cols>
  <sheetData>
    <row r="1" spans="1:12" s="96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6" t="s">
        <v>542</v>
      </c>
    </row>
    <row r="2" spans="1:12" ht="15">
      <c r="A2" s="632">
        <v>44638</v>
      </c>
      <c r="B2" s="1124" t="s">
        <v>4119</v>
      </c>
      <c r="C2" s="1124" t="s">
        <v>4411</v>
      </c>
      <c r="D2" s="615" t="s">
        <v>1881</v>
      </c>
      <c r="E2" s="631">
        <v>522</v>
      </c>
      <c r="F2" s="731">
        <v>0</v>
      </c>
      <c r="G2" s="631">
        <v>522</v>
      </c>
      <c r="H2" s="632">
        <v>44668</v>
      </c>
      <c r="I2" s="631">
        <v>522</v>
      </c>
      <c r="J2" s="632">
        <v>44715</v>
      </c>
      <c r="K2" s="403" t="s">
        <v>2241</v>
      </c>
      <c r="L2" s="111"/>
    </row>
    <row r="3" spans="1:12" ht="15">
      <c r="A3" s="632">
        <v>44662</v>
      </c>
      <c r="B3" s="1124" t="s">
        <v>4119</v>
      </c>
      <c r="C3" s="1124" t="s">
        <v>4411</v>
      </c>
      <c r="D3" s="615" t="s">
        <v>1933</v>
      </c>
      <c r="E3" s="631">
        <v>1144.3</v>
      </c>
      <c r="F3" s="731">
        <v>0</v>
      </c>
      <c r="G3" s="631">
        <v>1144.3</v>
      </c>
      <c r="H3" s="632">
        <v>44692</v>
      </c>
      <c r="I3" s="631">
        <v>1144.3</v>
      </c>
      <c r="J3" s="632">
        <v>44761</v>
      </c>
      <c r="K3" s="479" t="s">
        <v>2502</v>
      </c>
      <c r="L3" s="100"/>
    </row>
    <row r="4" spans="1:12" ht="15">
      <c r="A4" s="1903">
        <v>44699</v>
      </c>
      <c r="B4" s="1918" t="s">
        <v>4119</v>
      </c>
      <c r="C4" s="1918" t="s">
        <v>4411</v>
      </c>
      <c r="D4" s="1909" t="s">
        <v>2136</v>
      </c>
      <c r="E4" s="1906">
        <v>1169.21</v>
      </c>
      <c r="F4" s="1927">
        <v>0</v>
      </c>
      <c r="G4" s="631">
        <f>1169.21-24.91</f>
        <v>1144.3</v>
      </c>
      <c r="H4" s="991">
        <v>44698</v>
      </c>
      <c r="I4" s="631">
        <v>1144.3</v>
      </c>
      <c r="J4" s="632">
        <v>44804</v>
      </c>
      <c r="K4" s="576" t="s">
        <v>2942</v>
      </c>
      <c r="L4" s="113"/>
    </row>
    <row r="5" spans="1:12" ht="15">
      <c r="A5" s="1905"/>
      <c r="B5" s="1920"/>
      <c r="C5" s="1920"/>
      <c r="D5" s="1911"/>
      <c r="E5" s="1908"/>
      <c r="F5" s="1928"/>
      <c r="G5" s="631">
        <v>24.91</v>
      </c>
      <c r="H5" s="991">
        <v>44698</v>
      </c>
      <c r="I5" s="1906">
        <v>531.16</v>
      </c>
      <c r="J5" s="1903">
        <v>44802</v>
      </c>
      <c r="K5" s="1935" t="s">
        <v>2942</v>
      </c>
      <c r="L5" s="113"/>
    </row>
    <row r="6" spans="1:12" ht="15">
      <c r="A6" s="991">
        <v>44706</v>
      </c>
      <c r="B6" s="1124" t="s">
        <v>4119</v>
      </c>
      <c r="C6" s="1124" t="s">
        <v>4411</v>
      </c>
      <c r="D6" s="992" t="s">
        <v>2185</v>
      </c>
      <c r="E6" s="631">
        <v>506.25</v>
      </c>
      <c r="F6" s="731">
        <v>0</v>
      </c>
      <c r="G6" s="631">
        <v>506.25</v>
      </c>
      <c r="H6" s="991">
        <v>44736</v>
      </c>
      <c r="I6" s="1908"/>
      <c r="J6" s="1905"/>
      <c r="K6" s="1947"/>
      <c r="L6" s="113"/>
    </row>
    <row r="7" spans="1:12" s="56" customFormat="1" ht="15">
      <c r="A7" s="991">
        <v>44838</v>
      </c>
      <c r="B7" s="1124" t="s">
        <v>2644</v>
      </c>
      <c r="C7" s="1124" t="s">
        <v>4411</v>
      </c>
      <c r="D7" s="992" t="s">
        <v>3221</v>
      </c>
      <c r="E7" s="631">
        <v>326.7</v>
      </c>
      <c r="F7" s="731">
        <v>0</v>
      </c>
      <c r="G7" s="631">
        <v>326.7</v>
      </c>
      <c r="H7" s="991">
        <v>44839</v>
      </c>
      <c r="I7" s="1906">
        <v>3436.57</v>
      </c>
      <c r="J7" s="1903">
        <v>44911</v>
      </c>
      <c r="K7" s="1935" t="s">
        <v>3721</v>
      </c>
      <c r="L7" s="219"/>
    </row>
    <row r="8" spans="1:12" s="56" customFormat="1" ht="15">
      <c r="A8" s="991">
        <v>44853.000497685185</v>
      </c>
      <c r="B8" s="1124" t="s">
        <v>2644</v>
      </c>
      <c r="C8" s="1124" t="s">
        <v>4411</v>
      </c>
      <c r="D8" s="992" t="s">
        <v>3303</v>
      </c>
      <c r="E8" s="631">
        <v>977.21</v>
      </c>
      <c r="F8" s="731">
        <v>0</v>
      </c>
      <c r="G8" s="631">
        <v>977.21</v>
      </c>
      <c r="H8" s="991">
        <v>44854.000497685185</v>
      </c>
      <c r="I8" s="1907"/>
      <c r="J8" s="1904"/>
      <c r="K8" s="1950"/>
      <c r="L8" s="219"/>
    </row>
    <row r="9" spans="1:12" s="56" customFormat="1" ht="15">
      <c r="A9" s="991">
        <v>44875</v>
      </c>
      <c r="B9" s="1124" t="s">
        <v>2644</v>
      </c>
      <c r="C9" s="1124" t="s">
        <v>4411</v>
      </c>
      <c r="D9" s="992" t="s">
        <v>3454</v>
      </c>
      <c r="E9" s="631">
        <v>1103.96</v>
      </c>
      <c r="F9" s="731">
        <v>0</v>
      </c>
      <c r="G9" s="631">
        <v>1103.96</v>
      </c>
      <c r="H9" s="991">
        <v>44876</v>
      </c>
      <c r="I9" s="1907"/>
      <c r="J9" s="1904"/>
      <c r="K9" s="1950"/>
      <c r="L9" s="219"/>
    </row>
    <row r="10" spans="1:12" s="56" customFormat="1" ht="15">
      <c r="A10" s="991">
        <v>44883</v>
      </c>
      <c r="B10" s="1124" t="s">
        <v>2644</v>
      </c>
      <c r="C10" s="1124" t="s">
        <v>4411</v>
      </c>
      <c r="D10" s="992" t="s">
        <v>3485</v>
      </c>
      <c r="E10" s="631">
        <v>1028.7</v>
      </c>
      <c r="F10" s="731">
        <v>0</v>
      </c>
      <c r="G10" s="631">
        <v>1028.7</v>
      </c>
      <c r="H10" s="991">
        <v>44884</v>
      </c>
      <c r="I10" s="1908"/>
      <c r="J10" s="1905"/>
      <c r="K10" s="1947"/>
      <c r="L10" s="219"/>
    </row>
    <row r="11" spans="1:12" s="56" customFormat="1" ht="15">
      <c r="A11" s="1108">
        <v>44896</v>
      </c>
      <c r="B11" s="1124" t="s">
        <v>2644</v>
      </c>
      <c r="C11" s="1124" t="s">
        <v>4411</v>
      </c>
      <c r="D11" s="1109" t="s">
        <v>3618</v>
      </c>
      <c r="E11" s="631">
        <v>20.21</v>
      </c>
      <c r="F11" s="731">
        <v>0</v>
      </c>
      <c r="G11" s="631">
        <v>20.21</v>
      </c>
      <c r="H11" s="1108">
        <v>44941</v>
      </c>
      <c r="I11" s="1906">
        <v>1202.57</v>
      </c>
      <c r="J11" s="1903">
        <v>44960</v>
      </c>
      <c r="K11" s="1935" t="s">
        <v>4039</v>
      </c>
      <c r="L11" s="219"/>
    </row>
    <row r="12" spans="1:12" s="56" customFormat="1" ht="15">
      <c r="A12" s="1108">
        <v>44897</v>
      </c>
      <c r="B12" s="1124" t="s">
        <v>2644</v>
      </c>
      <c r="C12" s="1124" t="s">
        <v>4411</v>
      </c>
      <c r="D12" s="1109" t="s">
        <v>3619</v>
      </c>
      <c r="E12" s="631">
        <v>31.9</v>
      </c>
      <c r="F12" s="731">
        <v>0</v>
      </c>
      <c r="G12" s="631">
        <v>31.9</v>
      </c>
      <c r="H12" s="1108">
        <v>44898</v>
      </c>
      <c r="I12" s="1907"/>
      <c r="J12" s="1904"/>
      <c r="K12" s="1950"/>
      <c r="L12" s="219"/>
    </row>
    <row r="13" spans="1:12" s="56" customFormat="1" ht="15">
      <c r="A13" s="1108">
        <v>44900.000497685185</v>
      </c>
      <c r="B13" s="1124" t="s">
        <v>2644</v>
      </c>
      <c r="C13" s="1124" t="s">
        <v>4411</v>
      </c>
      <c r="D13" s="1109" t="s">
        <v>3664</v>
      </c>
      <c r="E13" s="631">
        <v>11.21</v>
      </c>
      <c r="F13" s="731">
        <v>0</v>
      </c>
      <c r="G13" s="631">
        <v>11.21</v>
      </c>
      <c r="H13" s="1108">
        <v>44930</v>
      </c>
      <c r="I13" s="1907"/>
      <c r="J13" s="1904"/>
      <c r="K13" s="1950"/>
      <c r="L13" s="219"/>
    </row>
    <row r="14" spans="1:12" s="56" customFormat="1" ht="15">
      <c r="A14" s="1108">
        <v>44902.000497685185</v>
      </c>
      <c r="B14" s="1124" t="s">
        <v>2644</v>
      </c>
      <c r="C14" s="1124" t="s">
        <v>4411</v>
      </c>
      <c r="D14" s="1109" t="s">
        <v>3665</v>
      </c>
      <c r="E14" s="631">
        <v>508.5</v>
      </c>
      <c r="F14" s="731">
        <v>0</v>
      </c>
      <c r="G14" s="631">
        <v>508.5</v>
      </c>
      <c r="H14" s="1108">
        <v>44962</v>
      </c>
      <c r="I14" s="1907"/>
      <c r="J14" s="1904"/>
      <c r="K14" s="1950"/>
      <c r="L14" s="219"/>
    </row>
    <row r="15" spans="1:12" s="56" customFormat="1" ht="15">
      <c r="A15" s="1108">
        <v>44909</v>
      </c>
      <c r="B15" s="1124" t="s">
        <v>2644</v>
      </c>
      <c r="C15" s="1124" t="s">
        <v>4411</v>
      </c>
      <c r="D15" s="1109" t="s">
        <v>3703</v>
      </c>
      <c r="E15" s="631">
        <v>639.75</v>
      </c>
      <c r="F15" s="731">
        <v>0</v>
      </c>
      <c r="G15" s="631">
        <v>639.75</v>
      </c>
      <c r="H15" s="1108">
        <v>44910</v>
      </c>
      <c r="I15" s="1907"/>
      <c r="J15" s="1904"/>
      <c r="K15" s="1950"/>
      <c r="L15" s="219"/>
    </row>
    <row r="16" spans="1:12" s="56" customFormat="1" ht="15">
      <c r="A16" s="1108">
        <v>44911</v>
      </c>
      <c r="B16" s="1124" t="s">
        <v>2644</v>
      </c>
      <c r="C16" s="1124" t="s">
        <v>4411</v>
      </c>
      <c r="D16" s="1109" t="s">
        <v>3704</v>
      </c>
      <c r="E16" s="631">
        <v>-9</v>
      </c>
      <c r="F16" s="731">
        <v>0</v>
      </c>
      <c r="G16" s="631">
        <v>-9</v>
      </c>
      <c r="H16" s="1108"/>
      <c r="I16" s="1908"/>
      <c r="J16" s="1905"/>
      <c r="K16" s="1947"/>
      <c r="L16" s="219"/>
    </row>
    <row r="17" spans="1:12" s="56" customFormat="1" ht="15">
      <c r="A17" s="1339">
        <v>44931</v>
      </c>
      <c r="B17" s="1339" t="s">
        <v>2644</v>
      </c>
      <c r="C17" s="1339" t="s">
        <v>4411</v>
      </c>
      <c r="D17" s="1341" t="s">
        <v>3867</v>
      </c>
      <c r="E17" s="631">
        <v>329.25</v>
      </c>
      <c r="F17" s="731">
        <v>0</v>
      </c>
      <c r="G17" s="631">
        <v>329.25</v>
      </c>
      <c r="H17" s="1339">
        <v>44961</v>
      </c>
      <c r="I17" s="1936">
        <v>1772.18</v>
      </c>
      <c r="J17" s="1903">
        <v>45040</v>
      </c>
      <c r="K17" s="1938" t="s">
        <v>5463</v>
      </c>
      <c r="L17" s="219"/>
    </row>
    <row r="18" spans="1:12" s="56" customFormat="1" ht="15">
      <c r="A18" s="1339">
        <v>44974</v>
      </c>
      <c r="B18" s="1339" t="s">
        <v>2644</v>
      </c>
      <c r="C18" s="1339" t="s">
        <v>4411</v>
      </c>
      <c r="D18" s="1341" t="s">
        <v>4181</v>
      </c>
      <c r="E18" s="631">
        <v>312</v>
      </c>
      <c r="F18" s="731">
        <v>0</v>
      </c>
      <c r="G18" s="631">
        <v>312</v>
      </c>
      <c r="H18" s="1339">
        <v>45004</v>
      </c>
      <c r="I18" s="2247"/>
      <c r="J18" s="1904"/>
      <c r="K18" s="1950"/>
      <c r="L18" s="219"/>
    </row>
    <row r="19" spans="1:12" s="56" customFormat="1" ht="15">
      <c r="A19" s="1339">
        <v>44974</v>
      </c>
      <c r="B19" s="1339" t="s">
        <v>2644</v>
      </c>
      <c r="C19" s="1339" t="s">
        <v>4411</v>
      </c>
      <c r="D19" s="1341" t="s">
        <v>4182</v>
      </c>
      <c r="E19" s="631">
        <v>752.18</v>
      </c>
      <c r="F19" s="731">
        <v>0</v>
      </c>
      <c r="G19" s="631">
        <v>752.18</v>
      </c>
      <c r="H19" s="1339">
        <v>45004</v>
      </c>
      <c r="I19" s="2247"/>
      <c r="J19" s="1904"/>
      <c r="K19" s="1950"/>
      <c r="L19" s="219"/>
    </row>
    <row r="20" spans="1:12" s="56" customFormat="1" ht="15">
      <c r="A20" s="1339">
        <v>44978</v>
      </c>
      <c r="B20" s="1339" t="s">
        <v>2644</v>
      </c>
      <c r="C20" s="1339" t="s">
        <v>4411</v>
      </c>
      <c r="D20" s="1341" t="s">
        <v>4230</v>
      </c>
      <c r="E20" s="631">
        <v>156</v>
      </c>
      <c r="F20" s="731">
        <v>0</v>
      </c>
      <c r="G20" s="631">
        <v>156</v>
      </c>
      <c r="H20" s="1339">
        <v>45023</v>
      </c>
      <c r="I20" s="2247"/>
      <c r="J20" s="1904"/>
      <c r="K20" s="1950"/>
      <c r="L20" s="219"/>
    </row>
    <row r="21" spans="1:12" s="56" customFormat="1" ht="15">
      <c r="A21" s="1339">
        <v>44978</v>
      </c>
      <c r="B21" s="1339" t="s">
        <v>2644</v>
      </c>
      <c r="C21" s="1339" t="s">
        <v>4411</v>
      </c>
      <c r="D21" s="1341" t="s">
        <v>4231</v>
      </c>
      <c r="E21" s="631">
        <v>222.75</v>
      </c>
      <c r="F21" s="731">
        <v>0</v>
      </c>
      <c r="G21" s="631">
        <v>222.75</v>
      </c>
      <c r="H21" s="1339">
        <v>45023</v>
      </c>
      <c r="I21" s="1937"/>
      <c r="J21" s="1905"/>
      <c r="K21" s="1947"/>
      <c r="L21" s="219"/>
    </row>
    <row r="22" spans="1:12" s="56" customFormat="1" ht="15">
      <c r="A22" s="1484">
        <v>45012</v>
      </c>
      <c r="B22" s="1484" t="s">
        <v>2644</v>
      </c>
      <c r="C22" s="1484" t="s">
        <v>4411</v>
      </c>
      <c r="D22" s="1486" t="s">
        <v>4645</v>
      </c>
      <c r="E22" s="631">
        <v>593.16</v>
      </c>
      <c r="F22" s="731">
        <v>0</v>
      </c>
      <c r="G22" s="631">
        <v>593.16</v>
      </c>
      <c r="H22" s="1484">
        <v>45057</v>
      </c>
      <c r="I22" s="1936">
        <v>4253.09</v>
      </c>
      <c r="J22" s="1903">
        <v>45096</v>
      </c>
      <c r="K22" s="1938" t="s">
        <v>5965</v>
      </c>
      <c r="L22" s="219"/>
    </row>
    <row r="23" spans="1:12" s="56" customFormat="1" ht="15">
      <c r="A23" s="1484">
        <v>45012</v>
      </c>
      <c r="B23" s="1484" t="s">
        <v>2644</v>
      </c>
      <c r="C23" s="1484" t="s">
        <v>4411</v>
      </c>
      <c r="D23" s="1486" t="s">
        <v>4646</v>
      </c>
      <c r="E23" s="631">
        <v>960</v>
      </c>
      <c r="F23" s="731">
        <v>0</v>
      </c>
      <c r="G23" s="631">
        <v>960</v>
      </c>
      <c r="H23" s="1484">
        <v>45057</v>
      </c>
      <c r="I23" s="2247"/>
      <c r="J23" s="1904"/>
      <c r="K23" s="1950"/>
      <c r="L23" s="219"/>
    </row>
    <row r="24" spans="1:12" s="56" customFormat="1" ht="15">
      <c r="A24" s="1484">
        <v>45014</v>
      </c>
      <c r="B24" s="1484" t="s">
        <v>2644</v>
      </c>
      <c r="C24" s="1484" t="s">
        <v>4411</v>
      </c>
      <c r="D24" s="1486" t="s">
        <v>4647</v>
      </c>
      <c r="E24" s="631">
        <v>2326.8000000000002</v>
      </c>
      <c r="F24" s="731">
        <v>0</v>
      </c>
      <c r="G24" s="631">
        <v>2326.8000000000002</v>
      </c>
      <c r="H24" s="1484">
        <v>45059</v>
      </c>
      <c r="I24" s="2247"/>
      <c r="J24" s="1904"/>
      <c r="K24" s="1950"/>
      <c r="L24" s="219"/>
    </row>
    <row r="25" spans="1:12" s="56" customFormat="1" ht="15">
      <c r="A25" s="1484">
        <v>45026.000497685185</v>
      </c>
      <c r="B25" s="1484" t="s">
        <v>2644</v>
      </c>
      <c r="C25" s="1484" t="s">
        <v>4411</v>
      </c>
      <c r="D25" s="1486" t="s">
        <v>4722</v>
      </c>
      <c r="E25" s="631">
        <v>252</v>
      </c>
      <c r="F25" s="731">
        <v>0</v>
      </c>
      <c r="G25" s="631">
        <v>252</v>
      </c>
      <c r="H25" s="1484">
        <v>45071</v>
      </c>
      <c r="I25" s="2247"/>
      <c r="J25" s="1904"/>
      <c r="K25" s="1950"/>
      <c r="L25" s="219"/>
    </row>
    <row r="26" spans="1:12" s="56" customFormat="1" ht="15">
      <c r="A26" s="1484">
        <v>45027.000497685185</v>
      </c>
      <c r="B26" s="1484" t="s">
        <v>2644</v>
      </c>
      <c r="C26" s="1484" t="s">
        <v>4411</v>
      </c>
      <c r="D26" s="1486" t="s">
        <v>4723</v>
      </c>
      <c r="E26" s="631">
        <v>286.88</v>
      </c>
      <c r="F26" s="731">
        <v>0</v>
      </c>
      <c r="G26" s="631">
        <v>286.88</v>
      </c>
      <c r="H26" s="1484">
        <v>45072</v>
      </c>
      <c r="I26" s="2247"/>
      <c r="J26" s="1904"/>
      <c r="K26" s="1950"/>
      <c r="L26" s="219"/>
    </row>
    <row r="27" spans="1:12" s="56" customFormat="1" ht="15">
      <c r="A27" s="1484">
        <v>45027.000497685185</v>
      </c>
      <c r="B27" s="1484" t="s">
        <v>2644</v>
      </c>
      <c r="C27" s="1484" t="s">
        <v>4411</v>
      </c>
      <c r="D27" s="1486" t="s">
        <v>4724</v>
      </c>
      <c r="E27" s="631">
        <v>121.5</v>
      </c>
      <c r="F27" s="731">
        <v>0</v>
      </c>
      <c r="G27" s="631">
        <v>121.5</v>
      </c>
      <c r="H27" s="1484">
        <v>45072</v>
      </c>
      <c r="I27" s="2247"/>
      <c r="J27" s="1904"/>
      <c r="K27" s="1950"/>
      <c r="L27" s="219"/>
    </row>
    <row r="28" spans="1:12" s="56" customFormat="1" ht="15">
      <c r="A28" s="1484">
        <v>45050</v>
      </c>
      <c r="B28" s="1484" t="s">
        <v>2644</v>
      </c>
      <c r="C28" s="1484" t="s">
        <v>4411</v>
      </c>
      <c r="D28" s="1486" t="s">
        <v>4919</v>
      </c>
      <c r="E28" s="631">
        <v>-287.25</v>
      </c>
      <c r="F28" s="731">
        <v>0</v>
      </c>
      <c r="G28" s="631">
        <v>-287.25</v>
      </c>
      <c r="H28" s="1484"/>
      <c r="I28" s="1937"/>
      <c r="J28" s="1905"/>
      <c r="K28" s="1947"/>
      <c r="L28" s="219"/>
    </row>
    <row r="29" spans="1:12" s="56" customFormat="1" ht="15">
      <c r="A29" s="1657">
        <v>45037</v>
      </c>
      <c r="B29" s="1657" t="s">
        <v>2644</v>
      </c>
      <c r="C29" s="1657" t="s">
        <v>4411</v>
      </c>
      <c r="D29" s="1661" t="s">
        <v>4817</v>
      </c>
      <c r="E29" s="631">
        <v>1191.45</v>
      </c>
      <c r="F29" s="731">
        <v>0</v>
      </c>
      <c r="G29" s="631">
        <v>1191.45</v>
      </c>
      <c r="H29" s="1657">
        <v>45082</v>
      </c>
      <c r="I29" s="1936">
        <v>1011.46</v>
      </c>
      <c r="J29" s="1903">
        <v>45166</v>
      </c>
      <c r="K29" s="1938" t="s">
        <v>6615</v>
      </c>
      <c r="L29" s="219"/>
    </row>
    <row r="30" spans="1:12" s="56" customFormat="1" ht="15">
      <c r="A30" s="1657">
        <v>45040</v>
      </c>
      <c r="B30" s="1657" t="s">
        <v>2644</v>
      </c>
      <c r="C30" s="1657" t="s">
        <v>4411</v>
      </c>
      <c r="D30" s="1661" t="s">
        <v>4875</v>
      </c>
      <c r="E30" s="631">
        <v>0.01</v>
      </c>
      <c r="F30" s="731">
        <v>0</v>
      </c>
      <c r="G30" s="631">
        <v>0.01</v>
      </c>
      <c r="H30" s="1657">
        <v>45041</v>
      </c>
      <c r="I30" s="2247"/>
      <c r="J30" s="1904"/>
      <c r="K30" s="1950"/>
      <c r="L30" s="219"/>
    </row>
    <row r="31" spans="1:12" s="56" customFormat="1" ht="15">
      <c r="A31" s="1657">
        <v>45092</v>
      </c>
      <c r="B31" s="1657" t="s">
        <v>2644</v>
      </c>
      <c r="C31" s="1657" t="s">
        <v>4411</v>
      </c>
      <c r="D31" s="1661" t="s">
        <v>5388</v>
      </c>
      <c r="E31" s="631">
        <v>-180</v>
      </c>
      <c r="F31" s="731">
        <v>0</v>
      </c>
      <c r="G31" s="631">
        <v>-180</v>
      </c>
      <c r="H31" s="1657"/>
      <c r="I31" s="1937"/>
      <c r="J31" s="1905"/>
      <c r="K31" s="1947"/>
      <c r="L31" s="219"/>
    </row>
    <row r="32" spans="1:12" s="56" customFormat="1" ht="15">
      <c r="A32" s="1657">
        <v>45064</v>
      </c>
      <c r="B32" s="1657" t="s">
        <v>2644</v>
      </c>
      <c r="C32" s="1657" t="s">
        <v>4411</v>
      </c>
      <c r="D32" s="1661" t="s">
        <v>5115</v>
      </c>
      <c r="E32" s="631">
        <v>460.8</v>
      </c>
      <c r="F32" s="731">
        <v>0</v>
      </c>
      <c r="G32" s="631">
        <v>460.8</v>
      </c>
      <c r="H32" s="1657">
        <v>45109</v>
      </c>
      <c r="I32" s="1936">
        <v>451.2</v>
      </c>
      <c r="J32" s="1903">
        <v>45166</v>
      </c>
      <c r="K32" s="1938" t="s">
        <v>6391</v>
      </c>
      <c r="L32" s="219"/>
    </row>
    <row r="33" spans="1:12" s="56" customFormat="1" ht="15">
      <c r="A33" s="1657">
        <v>45065</v>
      </c>
      <c r="B33" s="1657" t="s">
        <v>2644</v>
      </c>
      <c r="C33" s="1657" t="s">
        <v>4411</v>
      </c>
      <c r="D33" s="1661" t="s">
        <v>5116</v>
      </c>
      <c r="E33" s="631">
        <v>220.8</v>
      </c>
      <c r="F33" s="731">
        <v>0</v>
      </c>
      <c r="G33" s="631">
        <v>220.8</v>
      </c>
      <c r="H33" s="1657">
        <v>45125</v>
      </c>
      <c r="I33" s="2247"/>
      <c r="J33" s="1904"/>
      <c r="K33" s="1950"/>
      <c r="L33" s="219"/>
    </row>
    <row r="34" spans="1:12" s="56" customFormat="1" ht="15">
      <c r="A34" s="1657">
        <v>45096</v>
      </c>
      <c r="B34" s="1657" t="s">
        <v>2644</v>
      </c>
      <c r="C34" s="1657" t="s">
        <v>4411</v>
      </c>
      <c r="D34" s="1661" t="s">
        <v>5421</v>
      </c>
      <c r="E34" s="631">
        <v>-230.4</v>
      </c>
      <c r="F34" s="731">
        <v>0</v>
      </c>
      <c r="G34" s="631">
        <v>-230.4</v>
      </c>
      <c r="H34" s="1657"/>
      <c r="I34" s="1937"/>
      <c r="J34" s="1905"/>
      <c r="K34" s="1947"/>
      <c r="L34" s="219"/>
    </row>
    <row r="35" spans="1:12" s="56" customFormat="1" ht="15">
      <c r="A35" s="1785">
        <v>45097</v>
      </c>
      <c r="B35" s="1785" t="s">
        <v>2644</v>
      </c>
      <c r="C35" s="1785" t="s">
        <v>4411</v>
      </c>
      <c r="D35" s="1788" t="s">
        <v>5422</v>
      </c>
      <c r="E35" s="631">
        <v>198</v>
      </c>
      <c r="F35" s="731">
        <v>0</v>
      </c>
      <c r="G35" s="631">
        <v>198</v>
      </c>
      <c r="H35" s="1785">
        <v>45142</v>
      </c>
      <c r="I35" s="1936">
        <v>872.93</v>
      </c>
      <c r="J35" s="1903">
        <v>45218</v>
      </c>
      <c r="K35" s="1938" t="s">
        <v>6392</v>
      </c>
      <c r="L35" s="166"/>
    </row>
    <row r="36" spans="1:12" s="56" customFormat="1" ht="15">
      <c r="A36" s="1785">
        <v>45096</v>
      </c>
      <c r="B36" s="1785" t="s">
        <v>2644</v>
      </c>
      <c r="C36" s="1785" t="s">
        <v>4411</v>
      </c>
      <c r="D36" s="1788" t="s">
        <v>5423</v>
      </c>
      <c r="E36" s="631">
        <v>-178.2</v>
      </c>
      <c r="F36" s="731">
        <v>0</v>
      </c>
      <c r="G36" s="631">
        <v>-178.2</v>
      </c>
      <c r="H36" s="1785"/>
      <c r="I36" s="2247"/>
      <c r="J36" s="1904"/>
      <c r="K36" s="1950"/>
      <c r="L36" s="166"/>
    </row>
    <row r="37" spans="1:12" s="56" customFormat="1" ht="15">
      <c r="A37" s="1785">
        <v>45127</v>
      </c>
      <c r="B37" s="1785" t="s">
        <v>2644</v>
      </c>
      <c r="C37" s="1785" t="s">
        <v>4411</v>
      </c>
      <c r="D37" s="1788" t="s">
        <v>5645</v>
      </c>
      <c r="E37" s="631">
        <v>853.13</v>
      </c>
      <c r="F37" s="731">
        <v>0</v>
      </c>
      <c r="G37" s="631">
        <v>853.13</v>
      </c>
      <c r="H37" s="1785">
        <v>45172</v>
      </c>
      <c r="I37" s="1937"/>
      <c r="J37" s="1905"/>
      <c r="K37" s="1947"/>
      <c r="L37" s="166"/>
    </row>
    <row r="38" spans="1:12" s="56" customFormat="1" ht="15">
      <c r="A38" s="1856">
        <v>45162</v>
      </c>
      <c r="B38" s="1856" t="s">
        <v>2644</v>
      </c>
      <c r="C38" s="1856" t="s">
        <v>4411</v>
      </c>
      <c r="D38" s="1858" t="s">
        <v>5923</v>
      </c>
      <c r="E38" s="631">
        <v>280.8</v>
      </c>
      <c r="F38" s="731">
        <v>0</v>
      </c>
      <c r="G38" s="631">
        <v>280.8</v>
      </c>
      <c r="H38" s="1856">
        <v>45207</v>
      </c>
      <c r="I38" s="1936">
        <v>514.79999999999995</v>
      </c>
      <c r="J38" s="1903">
        <v>45247</v>
      </c>
      <c r="K38" s="1938" t="s">
        <v>6613</v>
      </c>
      <c r="L38" s="219"/>
    </row>
    <row r="39" spans="1:12" s="56" customFormat="1" ht="15">
      <c r="A39" s="1856">
        <v>45188</v>
      </c>
      <c r="B39" s="1856" t="s">
        <v>2644</v>
      </c>
      <c r="C39" s="1856" t="s">
        <v>4411</v>
      </c>
      <c r="D39" s="1858" t="s">
        <v>6107</v>
      </c>
      <c r="E39" s="631">
        <v>234</v>
      </c>
      <c r="F39" s="731">
        <v>0</v>
      </c>
      <c r="G39" s="631">
        <v>234</v>
      </c>
      <c r="H39" s="1856">
        <v>45232</v>
      </c>
      <c r="I39" s="1937"/>
      <c r="J39" s="1905"/>
      <c r="K39" s="1947"/>
      <c r="L39" s="219"/>
    </row>
    <row r="40" spans="1:12" s="56" customFormat="1" ht="15">
      <c r="A40" s="623">
        <v>45169</v>
      </c>
      <c r="B40" s="623" t="s">
        <v>2644</v>
      </c>
      <c r="C40" s="623" t="s">
        <v>4411</v>
      </c>
      <c r="D40" s="624" t="s">
        <v>5948</v>
      </c>
      <c r="E40" s="606">
        <v>5209.13</v>
      </c>
      <c r="F40" s="732">
        <v>0</v>
      </c>
      <c r="G40" s="606">
        <v>5209.13</v>
      </c>
      <c r="H40" s="623">
        <v>45214.000497685185</v>
      </c>
      <c r="I40" s="606"/>
      <c r="J40" s="623"/>
      <c r="K40" s="503"/>
      <c r="L40" s="219"/>
    </row>
    <row r="41" spans="1:12" s="56" customFormat="1" ht="15">
      <c r="A41" s="623">
        <v>45194</v>
      </c>
      <c r="B41" s="623" t="s">
        <v>2644</v>
      </c>
      <c r="C41" s="623" t="s">
        <v>4411</v>
      </c>
      <c r="D41" s="624" t="s">
        <v>6232</v>
      </c>
      <c r="E41" s="606">
        <v>-5209.13</v>
      </c>
      <c r="F41" s="732">
        <v>0</v>
      </c>
      <c r="G41" s="606">
        <v>-5209.13</v>
      </c>
      <c r="H41" s="623"/>
      <c r="I41" s="606"/>
      <c r="J41" s="623"/>
      <c r="K41" s="503"/>
      <c r="L41" s="219"/>
    </row>
    <row r="42" spans="1:12" s="56" customFormat="1" ht="15">
      <c r="A42" s="623">
        <v>45210</v>
      </c>
      <c r="B42" s="623" t="s">
        <v>2644</v>
      </c>
      <c r="C42" s="623" t="s">
        <v>4411</v>
      </c>
      <c r="D42" s="624" t="s">
        <v>6325</v>
      </c>
      <c r="E42" s="606">
        <v>518.4</v>
      </c>
      <c r="F42" s="732">
        <v>0</v>
      </c>
      <c r="G42" s="606">
        <v>518.4</v>
      </c>
      <c r="H42" s="623">
        <v>45269</v>
      </c>
      <c r="I42" s="606"/>
      <c r="J42" s="623"/>
      <c r="K42" s="503"/>
      <c r="L42" s="219"/>
    </row>
    <row r="43" spans="1:12" s="56" customFormat="1" ht="15">
      <c r="A43" s="623">
        <v>45245</v>
      </c>
      <c r="B43" s="623" t="s">
        <v>2644</v>
      </c>
      <c r="C43" s="623" t="s">
        <v>4411</v>
      </c>
      <c r="D43" s="624" t="s">
        <v>6571</v>
      </c>
      <c r="E43" s="606">
        <v>651.75</v>
      </c>
      <c r="F43" s="732">
        <v>0</v>
      </c>
      <c r="G43" s="606">
        <v>651.75</v>
      </c>
      <c r="H43" s="623">
        <v>45290</v>
      </c>
      <c r="I43" s="606"/>
      <c r="J43" s="623"/>
      <c r="K43" s="503"/>
      <c r="L43" s="219"/>
    </row>
    <row r="44" spans="1:12" s="56" customFormat="1" ht="15">
      <c r="A44" s="623"/>
      <c r="B44" s="623"/>
      <c r="C44" s="623"/>
      <c r="D44" s="624"/>
      <c r="E44" s="606"/>
      <c r="F44" s="732"/>
      <c r="G44" s="606"/>
      <c r="H44" s="623"/>
      <c r="I44" s="606"/>
      <c r="J44" s="623"/>
      <c r="K44" s="503"/>
      <c r="L44" s="219"/>
    </row>
    <row r="45" spans="1:12" s="56" customFormat="1" ht="15">
      <c r="A45" s="623"/>
      <c r="B45" s="623"/>
      <c r="C45" s="623"/>
      <c r="D45" s="624"/>
      <c r="E45" s="606"/>
      <c r="F45" s="732"/>
      <c r="G45" s="606"/>
      <c r="H45" s="623"/>
      <c r="I45" s="606"/>
      <c r="J45" s="623"/>
      <c r="K45" s="503"/>
      <c r="L45" s="219"/>
    </row>
    <row r="46" spans="1:12" s="56" customFormat="1" ht="15">
      <c r="A46" s="623"/>
      <c r="B46" s="623"/>
      <c r="C46" s="623"/>
      <c r="D46" s="624"/>
      <c r="E46" s="606"/>
      <c r="F46" s="732"/>
      <c r="G46" s="606"/>
      <c r="H46" s="623"/>
      <c r="I46" s="606"/>
      <c r="J46" s="623"/>
      <c r="K46" s="503"/>
      <c r="L46" s="219"/>
    </row>
    <row r="47" spans="1:12" s="56" customFormat="1" ht="15">
      <c r="A47" s="623"/>
      <c r="B47" s="623"/>
      <c r="C47" s="623"/>
      <c r="D47" s="624"/>
      <c r="E47" s="606"/>
      <c r="F47" s="732"/>
      <c r="G47" s="606"/>
      <c r="H47" s="623"/>
      <c r="I47" s="606"/>
      <c r="J47" s="623"/>
      <c r="K47" s="503"/>
      <c r="L47" s="219"/>
    </row>
    <row r="48" spans="1:12" s="56" customFormat="1" ht="15">
      <c r="A48" s="623"/>
      <c r="B48" s="623"/>
      <c r="C48" s="623"/>
      <c r="D48" s="624"/>
      <c r="E48" s="606"/>
      <c r="F48" s="732"/>
      <c r="G48" s="606"/>
      <c r="H48" s="623"/>
      <c r="I48" s="606"/>
      <c r="J48" s="623"/>
      <c r="K48" s="503"/>
      <c r="L48" s="219"/>
    </row>
    <row r="49" spans="1:12" s="56" customFormat="1" ht="15">
      <c r="A49" s="623"/>
      <c r="B49" s="623"/>
      <c r="C49" s="623"/>
      <c r="D49" s="624"/>
      <c r="E49" s="606"/>
      <c r="F49" s="732"/>
      <c r="G49" s="606"/>
      <c r="H49" s="623"/>
      <c r="I49" s="606"/>
      <c r="J49" s="623"/>
      <c r="K49" s="503"/>
      <c r="L49" s="219"/>
    </row>
    <row r="50" spans="1:12" ht="15">
      <c r="A50" s="632"/>
      <c r="B50" s="1126"/>
      <c r="C50" s="1126"/>
      <c r="D50" s="615"/>
      <c r="E50" s="616"/>
      <c r="F50" s="1144" t="s">
        <v>545</v>
      </c>
      <c r="G50" s="645">
        <f>SUM(G2:G49)-SUM(I2:I49)</f>
        <v>1170.1499999999978</v>
      </c>
      <c r="H50" s="632"/>
      <c r="I50" s="631"/>
      <c r="J50" s="632"/>
      <c r="K50" s="4"/>
      <c r="L50" s="113"/>
    </row>
    <row r="51" spans="1:12">
      <c r="A51" s="96"/>
      <c r="B51" s="96"/>
      <c r="C51" s="96"/>
      <c r="D51" s="96"/>
      <c r="E51" s="96"/>
      <c r="F51" s="541"/>
      <c r="G51" s="316"/>
    </row>
    <row r="52" spans="1:12">
      <c r="G52" s="316"/>
    </row>
    <row r="53" spans="1:12">
      <c r="G53" s="316"/>
    </row>
    <row r="54" spans="1:12">
      <c r="G54" s="316"/>
    </row>
    <row r="55" spans="1:12">
      <c r="G55" s="316"/>
    </row>
    <row r="56" spans="1:12">
      <c r="G56" s="316"/>
    </row>
  </sheetData>
  <mergeCells count="33">
    <mergeCell ref="K38:K39"/>
    <mergeCell ref="J38:J39"/>
    <mergeCell ref="I38:I39"/>
    <mergeCell ref="I35:I37"/>
    <mergeCell ref="K35:K37"/>
    <mergeCell ref="J35:J37"/>
    <mergeCell ref="A4:A5"/>
    <mergeCell ref="J5:J6"/>
    <mergeCell ref="K5:K6"/>
    <mergeCell ref="I5:I6"/>
    <mergeCell ref="F4:F5"/>
    <mergeCell ref="E4:E5"/>
    <mergeCell ref="D4:D5"/>
    <mergeCell ref="C4:C5"/>
    <mergeCell ref="B4:B5"/>
    <mergeCell ref="K11:K16"/>
    <mergeCell ref="J11:J16"/>
    <mergeCell ref="I11:I16"/>
    <mergeCell ref="K7:K10"/>
    <mergeCell ref="J7:J10"/>
    <mergeCell ref="I7:I10"/>
    <mergeCell ref="K22:K28"/>
    <mergeCell ref="J22:J28"/>
    <mergeCell ref="I22:I28"/>
    <mergeCell ref="K17:K21"/>
    <mergeCell ref="J17:J21"/>
    <mergeCell ref="I17:I21"/>
    <mergeCell ref="K29:K31"/>
    <mergeCell ref="J29:J31"/>
    <mergeCell ref="I29:I31"/>
    <mergeCell ref="K32:K34"/>
    <mergeCell ref="J32:J34"/>
    <mergeCell ref="I32:I34"/>
  </mergeCells>
  <phoneticPr fontId="15" type="noConversion"/>
  <hyperlinks>
    <hyperlink ref="F50" location="汇总!A1" display="剩余欠款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N178"/>
  <sheetViews>
    <sheetView zoomScaleSheetLayoutView="100" workbookViewId="0">
      <pane ySplit="1" topLeftCell="A141" activePane="bottomLeft" state="frozen"/>
      <selection activeCell="C33" sqref="C33"/>
      <selection pane="bottomLeft" activeCell="F173" sqref="F173"/>
    </sheetView>
  </sheetViews>
  <sheetFormatPr defaultRowHeight="14.25"/>
  <cols>
    <col min="1" max="1" width="17.5" style="102" customWidth="1"/>
    <col min="2" max="2" width="8.875" style="168" bestFit="1" customWidth="1"/>
    <col min="3" max="3" width="45.75" style="168" bestFit="1" customWidth="1"/>
    <col min="4" max="4" width="18.375" style="102" bestFit="1" customWidth="1"/>
    <col min="5" max="5" width="13.375" style="168" customWidth="1"/>
    <col min="6" max="6" width="11" style="168" customWidth="1"/>
    <col min="7" max="7" width="15.375" style="116" bestFit="1" customWidth="1"/>
    <col min="8" max="8" width="16.625" style="170" bestFit="1" customWidth="1"/>
    <col min="9" max="9" width="14.625" style="102" bestFit="1" customWidth="1"/>
    <col min="10" max="10" width="15" style="102" bestFit="1" customWidth="1"/>
    <col min="11" max="11" width="21.25" style="127" customWidth="1"/>
    <col min="12" max="12" width="28.875" style="189" customWidth="1"/>
    <col min="13" max="13" width="15" style="102" bestFit="1" customWidth="1"/>
    <col min="14" max="16384" width="9" style="102"/>
  </cols>
  <sheetData>
    <row r="1" spans="1:13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7" t="s">
        <v>4099</v>
      </c>
      <c r="I1" s="355" t="s">
        <v>3043</v>
      </c>
      <c r="J1" s="257" t="s">
        <v>4100</v>
      </c>
      <c r="K1" s="1308" t="s">
        <v>541</v>
      </c>
      <c r="L1" s="257" t="s">
        <v>542</v>
      </c>
      <c r="M1" s="102" t="s">
        <v>4103</v>
      </c>
    </row>
    <row r="2" spans="1:13" hidden="1">
      <c r="A2" s="318"/>
      <c r="B2" s="318"/>
      <c r="C2" s="318"/>
      <c r="D2" s="239" t="s">
        <v>1174</v>
      </c>
      <c r="E2" s="537"/>
      <c r="F2" s="537"/>
      <c r="G2" s="137">
        <v>33.14</v>
      </c>
      <c r="H2" s="239"/>
      <c r="I2" s="2248">
        <v>10000</v>
      </c>
      <c r="J2" s="2236" t="s">
        <v>1175</v>
      </c>
      <c r="K2" s="2231" t="s">
        <v>384</v>
      </c>
      <c r="L2" s="126" t="s">
        <v>1176</v>
      </c>
    </row>
    <row r="3" spans="1:13" hidden="1">
      <c r="A3" s="318">
        <v>43511</v>
      </c>
      <c r="B3" s="318"/>
      <c r="C3" s="318"/>
      <c r="D3" s="239" t="s">
        <v>236</v>
      </c>
      <c r="E3" s="537"/>
      <c r="F3" s="537"/>
      <c r="G3" s="137">
        <v>11461.53</v>
      </c>
      <c r="H3" s="239"/>
      <c r="I3" s="2248"/>
      <c r="J3" s="2236"/>
      <c r="K3" s="2231"/>
      <c r="L3" s="126"/>
    </row>
    <row r="4" spans="1:13" hidden="1">
      <c r="A4" s="317" t="s">
        <v>545</v>
      </c>
      <c r="B4" s="317"/>
      <c r="C4" s="317"/>
      <c r="D4" s="239"/>
      <c r="E4" s="537"/>
      <c r="F4" s="537"/>
      <c r="G4" s="137">
        <f>SUM(G2:G3)-I2</f>
        <v>1494.67</v>
      </c>
      <c r="H4" s="239"/>
      <c r="I4" s="2248">
        <v>10000</v>
      </c>
      <c r="J4" s="2236" t="s">
        <v>1177</v>
      </c>
      <c r="K4" s="2231" t="s">
        <v>1080</v>
      </c>
      <c r="L4" s="126"/>
    </row>
    <row r="5" spans="1:13" hidden="1">
      <c r="A5" s="318">
        <v>43525</v>
      </c>
      <c r="B5" s="318"/>
      <c r="C5" s="318"/>
      <c r="D5" s="239" t="s">
        <v>237</v>
      </c>
      <c r="E5" s="537"/>
      <c r="F5" s="537"/>
      <c r="G5" s="137">
        <v>6764.46</v>
      </c>
      <c r="H5" s="239"/>
      <c r="I5" s="2248"/>
      <c r="J5" s="2236"/>
      <c r="K5" s="2231"/>
      <c r="L5" s="126" t="s">
        <v>1178</v>
      </c>
    </row>
    <row r="6" spans="1:13" hidden="1">
      <c r="A6" s="318">
        <v>43539</v>
      </c>
      <c r="B6" s="318"/>
      <c r="C6" s="318"/>
      <c r="D6" s="239" t="s">
        <v>238</v>
      </c>
      <c r="E6" s="537"/>
      <c r="F6" s="537"/>
      <c r="G6" s="137">
        <v>4794.08</v>
      </c>
      <c r="H6" s="239"/>
      <c r="I6" s="2248"/>
      <c r="J6" s="2236"/>
      <c r="K6" s="2231"/>
      <c r="L6" s="126" t="s">
        <v>1179</v>
      </c>
    </row>
    <row r="7" spans="1:13" s="115" customFormat="1" hidden="1">
      <c r="A7" s="317" t="s">
        <v>545</v>
      </c>
      <c r="B7" s="317"/>
      <c r="C7" s="317"/>
      <c r="D7" s="239"/>
      <c r="E7" s="537"/>
      <c r="F7" s="537"/>
      <c r="G7" s="137">
        <f>SUM(G4:G6)-I4</f>
        <v>3053.2100000000009</v>
      </c>
      <c r="H7" s="239"/>
      <c r="I7" s="2248">
        <v>16800</v>
      </c>
      <c r="J7" s="2236" t="s">
        <v>1180</v>
      </c>
      <c r="K7" s="2231" t="s">
        <v>1080</v>
      </c>
      <c r="L7" s="126"/>
    </row>
    <row r="8" spans="1:13" s="115" customFormat="1" hidden="1">
      <c r="A8" s="318">
        <v>43566</v>
      </c>
      <c r="B8" s="318"/>
      <c r="C8" s="318"/>
      <c r="D8" s="239" t="s">
        <v>240</v>
      </c>
      <c r="E8" s="537"/>
      <c r="F8" s="537"/>
      <c r="G8" s="137">
        <v>1004.52</v>
      </c>
      <c r="H8" s="239"/>
      <c r="I8" s="2248"/>
      <c r="J8" s="2236"/>
      <c r="K8" s="2231"/>
      <c r="L8" s="126"/>
    </row>
    <row r="9" spans="1:13" s="115" customFormat="1" hidden="1">
      <c r="A9" s="318">
        <v>43607</v>
      </c>
      <c r="B9" s="318"/>
      <c r="C9" s="318"/>
      <c r="D9" s="239" t="s">
        <v>241</v>
      </c>
      <c r="E9" s="537"/>
      <c r="F9" s="537"/>
      <c r="G9" s="137">
        <v>1782</v>
      </c>
      <c r="H9" s="239"/>
      <c r="I9" s="2248"/>
      <c r="J9" s="2236"/>
      <c r="K9" s="2231"/>
      <c r="L9" s="126"/>
    </row>
    <row r="10" spans="1:13" s="115" customFormat="1" hidden="1">
      <c r="A10" s="318">
        <v>43615</v>
      </c>
      <c r="B10" s="318"/>
      <c r="C10" s="318"/>
      <c r="D10" s="239" t="s">
        <v>242</v>
      </c>
      <c r="E10" s="537"/>
      <c r="F10" s="537"/>
      <c r="G10" s="137">
        <v>-55.34</v>
      </c>
      <c r="H10" s="239"/>
      <c r="I10" s="2248"/>
      <c r="J10" s="2236"/>
      <c r="K10" s="2231"/>
      <c r="L10" s="126" t="s">
        <v>887</v>
      </c>
    </row>
    <row r="11" spans="1:13" s="115" customFormat="1" hidden="1">
      <c r="A11" s="318">
        <v>43615</v>
      </c>
      <c r="B11" s="318"/>
      <c r="C11" s="318"/>
      <c r="D11" s="239" t="s">
        <v>244</v>
      </c>
      <c r="E11" s="537"/>
      <c r="F11" s="537"/>
      <c r="G11" s="137">
        <v>4548.04</v>
      </c>
      <c r="H11" s="239"/>
      <c r="I11" s="2248"/>
      <c r="J11" s="2236"/>
      <c r="K11" s="2231"/>
      <c r="L11" s="126" t="s">
        <v>386</v>
      </c>
    </row>
    <row r="12" spans="1:13" s="115" customFormat="1" hidden="1">
      <c r="A12" s="239" t="s">
        <v>246</v>
      </c>
      <c r="B12" s="1135"/>
      <c r="C12" s="1135"/>
      <c r="D12" s="239" t="s">
        <v>247</v>
      </c>
      <c r="E12" s="537"/>
      <c r="F12" s="537"/>
      <c r="G12" s="137">
        <v>124.32</v>
      </c>
      <c r="H12" s="239"/>
      <c r="I12" s="2248"/>
      <c r="J12" s="2236"/>
      <c r="K12" s="2231"/>
      <c r="L12" s="126" t="s">
        <v>1181</v>
      </c>
    </row>
    <row r="13" spans="1:13" s="115" customFormat="1" hidden="1">
      <c r="A13" s="239" t="s">
        <v>41</v>
      </c>
      <c r="B13" s="1135"/>
      <c r="C13" s="1135"/>
      <c r="D13" s="239" t="s">
        <v>249</v>
      </c>
      <c r="E13" s="537"/>
      <c r="F13" s="537"/>
      <c r="G13" s="137">
        <v>2442.5500000000002</v>
      </c>
      <c r="H13" s="239"/>
      <c r="I13" s="2248"/>
      <c r="J13" s="2236"/>
      <c r="K13" s="2231"/>
      <c r="L13" s="126" t="s">
        <v>386</v>
      </c>
    </row>
    <row r="14" spans="1:13" s="115" customFormat="1" hidden="1">
      <c r="A14" s="239" t="s">
        <v>137</v>
      </c>
      <c r="B14" s="1135"/>
      <c r="C14" s="1135"/>
      <c r="D14" s="239" t="s">
        <v>251</v>
      </c>
      <c r="E14" s="537"/>
      <c r="F14" s="537"/>
      <c r="G14" s="137">
        <v>1025.6300000000001</v>
      </c>
      <c r="H14" s="239"/>
      <c r="I14" s="2248"/>
      <c r="J14" s="2236"/>
      <c r="K14" s="2231"/>
      <c r="L14" s="126" t="s">
        <v>1182</v>
      </c>
    </row>
    <row r="15" spans="1:13" s="115" customFormat="1" hidden="1">
      <c r="A15" s="239" t="s">
        <v>19</v>
      </c>
      <c r="B15" s="1135"/>
      <c r="C15" s="1135"/>
      <c r="D15" s="239" t="s">
        <v>253</v>
      </c>
      <c r="E15" s="537"/>
      <c r="F15" s="537"/>
      <c r="G15" s="137">
        <v>1782</v>
      </c>
      <c r="H15" s="239"/>
      <c r="I15" s="2248"/>
      <c r="J15" s="2236"/>
      <c r="K15" s="2231"/>
      <c r="L15" s="126" t="s">
        <v>1182</v>
      </c>
    </row>
    <row r="16" spans="1:13" s="115" customFormat="1" hidden="1">
      <c r="A16" s="239" t="s">
        <v>142</v>
      </c>
      <c r="B16" s="1135"/>
      <c r="C16" s="1135"/>
      <c r="D16" s="239" t="s">
        <v>254</v>
      </c>
      <c r="E16" s="537"/>
      <c r="F16" s="537"/>
      <c r="G16" s="137">
        <v>1090.53</v>
      </c>
      <c r="H16" s="239"/>
      <c r="I16" s="2248"/>
      <c r="J16" s="2236"/>
      <c r="K16" s="2231"/>
      <c r="L16" s="126" t="s">
        <v>1182</v>
      </c>
    </row>
    <row r="17" spans="1:12" hidden="1">
      <c r="A17" s="239" t="s">
        <v>255</v>
      </c>
      <c r="B17" s="1135"/>
      <c r="C17" s="1135"/>
      <c r="D17" s="239" t="s">
        <v>256</v>
      </c>
      <c r="E17" s="537"/>
      <c r="F17" s="537"/>
      <c r="G17" s="137">
        <v>1878.3</v>
      </c>
      <c r="H17" s="239"/>
      <c r="I17" s="2248">
        <v>6004.32</v>
      </c>
      <c r="J17" s="2236" t="s">
        <v>1183</v>
      </c>
      <c r="K17" s="2231" t="s">
        <v>1184</v>
      </c>
      <c r="L17" s="126" t="s">
        <v>1182</v>
      </c>
    </row>
    <row r="18" spans="1:12" hidden="1">
      <c r="A18" s="239" t="s">
        <v>257</v>
      </c>
      <c r="B18" s="1135"/>
      <c r="C18" s="1135"/>
      <c r="D18" s="239" t="s">
        <v>258</v>
      </c>
      <c r="E18" s="537"/>
      <c r="F18" s="537"/>
      <c r="G18" s="137">
        <v>-224.07</v>
      </c>
      <c r="H18" s="239"/>
      <c r="I18" s="2248"/>
      <c r="J18" s="2236"/>
      <c r="K18" s="2231"/>
      <c r="L18" s="126" t="s">
        <v>887</v>
      </c>
    </row>
    <row r="19" spans="1:12" hidden="1">
      <c r="A19" s="239" t="s">
        <v>896</v>
      </c>
      <c r="B19" s="1135"/>
      <c r="C19" s="1135"/>
      <c r="D19" s="239" t="s">
        <v>1185</v>
      </c>
      <c r="E19" s="537"/>
      <c r="F19" s="537"/>
      <c r="G19" s="137">
        <v>4641.3500000000004</v>
      </c>
      <c r="H19" s="239"/>
      <c r="I19" s="2248"/>
      <c r="J19" s="2236"/>
      <c r="K19" s="2231"/>
      <c r="L19" s="126" t="s">
        <v>400</v>
      </c>
    </row>
    <row r="20" spans="1:12" hidden="1">
      <c r="A20" s="239" t="s">
        <v>545</v>
      </c>
      <c r="B20" s="1135"/>
      <c r="C20" s="1135"/>
      <c r="D20" s="239"/>
      <c r="E20" s="537"/>
      <c r="F20" s="537"/>
      <c r="G20" s="137">
        <v>291.26</v>
      </c>
      <c r="H20" s="239"/>
      <c r="I20" s="2249">
        <v>3815.74</v>
      </c>
      <c r="J20" s="2230">
        <v>44125</v>
      </c>
      <c r="K20" s="2231" t="s">
        <v>1186</v>
      </c>
      <c r="L20" s="126"/>
    </row>
    <row r="21" spans="1:12" hidden="1">
      <c r="A21" s="239" t="s">
        <v>898</v>
      </c>
      <c r="B21" s="1135"/>
      <c r="C21" s="1135"/>
      <c r="D21" s="239" t="s">
        <v>1187</v>
      </c>
      <c r="E21" s="537"/>
      <c r="F21" s="537"/>
      <c r="G21" s="137">
        <v>200.76</v>
      </c>
      <c r="H21" s="239"/>
      <c r="I21" s="2249"/>
      <c r="J21" s="2236"/>
      <c r="K21" s="2231"/>
      <c r="L21" s="126" t="s">
        <v>400</v>
      </c>
    </row>
    <row r="22" spans="1:12" hidden="1">
      <c r="A22" s="239" t="s">
        <v>1188</v>
      </c>
      <c r="B22" s="1135"/>
      <c r="C22" s="1135"/>
      <c r="D22" s="320" t="s">
        <v>1189</v>
      </c>
      <c r="E22" s="320"/>
      <c r="F22" s="320"/>
      <c r="G22" s="137">
        <v>3704.58</v>
      </c>
      <c r="H22" s="239"/>
      <c r="I22" s="2249"/>
      <c r="J22" s="2236"/>
      <c r="K22" s="2231"/>
      <c r="L22" s="126" t="s">
        <v>400</v>
      </c>
    </row>
    <row r="23" spans="1:12" hidden="1">
      <c r="A23" s="239" t="s">
        <v>545</v>
      </c>
      <c r="B23" s="1135"/>
      <c r="C23" s="1135"/>
      <c r="D23" s="239"/>
      <c r="E23" s="537"/>
      <c r="F23" s="537"/>
      <c r="G23" s="137">
        <v>380.86</v>
      </c>
      <c r="H23" s="239"/>
      <c r="I23" s="2249">
        <v>3079.03</v>
      </c>
      <c r="J23" s="2230">
        <v>44125</v>
      </c>
      <c r="K23" s="2231" t="s">
        <v>1190</v>
      </c>
      <c r="L23" s="126"/>
    </row>
    <row r="24" spans="1:12" hidden="1">
      <c r="A24" s="239" t="s">
        <v>898</v>
      </c>
      <c r="B24" s="1135"/>
      <c r="C24" s="1135"/>
      <c r="D24" s="239" t="s">
        <v>1191</v>
      </c>
      <c r="E24" s="537"/>
      <c r="F24" s="537"/>
      <c r="G24" s="137">
        <v>3232.5</v>
      </c>
      <c r="H24" s="239"/>
      <c r="I24" s="2249"/>
      <c r="J24" s="2230"/>
      <c r="K24" s="2231"/>
      <c r="L24" s="126" t="s">
        <v>386</v>
      </c>
    </row>
    <row r="25" spans="1:12" ht="28.5" hidden="1">
      <c r="A25" s="239" t="s">
        <v>545</v>
      </c>
      <c r="B25" s="1135"/>
      <c r="C25" s="1135"/>
      <c r="D25" s="239"/>
      <c r="E25" s="537"/>
      <c r="F25" s="537"/>
      <c r="G25" s="137">
        <v>534.33000000000004</v>
      </c>
      <c r="H25" s="239"/>
      <c r="I25" s="215">
        <v>200.76</v>
      </c>
      <c r="J25" s="244">
        <v>44167</v>
      </c>
      <c r="K25" s="1300" t="s">
        <v>1192</v>
      </c>
      <c r="L25" s="126"/>
    </row>
    <row r="26" spans="1:12" hidden="1">
      <c r="A26" s="239" t="s">
        <v>545</v>
      </c>
      <c r="B26" s="1135"/>
      <c r="C26" s="1135"/>
      <c r="D26" s="239"/>
      <c r="E26" s="537"/>
      <c r="F26" s="537"/>
      <c r="G26" s="137">
        <f>SUM(G25)-I25</f>
        <v>333.57000000000005</v>
      </c>
      <c r="H26" s="239"/>
      <c r="I26" s="2249">
        <v>8299.08</v>
      </c>
      <c r="J26" s="2230">
        <v>44183</v>
      </c>
      <c r="K26" s="2231" t="s">
        <v>1193</v>
      </c>
      <c r="L26" s="126"/>
    </row>
    <row r="27" spans="1:12" hidden="1">
      <c r="A27" s="239" t="s">
        <v>1194</v>
      </c>
      <c r="B27" s="1135"/>
      <c r="C27" s="1135"/>
      <c r="D27" s="239" t="s">
        <v>1195</v>
      </c>
      <c r="E27" s="537"/>
      <c r="F27" s="537"/>
      <c r="G27" s="137">
        <v>1554.02</v>
      </c>
      <c r="H27" s="239"/>
      <c r="I27" s="2249"/>
      <c r="J27" s="2236"/>
      <c r="K27" s="2231"/>
      <c r="L27" s="126" t="s">
        <v>386</v>
      </c>
    </row>
    <row r="28" spans="1:12" hidden="1">
      <c r="A28" s="239" t="s">
        <v>1194</v>
      </c>
      <c r="B28" s="1135"/>
      <c r="C28" s="1135"/>
      <c r="D28" s="239" t="s">
        <v>1196</v>
      </c>
      <c r="E28" s="537"/>
      <c r="F28" s="537"/>
      <c r="G28" s="137">
        <v>-286.82</v>
      </c>
      <c r="H28" s="239"/>
      <c r="I28" s="2249"/>
      <c r="J28" s="2236"/>
      <c r="K28" s="2231"/>
      <c r="L28" s="126"/>
    </row>
    <row r="29" spans="1:12" hidden="1">
      <c r="A29" s="239" t="s">
        <v>1197</v>
      </c>
      <c r="B29" s="1135"/>
      <c r="C29" s="1135"/>
      <c r="D29" s="239" t="s">
        <v>1198</v>
      </c>
      <c r="E29" s="537"/>
      <c r="F29" s="537"/>
      <c r="G29" s="137">
        <v>8974.07</v>
      </c>
      <c r="H29" s="239"/>
      <c r="I29" s="2249"/>
      <c r="J29" s="2236"/>
      <c r="K29" s="2231"/>
      <c r="L29" s="126"/>
    </row>
    <row r="30" spans="1:12" hidden="1">
      <c r="A30" s="236" t="s">
        <v>545</v>
      </c>
      <c r="B30" s="1123"/>
      <c r="C30" s="1123"/>
      <c r="D30" s="118"/>
      <c r="E30" s="118"/>
      <c r="F30" s="118"/>
      <c r="G30" s="356">
        <v>2275.7600000000002</v>
      </c>
      <c r="H30" s="245"/>
      <c r="I30" s="2249">
        <v>14216.4</v>
      </c>
      <c r="J30" s="1879" t="s">
        <v>1199</v>
      </c>
      <c r="K30" s="2070" t="s">
        <v>1200</v>
      </c>
      <c r="L30" s="90"/>
    </row>
    <row r="31" spans="1:12" hidden="1">
      <c r="A31" s="239" t="s">
        <v>903</v>
      </c>
      <c r="B31" s="1135"/>
      <c r="C31" s="1135"/>
      <c r="D31" s="239" t="s">
        <v>1201</v>
      </c>
      <c r="E31" s="537"/>
      <c r="F31" s="537"/>
      <c r="G31" s="137">
        <v>-169.12</v>
      </c>
      <c r="H31" s="239"/>
      <c r="I31" s="2249"/>
      <c r="J31" s="1879"/>
      <c r="K31" s="2070"/>
      <c r="L31" s="126"/>
    </row>
    <row r="32" spans="1:12" hidden="1">
      <c r="A32" s="239" t="s">
        <v>903</v>
      </c>
      <c r="B32" s="1135"/>
      <c r="C32" s="1135"/>
      <c r="D32" s="239" t="s">
        <v>1202</v>
      </c>
      <c r="E32" s="537"/>
      <c r="F32" s="537"/>
      <c r="G32" s="137">
        <v>-232.89</v>
      </c>
      <c r="H32" s="239"/>
      <c r="I32" s="2249"/>
      <c r="J32" s="1879"/>
      <c r="K32" s="2070"/>
      <c r="L32" s="126"/>
    </row>
    <row r="33" spans="1:12" hidden="1">
      <c r="A33" s="239" t="s">
        <v>903</v>
      </c>
      <c r="B33" s="1135"/>
      <c r="C33" s="1135"/>
      <c r="D33" s="239" t="s">
        <v>1203</v>
      </c>
      <c r="E33" s="537"/>
      <c r="F33" s="537"/>
      <c r="G33" s="137">
        <v>-639.07000000000005</v>
      </c>
      <c r="H33" s="239"/>
      <c r="I33" s="2249"/>
      <c r="J33" s="1879"/>
      <c r="K33" s="2070"/>
      <c r="L33" s="126"/>
    </row>
    <row r="34" spans="1:12" hidden="1">
      <c r="A34" s="239" t="s">
        <v>1188</v>
      </c>
      <c r="B34" s="1135"/>
      <c r="C34" s="1135"/>
      <c r="D34" s="239" t="s">
        <v>1204</v>
      </c>
      <c r="E34" s="537"/>
      <c r="F34" s="537"/>
      <c r="G34" s="137">
        <v>37.04</v>
      </c>
      <c r="H34" s="239"/>
      <c r="I34" s="2249"/>
      <c r="J34" s="1879"/>
      <c r="K34" s="2070"/>
      <c r="L34" s="126" t="s">
        <v>1205</v>
      </c>
    </row>
    <row r="35" spans="1:12" hidden="1">
      <c r="A35" s="239" t="s">
        <v>1206</v>
      </c>
      <c r="B35" s="1135"/>
      <c r="C35" s="1135"/>
      <c r="D35" s="239" t="s">
        <v>1207</v>
      </c>
      <c r="E35" s="537"/>
      <c r="F35" s="537"/>
      <c r="G35" s="137">
        <v>4467.67</v>
      </c>
      <c r="H35" s="239"/>
      <c r="I35" s="2249"/>
      <c r="J35" s="1879"/>
      <c r="K35" s="2070"/>
      <c r="L35" s="126" t="s">
        <v>674</v>
      </c>
    </row>
    <row r="36" spans="1:12" hidden="1">
      <c r="A36" s="239" t="s">
        <v>911</v>
      </c>
      <c r="B36" s="1135"/>
      <c r="C36" s="1135"/>
      <c r="D36" s="239" t="s">
        <v>1208</v>
      </c>
      <c r="E36" s="537"/>
      <c r="F36" s="537"/>
      <c r="G36" s="137">
        <v>-678.79</v>
      </c>
      <c r="H36" s="239"/>
      <c r="I36" s="2249"/>
      <c r="J36" s="1879"/>
      <c r="K36" s="2070"/>
      <c r="L36" s="126"/>
    </row>
    <row r="37" spans="1:12" hidden="1">
      <c r="A37" s="239" t="s">
        <v>911</v>
      </c>
      <c r="B37" s="1135"/>
      <c r="C37" s="1135"/>
      <c r="D37" s="239" t="s">
        <v>1209</v>
      </c>
      <c r="E37" s="537"/>
      <c r="F37" s="537"/>
      <c r="G37" s="137">
        <v>-96.74</v>
      </c>
      <c r="H37" s="239"/>
      <c r="I37" s="2249"/>
      <c r="J37" s="1879"/>
      <c r="K37" s="2070"/>
      <c r="L37" s="126"/>
    </row>
    <row r="38" spans="1:12" hidden="1">
      <c r="A38" s="239" t="s">
        <v>1118</v>
      </c>
      <c r="B38" s="1135"/>
      <c r="C38" s="1135"/>
      <c r="D38" s="239" t="s">
        <v>1210</v>
      </c>
      <c r="E38" s="537"/>
      <c r="F38" s="537"/>
      <c r="G38" s="137">
        <v>-127.16</v>
      </c>
      <c r="H38" s="239"/>
      <c r="I38" s="2249"/>
      <c r="J38" s="1879"/>
      <c r="K38" s="2070"/>
      <c r="L38" s="126" t="s">
        <v>1211</v>
      </c>
    </row>
    <row r="39" spans="1:12" hidden="1">
      <c r="A39" s="239" t="s">
        <v>1212</v>
      </c>
      <c r="B39" s="1135"/>
      <c r="C39" s="1135"/>
      <c r="D39" s="239" t="s">
        <v>1213</v>
      </c>
      <c r="E39" s="537"/>
      <c r="F39" s="537"/>
      <c r="G39" s="137">
        <v>1431.46</v>
      </c>
      <c r="H39" s="239"/>
      <c r="I39" s="2249"/>
      <c r="J39" s="1879"/>
      <c r="K39" s="2070"/>
      <c r="L39" s="126" t="s">
        <v>1214</v>
      </c>
    </row>
    <row r="40" spans="1:12" ht="28.5" hidden="1">
      <c r="A40" s="239" t="s">
        <v>1215</v>
      </c>
      <c r="B40" s="1135"/>
      <c r="C40" s="1135"/>
      <c r="D40" s="239" t="s">
        <v>1216</v>
      </c>
      <c r="E40" s="537"/>
      <c r="F40" s="537"/>
      <c r="G40" s="137">
        <v>0</v>
      </c>
      <c r="H40" s="239"/>
      <c r="I40" s="2249"/>
      <c r="J40" s="1879"/>
      <c r="K40" s="1309" t="s">
        <v>1217</v>
      </c>
      <c r="L40" s="126" t="s">
        <v>1218</v>
      </c>
    </row>
    <row r="41" spans="1:12" hidden="1">
      <c r="A41" s="319" t="s">
        <v>757</v>
      </c>
      <c r="B41" s="319"/>
      <c r="C41" s="319"/>
      <c r="D41" s="321" t="s">
        <v>1219</v>
      </c>
      <c r="E41" s="321"/>
      <c r="F41" s="321"/>
      <c r="G41" s="357">
        <v>5578.24</v>
      </c>
      <c r="H41" s="319"/>
      <c r="I41" s="2249"/>
      <c r="J41" s="1879"/>
      <c r="K41" s="1310"/>
      <c r="L41" s="126" t="s">
        <v>1220</v>
      </c>
    </row>
    <row r="42" spans="1:12" hidden="1">
      <c r="A42" s="319" t="s">
        <v>1221</v>
      </c>
      <c r="B42" s="319"/>
      <c r="C42" s="319"/>
      <c r="D42" s="321" t="s">
        <v>1222</v>
      </c>
      <c r="E42" s="321"/>
      <c r="F42" s="321"/>
      <c r="G42" s="357">
        <v>2510.98</v>
      </c>
      <c r="H42" s="319"/>
      <c r="I42" s="2249"/>
      <c r="J42" s="1879"/>
      <c r="K42" s="1310"/>
      <c r="L42" s="126" t="s">
        <v>674</v>
      </c>
    </row>
    <row r="43" spans="1:12" hidden="1">
      <c r="A43" s="319" t="s">
        <v>684</v>
      </c>
      <c r="B43" s="319"/>
      <c r="C43" s="319"/>
      <c r="D43" s="321" t="s">
        <v>1223</v>
      </c>
      <c r="E43" s="321"/>
      <c r="F43" s="321"/>
      <c r="G43" s="357">
        <v>-140</v>
      </c>
      <c r="H43" s="319"/>
      <c r="I43" s="2249"/>
      <c r="J43" s="1879"/>
      <c r="K43" s="1310"/>
      <c r="L43" s="126" t="s">
        <v>1882</v>
      </c>
    </row>
    <row r="44" spans="1:12" hidden="1">
      <c r="A44" s="319"/>
      <c r="B44" s="319"/>
      <c r="C44" s="319"/>
      <c r="D44" s="321"/>
      <c r="E44" s="321"/>
      <c r="F44" s="321"/>
      <c r="G44" s="357"/>
      <c r="H44" s="319"/>
      <c r="I44" s="357"/>
      <c r="J44" s="319"/>
      <c r="K44" s="1310"/>
      <c r="L44" s="322"/>
    </row>
    <row r="45" spans="1:12" ht="20.25" hidden="1">
      <c r="A45" s="319"/>
      <c r="B45" s="319"/>
      <c r="C45" s="319"/>
      <c r="D45" s="179" t="s">
        <v>545</v>
      </c>
      <c r="E45" s="179"/>
      <c r="F45" s="179"/>
      <c r="G45" s="357">
        <f>SUM(G30:G43)-I30</f>
        <v>0.98000000000138243</v>
      </c>
      <c r="H45" s="323"/>
      <c r="I45" s="357"/>
      <c r="J45" s="319"/>
      <c r="K45" s="1310"/>
      <c r="L45" s="322"/>
    </row>
    <row r="46" spans="1:12" hidden="1">
      <c r="A46" s="124"/>
      <c r="B46" s="124"/>
      <c r="C46" s="124"/>
      <c r="D46" s="124"/>
      <c r="E46" s="124"/>
      <c r="F46" s="124"/>
      <c r="G46" s="358"/>
      <c r="H46" s="124"/>
      <c r="I46" s="358"/>
      <c r="J46" s="124"/>
      <c r="K46" s="1311"/>
      <c r="L46" s="186"/>
    </row>
    <row r="47" spans="1:12" hidden="1">
      <c r="A47" s="119"/>
      <c r="B47" s="119"/>
      <c r="C47" s="119"/>
      <c r="D47" s="119"/>
      <c r="E47" s="119"/>
      <c r="F47" s="119"/>
      <c r="G47" s="188"/>
      <c r="H47" s="119"/>
      <c r="I47" s="188"/>
      <c r="J47" s="119"/>
      <c r="K47" s="1312"/>
      <c r="L47" s="187"/>
    </row>
    <row r="48" spans="1:12" hidden="1">
      <c r="A48" s="119"/>
      <c r="B48" s="119"/>
      <c r="C48" s="119"/>
      <c r="D48" s="119"/>
      <c r="E48" s="119"/>
      <c r="F48" s="119"/>
      <c r="G48" s="188"/>
      <c r="H48" s="119"/>
      <c r="I48" s="188"/>
      <c r="J48" s="119"/>
      <c r="K48" s="1312"/>
      <c r="L48" s="187"/>
    </row>
    <row r="49" spans="1:12" s="168" customFormat="1" ht="18.75" hidden="1">
      <c r="A49" s="255" t="s">
        <v>536</v>
      </c>
      <c r="B49" s="255"/>
      <c r="C49" s="255"/>
      <c r="D49" s="257" t="s">
        <v>2150</v>
      </c>
      <c r="E49" s="257" t="s">
        <v>2718</v>
      </c>
      <c r="F49" s="510" t="s">
        <v>2719</v>
      </c>
      <c r="G49" s="256" t="s">
        <v>2721</v>
      </c>
      <c r="H49" s="256" t="s">
        <v>4099</v>
      </c>
      <c r="I49" s="355" t="s">
        <v>3043</v>
      </c>
      <c r="J49" s="257" t="s">
        <v>4100</v>
      </c>
      <c r="K49" s="1308" t="s">
        <v>541</v>
      </c>
      <c r="L49" s="256" t="s">
        <v>542</v>
      </c>
    </row>
    <row r="50" spans="1:12" hidden="1">
      <c r="A50" s="247">
        <v>44276.999490740738</v>
      </c>
      <c r="B50" s="1141"/>
      <c r="C50" s="1141"/>
      <c r="D50" s="236" t="s">
        <v>1224</v>
      </c>
      <c r="E50" s="534"/>
      <c r="F50" s="534"/>
      <c r="G50" s="143">
        <v>6679.0460000000003</v>
      </c>
      <c r="H50" s="247">
        <v>44287</v>
      </c>
      <c r="I50" s="2250">
        <f>6445+0.91</f>
        <v>6445.91</v>
      </c>
      <c r="J50" s="2087">
        <v>44417</v>
      </c>
      <c r="K50" s="2242" t="s">
        <v>1225</v>
      </c>
      <c r="L50" s="118" t="s">
        <v>1883</v>
      </c>
    </row>
    <row r="51" spans="1:12" hidden="1">
      <c r="A51" s="247">
        <v>44280.999490740738</v>
      </c>
      <c r="B51" s="1141"/>
      <c r="C51" s="1141"/>
      <c r="D51" s="236" t="s">
        <v>1226</v>
      </c>
      <c r="E51" s="534"/>
      <c r="F51" s="534"/>
      <c r="G51" s="143">
        <v>-331.03</v>
      </c>
      <c r="H51" s="247" t="s">
        <v>1529</v>
      </c>
      <c r="I51" s="2250"/>
      <c r="J51" s="2087"/>
      <c r="K51" s="2242"/>
      <c r="L51" s="118" t="s">
        <v>1884</v>
      </c>
    </row>
    <row r="52" spans="1:12" hidden="1">
      <c r="A52" s="247">
        <v>44280.999490740738</v>
      </c>
      <c r="B52" s="1141"/>
      <c r="C52" s="1141"/>
      <c r="D52" s="236" t="s">
        <v>1227</v>
      </c>
      <c r="E52" s="534"/>
      <c r="F52" s="534"/>
      <c r="G52" s="143">
        <v>-141.85499999999999</v>
      </c>
      <c r="H52" s="247" t="s">
        <v>1529</v>
      </c>
      <c r="I52" s="2250"/>
      <c r="J52" s="2087"/>
      <c r="K52" s="2242"/>
      <c r="L52" s="118" t="s">
        <v>1884</v>
      </c>
    </row>
    <row r="53" spans="1:12" hidden="1">
      <c r="A53" s="247">
        <v>44280.999490740738</v>
      </c>
      <c r="B53" s="1141"/>
      <c r="C53" s="1141"/>
      <c r="D53" s="236" t="s">
        <v>1228</v>
      </c>
      <c r="E53" s="534"/>
      <c r="F53" s="534"/>
      <c r="G53" s="143">
        <v>-539.14</v>
      </c>
      <c r="H53" s="247" t="s">
        <v>1529</v>
      </c>
      <c r="I53" s="2250"/>
      <c r="J53" s="2087"/>
      <c r="K53" s="2242"/>
      <c r="L53" s="118" t="s">
        <v>1884</v>
      </c>
    </row>
    <row r="54" spans="1:12" hidden="1">
      <c r="A54" s="247">
        <v>44280.999490740738</v>
      </c>
      <c r="B54" s="1141"/>
      <c r="C54" s="1141"/>
      <c r="D54" s="236" t="s">
        <v>1229</v>
      </c>
      <c r="E54" s="534"/>
      <c r="F54" s="534"/>
      <c r="G54" s="143">
        <v>-505.36500000000001</v>
      </c>
      <c r="H54" s="247" t="s">
        <v>1529</v>
      </c>
      <c r="I54" s="2250"/>
      <c r="J54" s="2087"/>
      <c r="K54" s="2242"/>
      <c r="L54" s="118" t="s">
        <v>1885</v>
      </c>
    </row>
    <row r="55" spans="1:12" hidden="1">
      <c r="A55" s="247">
        <v>44280.999490740738</v>
      </c>
      <c r="B55" s="1141"/>
      <c r="C55" s="1141"/>
      <c r="D55" s="236" t="s">
        <v>1230</v>
      </c>
      <c r="E55" s="534"/>
      <c r="F55" s="534"/>
      <c r="G55" s="143">
        <v>-252</v>
      </c>
      <c r="H55" s="247" t="s">
        <v>1529</v>
      </c>
      <c r="I55" s="2250"/>
      <c r="J55" s="2087"/>
      <c r="K55" s="2242"/>
      <c r="L55" s="118" t="s">
        <v>1884</v>
      </c>
    </row>
    <row r="56" spans="1:12" hidden="1">
      <c r="A56" s="247">
        <v>44280.999490740738</v>
      </c>
      <c r="B56" s="1141"/>
      <c r="C56" s="1141"/>
      <c r="D56" s="236" t="s">
        <v>1231</v>
      </c>
      <c r="E56" s="534"/>
      <c r="F56" s="534"/>
      <c r="G56" s="143">
        <v>-1497.23</v>
      </c>
      <c r="H56" s="247" t="s">
        <v>1529</v>
      </c>
      <c r="I56" s="2250"/>
      <c r="J56" s="2087"/>
      <c r="K56" s="2242"/>
      <c r="L56" s="118" t="s">
        <v>1884</v>
      </c>
    </row>
    <row r="57" spans="1:12" hidden="1">
      <c r="A57" s="247">
        <v>44280.999490740738</v>
      </c>
      <c r="B57" s="1141"/>
      <c r="C57" s="1141"/>
      <c r="D57" s="236" t="s">
        <v>1232</v>
      </c>
      <c r="E57" s="534"/>
      <c r="F57" s="534"/>
      <c r="G57" s="143">
        <v>-196</v>
      </c>
      <c r="H57" s="247" t="s">
        <v>1529</v>
      </c>
      <c r="I57" s="2250"/>
      <c r="J57" s="2087"/>
      <c r="K57" s="2242"/>
      <c r="L57" s="118" t="s">
        <v>1884</v>
      </c>
    </row>
    <row r="58" spans="1:12" hidden="1">
      <c r="A58" s="247">
        <v>44280.999490740738</v>
      </c>
      <c r="B58" s="1141"/>
      <c r="C58" s="1141"/>
      <c r="D58" s="236" t="s">
        <v>1233</v>
      </c>
      <c r="E58" s="534"/>
      <c r="F58" s="534"/>
      <c r="G58" s="143">
        <v>-378</v>
      </c>
      <c r="H58" s="247" t="s">
        <v>1529</v>
      </c>
      <c r="I58" s="2250"/>
      <c r="J58" s="2087"/>
      <c r="K58" s="2242"/>
      <c r="L58" s="118" t="s">
        <v>1884</v>
      </c>
    </row>
    <row r="59" spans="1:12" hidden="1">
      <c r="A59" s="247">
        <v>44280.999490740738</v>
      </c>
      <c r="B59" s="1141"/>
      <c r="C59" s="1141"/>
      <c r="D59" s="236" t="s">
        <v>1234</v>
      </c>
      <c r="E59" s="534"/>
      <c r="F59" s="534"/>
      <c r="G59" s="143">
        <v>-117.495</v>
      </c>
      <c r="H59" s="247" t="s">
        <v>1529</v>
      </c>
      <c r="I59" s="2250"/>
      <c r="J59" s="2087"/>
      <c r="K59" s="2242"/>
      <c r="L59" s="118" t="s">
        <v>1884</v>
      </c>
    </row>
    <row r="60" spans="1:12" hidden="1">
      <c r="A60" s="247">
        <v>44280.999490740738</v>
      </c>
      <c r="B60" s="1141"/>
      <c r="C60" s="1141"/>
      <c r="D60" s="236" t="s">
        <v>1235</v>
      </c>
      <c r="E60" s="534"/>
      <c r="F60" s="534"/>
      <c r="G60" s="143">
        <v>-602.17499999999995</v>
      </c>
      <c r="H60" s="247" t="s">
        <v>1529</v>
      </c>
      <c r="I60" s="2250"/>
      <c r="J60" s="2087"/>
      <c r="K60" s="2242"/>
      <c r="L60" s="118" t="s">
        <v>1884</v>
      </c>
    </row>
    <row r="61" spans="1:12" hidden="1">
      <c r="A61" s="247">
        <v>44280.999490740738</v>
      </c>
      <c r="B61" s="1141"/>
      <c r="C61" s="1141"/>
      <c r="D61" s="236" t="s">
        <v>1236</v>
      </c>
      <c r="E61" s="534"/>
      <c r="F61" s="534"/>
      <c r="G61" s="143">
        <v>-263.30500000000001</v>
      </c>
      <c r="H61" s="247" t="s">
        <v>1529</v>
      </c>
      <c r="I61" s="2250"/>
      <c r="J61" s="2087"/>
      <c r="K61" s="2242"/>
      <c r="L61" s="118" t="s">
        <v>1884</v>
      </c>
    </row>
    <row r="62" spans="1:12" hidden="1">
      <c r="A62" s="247">
        <v>44280.999490740738</v>
      </c>
      <c r="B62" s="1141"/>
      <c r="C62" s="1141"/>
      <c r="D62" s="236" t="s">
        <v>1237</v>
      </c>
      <c r="E62" s="534"/>
      <c r="F62" s="534"/>
      <c r="G62" s="143">
        <v>-894.005</v>
      </c>
      <c r="H62" s="247" t="s">
        <v>1529</v>
      </c>
      <c r="I62" s="2250"/>
      <c r="J62" s="2087"/>
      <c r="K62" s="2242"/>
      <c r="L62" s="118" t="s">
        <v>1884</v>
      </c>
    </row>
    <row r="63" spans="1:12" hidden="1">
      <c r="A63" s="247">
        <v>44280.999490740738</v>
      </c>
      <c r="B63" s="1141"/>
      <c r="C63" s="1141"/>
      <c r="D63" s="236" t="s">
        <v>1238</v>
      </c>
      <c r="E63" s="534"/>
      <c r="F63" s="534"/>
      <c r="G63" s="143">
        <v>-7</v>
      </c>
      <c r="H63" s="247" t="s">
        <v>1529</v>
      </c>
      <c r="I63" s="2250"/>
      <c r="J63" s="2087"/>
      <c r="K63" s="2242"/>
      <c r="L63" s="118" t="s">
        <v>1884</v>
      </c>
    </row>
    <row r="64" spans="1:12" hidden="1">
      <c r="A64" s="247">
        <v>44280.999490740738</v>
      </c>
      <c r="B64" s="1141"/>
      <c r="C64" s="1141"/>
      <c r="D64" s="236" t="s">
        <v>1239</v>
      </c>
      <c r="E64" s="534"/>
      <c r="F64" s="534"/>
      <c r="G64" s="143">
        <v>-486.22</v>
      </c>
      <c r="H64" s="247" t="s">
        <v>1529</v>
      </c>
      <c r="I64" s="2250"/>
      <c r="J64" s="2087"/>
      <c r="K64" s="2242"/>
      <c r="L64" s="118" t="s">
        <v>1884</v>
      </c>
    </row>
    <row r="65" spans="1:12" hidden="1">
      <c r="A65" s="247">
        <v>44280.999490740738</v>
      </c>
      <c r="B65" s="1141"/>
      <c r="C65" s="1141"/>
      <c r="D65" s="236" t="s">
        <v>1240</v>
      </c>
      <c r="E65" s="534"/>
      <c r="F65" s="534"/>
      <c r="G65" s="143">
        <v>-268.83499999999998</v>
      </c>
      <c r="H65" s="247" t="s">
        <v>1529</v>
      </c>
      <c r="I65" s="2250"/>
      <c r="J65" s="2087"/>
      <c r="K65" s="2242"/>
      <c r="L65" s="118" t="s">
        <v>1884</v>
      </c>
    </row>
    <row r="66" spans="1:12" s="173" customFormat="1" hidden="1">
      <c r="A66" s="247">
        <v>44285</v>
      </c>
      <c r="B66" s="1141"/>
      <c r="C66" s="1141"/>
      <c r="D66" s="236" t="s">
        <v>1241</v>
      </c>
      <c r="E66" s="534"/>
      <c r="F66" s="534"/>
      <c r="G66" s="143">
        <v>-365.01499999999999</v>
      </c>
      <c r="H66" s="247" t="s">
        <v>1529</v>
      </c>
      <c r="I66" s="2250"/>
      <c r="J66" s="2087"/>
      <c r="K66" s="2242"/>
      <c r="L66" s="118" t="s">
        <v>1884</v>
      </c>
    </row>
    <row r="67" spans="1:12" s="173" customFormat="1" hidden="1">
      <c r="A67" s="247">
        <v>44285</v>
      </c>
      <c r="B67" s="1141"/>
      <c r="C67" s="1141"/>
      <c r="D67" s="236" t="s">
        <v>1242</v>
      </c>
      <c r="E67" s="534"/>
      <c r="F67" s="534"/>
      <c r="G67" s="143">
        <v>-452.30500000000001</v>
      </c>
      <c r="H67" s="247" t="s">
        <v>1529</v>
      </c>
      <c r="I67" s="2250"/>
      <c r="J67" s="2087"/>
      <c r="K67" s="2242"/>
      <c r="L67" s="118" t="s">
        <v>1884</v>
      </c>
    </row>
    <row r="68" spans="1:12" s="173" customFormat="1" hidden="1">
      <c r="A68" s="247">
        <v>44285</v>
      </c>
      <c r="B68" s="1141"/>
      <c r="C68" s="1141"/>
      <c r="D68" s="236" t="s">
        <v>1243</v>
      </c>
      <c r="E68" s="534"/>
      <c r="F68" s="534"/>
      <c r="G68" s="143">
        <v>-17.920000000000002</v>
      </c>
      <c r="H68" s="247" t="s">
        <v>1529</v>
      </c>
      <c r="I68" s="2250"/>
      <c r="J68" s="2087"/>
      <c r="K68" s="2242"/>
      <c r="L68" s="118" t="s">
        <v>1884</v>
      </c>
    </row>
    <row r="69" spans="1:12" s="173" customFormat="1" hidden="1">
      <c r="A69" s="247">
        <v>44285</v>
      </c>
      <c r="B69" s="1141"/>
      <c r="C69" s="1141"/>
      <c r="D69" s="236" t="s">
        <v>1244</v>
      </c>
      <c r="E69" s="534"/>
      <c r="F69" s="534"/>
      <c r="G69" s="143">
        <v>-138.46</v>
      </c>
      <c r="H69" s="247" t="s">
        <v>1529</v>
      </c>
      <c r="I69" s="2250"/>
      <c r="J69" s="2087"/>
      <c r="K69" s="2242"/>
      <c r="L69" s="118" t="s">
        <v>1884</v>
      </c>
    </row>
    <row r="70" spans="1:12" s="173" customFormat="1" hidden="1">
      <c r="A70" s="247">
        <v>44285</v>
      </c>
      <c r="B70" s="1141"/>
      <c r="C70" s="1141"/>
      <c r="D70" s="236" t="s">
        <v>1245</v>
      </c>
      <c r="E70" s="534"/>
      <c r="F70" s="534"/>
      <c r="G70" s="143">
        <v>-15.19</v>
      </c>
      <c r="H70" s="247" t="s">
        <v>1529</v>
      </c>
      <c r="I70" s="2250"/>
      <c r="J70" s="2087"/>
      <c r="K70" s="2242"/>
      <c r="L70" s="118" t="s">
        <v>1884</v>
      </c>
    </row>
    <row r="71" spans="1:12" s="173" customFormat="1" hidden="1">
      <c r="A71" s="247">
        <v>44285</v>
      </c>
      <c r="B71" s="1141"/>
      <c r="C71" s="1141"/>
      <c r="D71" s="236" t="s">
        <v>1246</v>
      </c>
      <c r="E71" s="534"/>
      <c r="F71" s="534"/>
      <c r="G71" s="143">
        <v>-287</v>
      </c>
      <c r="H71" s="247" t="s">
        <v>1529</v>
      </c>
      <c r="I71" s="2250"/>
      <c r="J71" s="2087"/>
      <c r="K71" s="2242"/>
      <c r="L71" s="118" t="s">
        <v>1884</v>
      </c>
    </row>
    <row r="72" spans="1:12" s="173" customFormat="1" hidden="1">
      <c r="A72" s="247">
        <v>44285</v>
      </c>
      <c r="B72" s="1141"/>
      <c r="C72" s="1141"/>
      <c r="D72" s="236" t="s">
        <v>1247</v>
      </c>
      <c r="E72" s="534"/>
      <c r="F72" s="534"/>
      <c r="G72" s="143">
        <v>-503.685</v>
      </c>
      <c r="H72" s="247" t="s">
        <v>1529</v>
      </c>
      <c r="I72" s="2250"/>
      <c r="J72" s="2087"/>
      <c r="K72" s="2242"/>
      <c r="L72" s="118" t="s">
        <v>1884</v>
      </c>
    </row>
    <row r="73" spans="1:12" s="173" customFormat="1" hidden="1">
      <c r="A73" s="247">
        <v>44285</v>
      </c>
      <c r="B73" s="1141"/>
      <c r="C73" s="1141"/>
      <c r="D73" s="236" t="s">
        <v>1248</v>
      </c>
      <c r="E73" s="534"/>
      <c r="F73" s="534"/>
      <c r="G73" s="143">
        <v>-36.33</v>
      </c>
      <c r="H73" s="247" t="s">
        <v>1529</v>
      </c>
      <c r="I73" s="2250"/>
      <c r="J73" s="2087"/>
      <c r="K73" s="2242"/>
      <c r="L73" s="118" t="s">
        <v>1884</v>
      </c>
    </row>
    <row r="74" spans="1:12" hidden="1">
      <c r="A74" s="247">
        <v>44330</v>
      </c>
      <c r="B74" s="1141"/>
      <c r="C74" s="1141"/>
      <c r="D74" s="236" t="s">
        <v>1249</v>
      </c>
      <c r="E74" s="534"/>
      <c r="F74" s="534"/>
      <c r="G74" s="143">
        <v>-712.78</v>
      </c>
      <c r="H74" s="247" t="s">
        <v>1529</v>
      </c>
      <c r="I74" s="2250"/>
      <c r="J74" s="2087"/>
      <c r="K74" s="2242"/>
      <c r="L74" s="118" t="s">
        <v>1884</v>
      </c>
    </row>
    <row r="75" spans="1:12" hidden="1">
      <c r="A75" s="247">
        <v>44330</v>
      </c>
      <c r="B75" s="1141"/>
      <c r="C75" s="1141"/>
      <c r="D75" s="236" t="s">
        <v>1250</v>
      </c>
      <c r="E75" s="534"/>
      <c r="F75" s="534"/>
      <c r="G75" s="143">
        <v>-288.54000000000002</v>
      </c>
      <c r="H75" s="247" t="s">
        <v>1529</v>
      </c>
      <c r="I75" s="2250"/>
      <c r="J75" s="2087"/>
      <c r="K75" s="2242"/>
      <c r="L75" s="118" t="s">
        <v>1884</v>
      </c>
    </row>
    <row r="76" spans="1:12" hidden="1">
      <c r="A76" s="247">
        <v>44337</v>
      </c>
      <c r="B76" s="1141"/>
      <c r="C76" s="1141"/>
      <c r="D76" s="236" t="s">
        <v>1251</v>
      </c>
      <c r="E76" s="534"/>
      <c r="F76" s="534"/>
      <c r="G76" s="143">
        <v>3195.7</v>
      </c>
      <c r="H76" s="247">
        <v>44349</v>
      </c>
      <c r="I76" s="2250"/>
      <c r="J76" s="2087"/>
      <c r="K76" s="2242"/>
      <c r="L76" s="118" t="s">
        <v>1886</v>
      </c>
    </row>
    <row r="77" spans="1:12" hidden="1">
      <c r="A77" s="247">
        <v>44369</v>
      </c>
      <c r="B77" s="1141"/>
      <c r="C77" s="1141"/>
      <c r="D77" s="236" t="s">
        <v>1253</v>
      </c>
      <c r="E77" s="534"/>
      <c r="F77" s="534"/>
      <c r="G77" s="143">
        <v>1498.54</v>
      </c>
      <c r="H77" s="247">
        <v>44379</v>
      </c>
      <c r="I77" s="2250"/>
      <c r="J77" s="2087"/>
      <c r="K77" s="2242"/>
      <c r="L77" s="118" t="s">
        <v>1886</v>
      </c>
    </row>
    <row r="78" spans="1:12" hidden="1">
      <c r="A78" s="247">
        <v>44382</v>
      </c>
      <c r="B78" s="1141"/>
      <c r="C78" s="1141"/>
      <c r="D78" s="236" t="s">
        <v>1254</v>
      </c>
      <c r="E78" s="534"/>
      <c r="F78" s="534"/>
      <c r="G78" s="143">
        <v>339.96</v>
      </c>
      <c r="H78" s="247">
        <v>44409</v>
      </c>
      <c r="I78" s="2250"/>
      <c r="J78" s="2087"/>
      <c r="K78" s="2242"/>
      <c r="L78" s="118" t="s">
        <v>1886</v>
      </c>
    </row>
    <row r="79" spans="1:12" hidden="1">
      <c r="A79" s="247">
        <v>44389</v>
      </c>
      <c r="B79" s="1141"/>
      <c r="C79" s="1141"/>
      <c r="D79" s="236" t="s">
        <v>1255</v>
      </c>
      <c r="E79" s="534"/>
      <c r="F79" s="534"/>
      <c r="G79" s="143">
        <v>2197.8000000000002</v>
      </c>
      <c r="H79" s="247">
        <v>44409</v>
      </c>
      <c r="I79" s="2250"/>
      <c r="J79" s="2087"/>
      <c r="K79" s="2242"/>
      <c r="L79" s="118" t="s">
        <v>1886</v>
      </c>
    </row>
    <row r="80" spans="1:12" hidden="1">
      <c r="A80" s="247">
        <v>44399</v>
      </c>
      <c r="B80" s="1141"/>
      <c r="C80" s="1141"/>
      <c r="D80" s="236" t="s">
        <v>1256</v>
      </c>
      <c r="E80" s="534"/>
      <c r="F80" s="534"/>
      <c r="G80" s="143">
        <v>1831.75</v>
      </c>
      <c r="H80" s="247">
        <v>44409</v>
      </c>
      <c r="I80" s="2250"/>
      <c r="J80" s="2087"/>
      <c r="K80" s="2242"/>
      <c r="L80" s="118" t="s">
        <v>1886</v>
      </c>
    </row>
    <row r="81" spans="1:13" hidden="1">
      <c r="A81" s="247">
        <v>44414</v>
      </c>
      <c r="B81" s="1141"/>
      <c r="C81" s="1141"/>
      <c r="D81" s="236" t="s">
        <v>1257</v>
      </c>
      <c r="E81" s="534"/>
      <c r="F81" s="534"/>
      <c r="G81" s="143">
        <v>3990.44</v>
      </c>
      <c r="H81" s="247">
        <v>44440</v>
      </c>
      <c r="I81" s="2249">
        <v>7022.42</v>
      </c>
      <c r="J81" s="2158">
        <v>44487</v>
      </c>
      <c r="K81" s="2070" t="s">
        <v>1872</v>
      </c>
      <c r="L81" s="118" t="s">
        <v>1887</v>
      </c>
    </row>
    <row r="82" spans="1:13" hidden="1">
      <c r="A82" s="247">
        <v>44446</v>
      </c>
      <c r="B82" s="1141"/>
      <c r="C82" s="1141"/>
      <c r="D82" s="236" t="s">
        <v>1258</v>
      </c>
      <c r="E82" s="534"/>
      <c r="F82" s="534"/>
      <c r="G82" s="143">
        <v>3588.2</v>
      </c>
      <c r="H82" s="247">
        <v>44471</v>
      </c>
      <c r="I82" s="2249"/>
      <c r="J82" s="2158"/>
      <c r="K82" s="2070"/>
      <c r="L82" s="90"/>
    </row>
    <row r="83" spans="1:13" hidden="1">
      <c r="A83" s="247">
        <v>44467</v>
      </c>
      <c r="B83" s="1141"/>
      <c r="C83" s="1141"/>
      <c r="D83" s="236" t="s">
        <v>1259</v>
      </c>
      <c r="E83" s="534"/>
      <c r="F83" s="534"/>
      <c r="G83" s="143">
        <v>-541.55999999999995</v>
      </c>
      <c r="H83" s="247" t="s">
        <v>1529</v>
      </c>
      <c r="I83" s="2249"/>
      <c r="J83" s="2158"/>
      <c r="K83" s="2070"/>
      <c r="L83" s="90"/>
    </row>
    <row r="84" spans="1:13" hidden="1">
      <c r="A84" s="247">
        <v>44467</v>
      </c>
      <c r="B84" s="1141"/>
      <c r="C84" s="1141"/>
      <c r="D84" s="236" t="s">
        <v>1260</v>
      </c>
      <c r="E84" s="534"/>
      <c r="F84" s="534"/>
      <c r="G84" s="143">
        <v>-13.27</v>
      </c>
      <c r="H84" s="247" t="s">
        <v>1529</v>
      </c>
      <c r="I84" s="2249"/>
      <c r="J84" s="2158"/>
      <c r="K84" s="2070"/>
      <c r="L84" s="90"/>
    </row>
    <row r="85" spans="1:13" hidden="1">
      <c r="A85" s="247">
        <v>44468</v>
      </c>
      <c r="B85" s="1141"/>
      <c r="C85" s="1141"/>
      <c r="D85" s="236" t="s">
        <v>1261</v>
      </c>
      <c r="E85" s="534"/>
      <c r="F85" s="534"/>
      <c r="G85" s="143">
        <v>-1.4</v>
      </c>
      <c r="H85" s="247" t="s">
        <v>1529</v>
      </c>
      <c r="I85" s="2249"/>
      <c r="J85" s="2158"/>
      <c r="K85" s="2070"/>
      <c r="L85" s="90"/>
    </row>
    <row r="86" spans="1:13" hidden="1">
      <c r="A86" s="247"/>
      <c r="B86" s="1141"/>
      <c r="C86" s="1141"/>
      <c r="D86" s="236" t="s">
        <v>1855</v>
      </c>
      <c r="E86" s="534"/>
      <c r="F86" s="534"/>
      <c r="G86" s="143">
        <v>0</v>
      </c>
      <c r="H86" s="247"/>
      <c r="I86" s="2249">
        <v>5879.25</v>
      </c>
      <c r="J86" s="2158">
        <v>44543</v>
      </c>
      <c r="K86" s="2070" t="s">
        <v>1872</v>
      </c>
      <c r="L86" s="90"/>
    </row>
    <row r="87" spans="1:13" hidden="1">
      <c r="A87" s="247">
        <v>44477</v>
      </c>
      <c r="B87" s="1141"/>
      <c r="C87" s="1141"/>
      <c r="D87" s="236"/>
      <c r="E87" s="534"/>
      <c r="F87" s="534"/>
      <c r="G87" s="143">
        <v>-2.8</v>
      </c>
      <c r="H87" s="247"/>
      <c r="I87" s="2249"/>
      <c r="J87" s="2158"/>
      <c r="K87" s="2070"/>
      <c r="L87" s="90"/>
    </row>
    <row r="88" spans="1:13" hidden="1">
      <c r="A88" s="247">
        <v>44477</v>
      </c>
      <c r="B88" s="1141"/>
      <c r="C88" s="1141"/>
      <c r="D88" s="236"/>
      <c r="E88" s="534"/>
      <c r="F88" s="534"/>
      <c r="G88" s="143">
        <v>-114.96</v>
      </c>
      <c r="H88" s="247"/>
      <c r="I88" s="2249"/>
      <c r="J88" s="2158"/>
      <c r="K88" s="2070"/>
      <c r="L88" s="90"/>
    </row>
    <row r="89" spans="1:13" hidden="1">
      <c r="A89" s="247">
        <v>44490</v>
      </c>
      <c r="B89" s="1141"/>
      <c r="C89" s="1141"/>
      <c r="D89" s="236" t="s">
        <v>1262</v>
      </c>
      <c r="E89" s="534"/>
      <c r="F89" s="534"/>
      <c r="G89" s="143">
        <v>3342.76</v>
      </c>
      <c r="H89" s="247">
        <v>44501</v>
      </c>
      <c r="I89" s="2249"/>
      <c r="J89" s="2158"/>
      <c r="K89" s="2070"/>
      <c r="L89" s="90"/>
    </row>
    <row r="90" spans="1:13" hidden="1">
      <c r="A90" s="247">
        <v>44523</v>
      </c>
      <c r="B90" s="1141"/>
      <c r="C90" s="1141"/>
      <c r="D90" s="236" t="s">
        <v>1263</v>
      </c>
      <c r="E90" s="534"/>
      <c r="F90" s="534"/>
      <c r="G90" s="143">
        <v>2654.25</v>
      </c>
      <c r="H90" s="247">
        <v>44532</v>
      </c>
      <c r="I90" s="2249"/>
      <c r="J90" s="2158"/>
      <c r="K90" s="2070"/>
      <c r="L90" s="90"/>
    </row>
    <row r="91" spans="1:13" ht="15">
      <c r="A91" s="2251" t="s">
        <v>3103</v>
      </c>
      <c r="B91" s="2252"/>
      <c r="C91" s="2252"/>
      <c r="D91" s="2252"/>
      <c r="E91" s="2253"/>
      <c r="F91" s="621" t="s">
        <v>3098</v>
      </c>
      <c r="G91" s="672">
        <f>SUM(G86:G90)-I86</f>
        <v>0</v>
      </c>
      <c r="H91" s="632"/>
      <c r="I91" s="730"/>
      <c r="J91" s="620"/>
      <c r="K91" s="1295"/>
      <c r="L91" s="90"/>
    </row>
    <row r="92" spans="1:13" ht="15">
      <c r="A92" s="632">
        <v>44539</v>
      </c>
      <c r="B92" s="1124" t="s">
        <v>4134</v>
      </c>
      <c r="C92" s="1124" t="s">
        <v>4412</v>
      </c>
      <c r="D92" s="621" t="s">
        <v>1264</v>
      </c>
      <c r="E92" s="611">
        <v>1650.55</v>
      </c>
      <c r="F92" s="731">
        <v>0</v>
      </c>
      <c r="G92" s="672">
        <v>1650.55</v>
      </c>
      <c r="H92" s="632">
        <v>44592</v>
      </c>
      <c r="I92" s="2036">
        <v>6741.9</v>
      </c>
      <c r="J92" s="1948">
        <v>44623</v>
      </c>
      <c r="K92" s="2070" t="s">
        <v>2826</v>
      </c>
      <c r="L92" s="90"/>
    </row>
    <row r="93" spans="1:13" ht="15">
      <c r="A93" s="632">
        <v>44557</v>
      </c>
      <c r="B93" s="1124" t="s">
        <v>4134</v>
      </c>
      <c r="C93" s="1124" t="s">
        <v>4412</v>
      </c>
      <c r="D93" s="621" t="s">
        <v>1265</v>
      </c>
      <c r="E93" s="611">
        <v>1252.1400000000001</v>
      </c>
      <c r="F93" s="731">
        <v>0</v>
      </c>
      <c r="G93" s="672">
        <v>1252.1400000000001</v>
      </c>
      <c r="H93" s="632">
        <v>44587</v>
      </c>
      <c r="I93" s="2036"/>
      <c r="J93" s="1948"/>
      <c r="K93" s="2070"/>
      <c r="L93" s="90"/>
    </row>
    <row r="94" spans="1:13" ht="15">
      <c r="A94" s="632">
        <v>44578</v>
      </c>
      <c r="B94" s="1124" t="s">
        <v>4134</v>
      </c>
      <c r="C94" s="1124" t="s">
        <v>4412</v>
      </c>
      <c r="D94" s="621" t="s">
        <v>1266</v>
      </c>
      <c r="E94" s="611">
        <v>3839.21</v>
      </c>
      <c r="F94" s="731">
        <v>0</v>
      </c>
      <c r="G94" s="672">
        <v>3839.21</v>
      </c>
      <c r="H94" s="632">
        <v>44596</v>
      </c>
      <c r="I94" s="2036"/>
      <c r="J94" s="1948"/>
      <c r="K94" s="2070"/>
      <c r="L94" s="90"/>
      <c r="M94" s="168"/>
    </row>
    <row r="95" spans="1:13" ht="15">
      <c r="A95" s="632">
        <v>44585</v>
      </c>
      <c r="B95" s="1124" t="s">
        <v>4134</v>
      </c>
      <c r="C95" s="1124" t="s">
        <v>4412</v>
      </c>
      <c r="D95" s="615" t="s">
        <v>2389</v>
      </c>
      <c r="E95" s="611">
        <v>5586.87</v>
      </c>
      <c r="F95" s="731">
        <v>0</v>
      </c>
      <c r="G95" s="748">
        <v>5586.87</v>
      </c>
      <c r="H95" s="632">
        <v>44593</v>
      </c>
      <c r="I95" s="1923">
        <v>23113.63</v>
      </c>
      <c r="J95" s="1918">
        <v>44746</v>
      </c>
      <c r="K95" s="1956" t="s">
        <v>2428</v>
      </c>
      <c r="L95" s="118"/>
      <c r="M95" s="168"/>
    </row>
    <row r="96" spans="1:13" ht="15">
      <c r="A96" s="632">
        <v>44600</v>
      </c>
      <c r="B96" s="1124" t="s">
        <v>4134</v>
      </c>
      <c r="C96" s="1124" t="s">
        <v>4412</v>
      </c>
      <c r="D96" s="615" t="s">
        <v>1267</v>
      </c>
      <c r="E96" s="611">
        <v>880.92</v>
      </c>
      <c r="F96" s="731">
        <v>0</v>
      </c>
      <c r="G96" s="748">
        <v>880.92</v>
      </c>
      <c r="H96" s="632">
        <v>44622</v>
      </c>
      <c r="I96" s="1961"/>
      <c r="J96" s="1919"/>
      <c r="K96" s="2028"/>
      <c r="L96" s="118"/>
      <c r="M96" s="168"/>
    </row>
    <row r="97" spans="1:13" ht="15">
      <c r="A97" s="632">
        <v>44613</v>
      </c>
      <c r="B97" s="1124" t="s">
        <v>4134</v>
      </c>
      <c r="C97" s="1124" t="s">
        <v>4412</v>
      </c>
      <c r="D97" s="615" t="s">
        <v>1268</v>
      </c>
      <c r="E97" s="611">
        <v>597.36</v>
      </c>
      <c r="F97" s="731">
        <v>0</v>
      </c>
      <c r="G97" s="748">
        <v>597.36</v>
      </c>
      <c r="H97" s="632">
        <v>44621</v>
      </c>
      <c r="I97" s="1961"/>
      <c r="J97" s="1919"/>
      <c r="K97" s="2028"/>
      <c r="L97" s="118"/>
      <c r="M97" s="168"/>
    </row>
    <row r="98" spans="1:13" ht="15">
      <c r="A98" s="632">
        <v>44629</v>
      </c>
      <c r="B98" s="1124" t="s">
        <v>4134</v>
      </c>
      <c r="C98" s="1124" t="s">
        <v>4412</v>
      </c>
      <c r="D98" s="615" t="s">
        <v>1269</v>
      </c>
      <c r="E98" s="611">
        <v>3574.98</v>
      </c>
      <c r="F98" s="731">
        <v>0</v>
      </c>
      <c r="G98" s="748">
        <v>3574.98</v>
      </c>
      <c r="H98" s="632">
        <v>44659</v>
      </c>
      <c r="I98" s="1961"/>
      <c r="J98" s="1919"/>
      <c r="K98" s="2028"/>
      <c r="L98" s="118"/>
      <c r="M98" s="168"/>
    </row>
    <row r="99" spans="1:13" s="168" customFormat="1" ht="15">
      <c r="A99" s="632">
        <v>44655</v>
      </c>
      <c r="B99" s="1124" t="s">
        <v>4134</v>
      </c>
      <c r="C99" s="1124" t="s">
        <v>4412</v>
      </c>
      <c r="D99" s="615" t="s">
        <v>1888</v>
      </c>
      <c r="E99" s="611">
        <v>2081.59</v>
      </c>
      <c r="F99" s="731">
        <v>0</v>
      </c>
      <c r="G99" s="748">
        <v>2081.59</v>
      </c>
      <c r="H99" s="632">
        <v>44685</v>
      </c>
      <c r="I99" s="1961"/>
      <c r="J99" s="1919"/>
      <c r="K99" s="2028"/>
      <c r="L99" s="118"/>
    </row>
    <row r="100" spans="1:13" s="168" customFormat="1" ht="15">
      <c r="A100" s="632">
        <v>44655</v>
      </c>
      <c r="B100" s="1124" t="s">
        <v>4134</v>
      </c>
      <c r="C100" s="1124" t="s">
        <v>4412</v>
      </c>
      <c r="D100" s="615" t="s">
        <v>1889</v>
      </c>
      <c r="E100" s="611">
        <v>2994.61</v>
      </c>
      <c r="F100" s="731">
        <v>0</v>
      </c>
      <c r="G100" s="748">
        <v>2994.61</v>
      </c>
      <c r="H100" s="632">
        <v>44685</v>
      </c>
      <c r="I100" s="1961"/>
      <c r="J100" s="1919"/>
      <c r="K100" s="2028"/>
      <c r="L100" s="118"/>
    </row>
    <row r="101" spans="1:13" s="168" customFormat="1" ht="15">
      <c r="A101" s="632">
        <v>44670.000497685185</v>
      </c>
      <c r="B101" s="1124" t="s">
        <v>4134</v>
      </c>
      <c r="C101" s="1124" t="s">
        <v>4412</v>
      </c>
      <c r="D101" s="615" t="s">
        <v>1962</v>
      </c>
      <c r="E101" s="611">
        <v>-297.64</v>
      </c>
      <c r="F101" s="731">
        <v>0</v>
      </c>
      <c r="G101" s="748">
        <v>-297.64</v>
      </c>
      <c r="H101" s="632"/>
      <c r="I101" s="1961"/>
      <c r="J101" s="1919"/>
      <c r="K101" s="2028"/>
      <c r="L101" s="118"/>
    </row>
    <row r="102" spans="1:13" s="168" customFormat="1" ht="15">
      <c r="A102" s="632">
        <v>44670.000497685185</v>
      </c>
      <c r="B102" s="1124" t="s">
        <v>521</v>
      </c>
      <c r="C102" s="1124" t="s">
        <v>4412</v>
      </c>
      <c r="D102" s="615" t="s">
        <v>2333</v>
      </c>
      <c r="E102" s="611">
        <v>-212.52</v>
      </c>
      <c r="F102" s="731">
        <v>0</v>
      </c>
      <c r="G102" s="748">
        <v>-212.52</v>
      </c>
      <c r="H102" s="632"/>
      <c r="I102" s="1961"/>
      <c r="J102" s="1919"/>
      <c r="K102" s="2028"/>
      <c r="L102" s="430"/>
    </row>
    <row r="103" spans="1:13" s="168" customFormat="1" ht="15">
      <c r="A103" s="632">
        <v>44671.000497685185</v>
      </c>
      <c r="B103" s="1124" t="s">
        <v>4134</v>
      </c>
      <c r="C103" s="1124" t="s">
        <v>4412</v>
      </c>
      <c r="D103" s="615" t="s">
        <v>1956</v>
      </c>
      <c r="E103" s="611">
        <v>-217.67</v>
      </c>
      <c r="F103" s="731">
        <v>0</v>
      </c>
      <c r="G103" s="748">
        <v>-217.67</v>
      </c>
      <c r="H103" s="632"/>
      <c r="I103" s="1961"/>
      <c r="J103" s="1919"/>
      <c r="K103" s="2028"/>
      <c r="L103" s="118"/>
    </row>
    <row r="104" spans="1:13" s="168" customFormat="1" ht="15">
      <c r="A104" s="632">
        <v>44671.000497685185</v>
      </c>
      <c r="B104" s="1124" t="s">
        <v>4134</v>
      </c>
      <c r="C104" s="1124" t="s">
        <v>4412</v>
      </c>
      <c r="D104" s="615" t="s">
        <v>1957</v>
      </c>
      <c r="E104" s="611">
        <v>-295.88</v>
      </c>
      <c r="F104" s="731">
        <v>0</v>
      </c>
      <c r="G104" s="748">
        <v>-295.88</v>
      </c>
      <c r="H104" s="632"/>
      <c r="I104" s="1961"/>
      <c r="J104" s="1919"/>
      <c r="K104" s="2028"/>
      <c r="L104" s="118"/>
    </row>
    <row r="105" spans="1:13" s="168" customFormat="1" ht="15">
      <c r="A105" s="632">
        <v>44671.000497685185</v>
      </c>
      <c r="B105" s="1124" t="s">
        <v>4134</v>
      </c>
      <c r="C105" s="1124" t="s">
        <v>4412</v>
      </c>
      <c r="D105" s="615" t="s">
        <v>1958</v>
      </c>
      <c r="E105" s="611">
        <v>-101.54</v>
      </c>
      <c r="F105" s="731">
        <v>0</v>
      </c>
      <c r="G105" s="748">
        <v>-101.54</v>
      </c>
      <c r="H105" s="632"/>
      <c r="I105" s="1961"/>
      <c r="J105" s="1919"/>
      <c r="K105" s="2028"/>
      <c r="L105" s="118"/>
    </row>
    <row r="106" spans="1:13" s="168" customFormat="1" ht="15">
      <c r="A106" s="632">
        <v>44671.000497685185</v>
      </c>
      <c r="B106" s="1124" t="s">
        <v>4134</v>
      </c>
      <c r="C106" s="1124" t="s">
        <v>4412</v>
      </c>
      <c r="D106" s="615" t="s">
        <v>1959</v>
      </c>
      <c r="E106" s="611">
        <v>-146.16</v>
      </c>
      <c r="F106" s="731">
        <v>0</v>
      </c>
      <c r="G106" s="748">
        <v>-146.16</v>
      </c>
      <c r="H106" s="632"/>
      <c r="I106" s="1961"/>
      <c r="J106" s="1919"/>
      <c r="K106" s="2028"/>
      <c r="L106" s="118"/>
    </row>
    <row r="107" spans="1:13" s="168" customFormat="1" ht="15">
      <c r="A107" s="632">
        <v>44671.000497685185</v>
      </c>
      <c r="B107" s="1124" t="s">
        <v>4134</v>
      </c>
      <c r="C107" s="1124" t="s">
        <v>4412</v>
      </c>
      <c r="D107" s="615" t="s">
        <v>1960</v>
      </c>
      <c r="E107" s="611">
        <v>-16.73</v>
      </c>
      <c r="F107" s="731">
        <v>0</v>
      </c>
      <c r="G107" s="748">
        <v>-16.73</v>
      </c>
      <c r="H107" s="632"/>
      <c r="I107" s="1961"/>
      <c r="J107" s="1919"/>
      <c r="K107" s="2028"/>
      <c r="L107" s="118"/>
    </row>
    <row r="108" spans="1:13" s="168" customFormat="1" ht="15">
      <c r="A108" s="632">
        <v>44671.000497685185</v>
      </c>
      <c r="B108" s="1124" t="s">
        <v>4134</v>
      </c>
      <c r="C108" s="1124" t="s">
        <v>4412</v>
      </c>
      <c r="D108" s="615" t="s">
        <v>1961</v>
      </c>
      <c r="E108" s="611">
        <v>-48.58</v>
      </c>
      <c r="F108" s="731">
        <v>0</v>
      </c>
      <c r="G108" s="748">
        <v>-48.58</v>
      </c>
      <c r="H108" s="632"/>
      <c r="I108" s="1961"/>
      <c r="J108" s="1919"/>
      <c r="K108" s="2028"/>
      <c r="L108" s="118"/>
    </row>
    <row r="109" spans="1:13" ht="15">
      <c r="A109" s="632">
        <v>44676</v>
      </c>
      <c r="B109" s="1124" t="s">
        <v>4134</v>
      </c>
      <c r="C109" s="1124" t="s">
        <v>4412</v>
      </c>
      <c r="D109" s="615" t="s">
        <v>2003</v>
      </c>
      <c r="E109" s="611">
        <v>3920.68</v>
      </c>
      <c r="F109" s="731">
        <v>0</v>
      </c>
      <c r="G109" s="748">
        <v>3920.68</v>
      </c>
      <c r="H109" s="632">
        <v>44706</v>
      </c>
      <c r="I109" s="1961"/>
      <c r="J109" s="1919"/>
      <c r="K109" s="2028"/>
      <c r="L109" s="118"/>
    </row>
    <row r="110" spans="1:13" s="168" customFormat="1" ht="15">
      <c r="A110" s="632">
        <v>44684</v>
      </c>
      <c r="B110" s="1124" t="s">
        <v>4134</v>
      </c>
      <c r="C110" s="1124" t="s">
        <v>4412</v>
      </c>
      <c r="D110" s="615" t="s">
        <v>2047</v>
      </c>
      <c r="E110" s="611">
        <v>1014.01</v>
      </c>
      <c r="F110" s="731">
        <v>0</v>
      </c>
      <c r="G110" s="748">
        <v>1014.01</v>
      </c>
      <c r="H110" s="632">
        <v>44714</v>
      </c>
      <c r="I110" s="1961"/>
      <c r="J110" s="1919"/>
      <c r="K110" s="2028"/>
      <c r="L110" s="118"/>
    </row>
    <row r="111" spans="1:13" s="168" customFormat="1" ht="15">
      <c r="A111" s="632">
        <v>44708</v>
      </c>
      <c r="B111" s="1124" t="s">
        <v>4134</v>
      </c>
      <c r="C111" s="1124" t="s">
        <v>4412</v>
      </c>
      <c r="D111" s="615" t="s">
        <v>2186</v>
      </c>
      <c r="E111" s="611">
        <v>2200.89</v>
      </c>
      <c r="F111" s="731">
        <v>0</v>
      </c>
      <c r="G111" s="748">
        <v>2200.89</v>
      </c>
      <c r="H111" s="632">
        <v>44714</v>
      </c>
      <c r="I111" s="1961"/>
      <c r="J111" s="1919"/>
      <c r="K111" s="2028"/>
      <c r="L111" s="118"/>
    </row>
    <row r="112" spans="1:13" s="168" customFormat="1" ht="15">
      <c r="A112" s="632">
        <v>44713</v>
      </c>
      <c r="B112" s="1124" t="s">
        <v>4134</v>
      </c>
      <c r="C112" s="1124" t="s">
        <v>4412</v>
      </c>
      <c r="D112" s="615" t="s">
        <v>2242</v>
      </c>
      <c r="E112" s="611">
        <v>1598.44</v>
      </c>
      <c r="F112" s="731">
        <v>0</v>
      </c>
      <c r="G112" s="748">
        <v>1598.44</v>
      </c>
      <c r="H112" s="632">
        <v>44714</v>
      </c>
      <c r="I112" s="1924"/>
      <c r="J112" s="1920"/>
      <c r="K112" s="2029"/>
      <c r="L112" s="90"/>
    </row>
    <row r="113" spans="1:14" s="168" customFormat="1" ht="15">
      <c r="A113" s="841">
        <v>44734</v>
      </c>
      <c r="B113" s="1124" t="s">
        <v>4134</v>
      </c>
      <c r="C113" s="1124" t="s">
        <v>4412</v>
      </c>
      <c r="D113" s="842" t="s">
        <v>2332</v>
      </c>
      <c r="E113" s="611">
        <v>1277.4100000000001</v>
      </c>
      <c r="F113" s="731">
        <v>0</v>
      </c>
      <c r="G113" s="748">
        <v>1277.4100000000001</v>
      </c>
      <c r="H113" s="841">
        <v>44744</v>
      </c>
      <c r="I113" s="1915">
        <v>10330.870000000001</v>
      </c>
      <c r="J113" s="1918">
        <v>44844</v>
      </c>
      <c r="K113" s="1956" t="s">
        <v>3274</v>
      </c>
      <c r="L113" s="90"/>
    </row>
    <row r="114" spans="1:14" s="168" customFormat="1" ht="15">
      <c r="A114" s="841">
        <v>44753.000497685185</v>
      </c>
      <c r="B114" s="1124" t="s">
        <v>4134</v>
      </c>
      <c r="C114" s="1124" t="s">
        <v>4412</v>
      </c>
      <c r="D114" s="842" t="s">
        <v>2445</v>
      </c>
      <c r="E114" s="611">
        <v>2038.1</v>
      </c>
      <c r="F114" s="731">
        <v>0</v>
      </c>
      <c r="G114" s="748">
        <v>2038.1</v>
      </c>
      <c r="H114" s="841">
        <v>44778.000497685185</v>
      </c>
      <c r="I114" s="1916"/>
      <c r="J114" s="1919"/>
      <c r="K114" s="2028"/>
      <c r="L114" s="90"/>
    </row>
    <row r="115" spans="1:14" s="168" customFormat="1" ht="15">
      <c r="A115" s="841">
        <v>44761.000497685185</v>
      </c>
      <c r="B115" s="1124" t="s">
        <v>4134</v>
      </c>
      <c r="C115" s="1124" t="s">
        <v>4412</v>
      </c>
      <c r="D115" s="842" t="s">
        <v>2486</v>
      </c>
      <c r="E115" s="611">
        <v>5095.0200000000004</v>
      </c>
      <c r="F115" s="731">
        <v>0</v>
      </c>
      <c r="G115" s="748">
        <v>5095.0200000000004</v>
      </c>
      <c r="H115" s="841">
        <v>44775</v>
      </c>
      <c r="I115" s="1916"/>
      <c r="J115" s="1919"/>
      <c r="K115" s="2028"/>
      <c r="L115" s="90"/>
    </row>
    <row r="116" spans="1:14" s="168" customFormat="1" ht="15">
      <c r="A116" s="841">
        <v>44764.000497685185</v>
      </c>
      <c r="B116" s="1124" t="s">
        <v>4134</v>
      </c>
      <c r="C116" s="1124" t="s">
        <v>4412</v>
      </c>
      <c r="D116" s="842" t="s">
        <v>2487</v>
      </c>
      <c r="E116" s="611">
        <v>1920.34</v>
      </c>
      <c r="F116" s="731">
        <v>0</v>
      </c>
      <c r="G116" s="748">
        <v>1920.34</v>
      </c>
      <c r="H116" s="841">
        <v>44775</v>
      </c>
      <c r="I116" s="1917"/>
      <c r="J116" s="1920"/>
      <c r="K116" s="2029"/>
      <c r="L116" s="90"/>
    </row>
    <row r="117" spans="1:14" s="168" customFormat="1" ht="15">
      <c r="A117" s="1065">
        <v>44795</v>
      </c>
      <c r="B117" s="1124" t="s">
        <v>2644</v>
      </c>
      <c r="C117" s="1124" t="s">
        <v>4412</v>
      </c>
      <c r="D117" s="1068" t="s">
        <v>2851</v>
      </c>
      <c r="E117" s="611">
        <v>1486.26</v>
      </c>
      <c r="F117" s="731">
        <v>0</v>
      </c>
      <c r="G117" s="748">
        <v>1486.26</v>
      </c>
      <c r="H117" s="1065">
        <v>44808</v>
      </c>
      <c r="I117" s="1923">
        <v>20798.310000000001</v>
      </c>
      <c r="J117" s="1918">
        <v>44943</v>
      </c>
      <c r="K117" s="1956" t="s">
        <v>4008</v>
      </c>
      <c r="L117" s="90"/>
      <c r="M117" s="190"/>
      <c r="N117" s="190"/>
    </row>
    <row r="118" spans="1:14" s="168" customFormat="1" ht="15">
      <c r="A118" s="1065">
        <v>44798</v>
      </c>
      <c r="B118" s="1124" t="s">
        <v>2644</v>
      </c>
      <c r="C118" s="1124" t="s">
        <v>4412</v>
      </c>
      <c r="D118" s="1068" t="s">
        <v>2852</v>
      </c>
      <c r="E118" s="611">
        <v>-371.5</v>
      </c>
      <c r="F118" s="731">
        <v>0</v>
      </c>
      <c r="G118" s="748">
        <v>-371.5</v>
      </c>
      <c r="H118" s="1065"/>
      <c r="I118" s="1961"/>
      <c r="J118" s="1919"/>
      <c r="K118" s="2028"/>
      <c r="L118" s="90"/>
      <c r="M118" s="190"/>
      <c r="N118" s="190"/>
    </row>
    <row r="119" spans="1:14" s="168" customFormat="1" ht="15">
      <c r="A119" s="1065">
        <v>44798</v>
      </c>
      <c r="B119" s="1124" t="s">
        <v>2644</v>
      </c>
      <c r="C119" s="1124" t="s">
        <v>4412</v>
      </c>
      <c r="D119" s="1068" t="s">
        <v>2853</v>
      </c>
      <c r="E119" s="611">
        <v>-654.82000000000005</v>
      </c>
      <c r="F119" s="731">
        <v>0</v>
      </c>
      <c r="G119" s="748">
        <v>-654.82000000000005</v>
      </c>
      <c r="H119" s="1065"/>
      <c r="I119" s="1961"/>
      <c r="J119" s="1919"/>
      <c r="K119" s="2028"/>
      <c r="L119" s="90"/>
      <c r="M119" s="190"/>
      <c r="N119" s="190"/>
    </row>
    <row r="120" spans="1:14" s="168" customFormat="1" ht="15">
      <c r="A120" s="1065">
        <v>44798</v>
      </c>
      <c r="B120" s="1124" t="s">
        <v>2644</v>
      </c>
      <c r="C120" s="1124" t="s">
        <v>4412</v>
      </c>
      <c r="D120" s="1068" t="s">
        <v>2854</v>
      </c>
      <c r="E120" s="611">
        <v>-9.59</v>
      </c>
      <c r="F120" s="731">
        <v>0</v>
      </c>
      <c r="G120" s="748">
        <v>-9.59</v>
      </c>
      <c r="H120" s="1065"/>
      <c r="I120" s="1961"/>
      <c r="J120" s="1919"/>
      <c r="K120" s="2028"/>
      <c r="L120" s="90"/>
      <c r="M120" s="190"/>
      <c r="N120" s="190"/>
    </row>
    <row r="121" spans="1:14" s="168" customFormat="1" ht="15">
      <c r="A121" s="1065">
        <v>44802</v>
      </c>
      <c r="B121" s="1124" t="s">
        <v>2644</v>
      </c>
      <c r="C121" s="1124" t="s">
        <v>4412</v>
      </c>
      <c r="D121" s="1068" t="s">
        <v>2918</v>
      </c>
      <c r="E121" s="611">
        <v>1151.51</v>
      </c>
      <c r="F121" s="731">
        <v>0</v>
      </c>
      <c r="G121" s="748">
        <v>1151.51</v>
      </c>
      <c r="H121" s="1065">
        <v>44805</v>
      </c>
      <c r="I121" s="1961"/>
      <c r="J121" s="1919"/>
      <c r="K121" s="2028"/>
      <c r="L121" s="90"/>
      <c r="M121" s="190"/>
      <c r="N121" s="190"/>
    </row>
    <row r="122" spans="1:14" s="168" customFormat="1" ht="15">
      <c r="A122" s="1065">
        <v>44803</v>
      </c>
      <c r="B122" s="1124" t="s">
        <v>2644</v>
      </c>
      <c r="C122" s="1124" t="s">
        <v>4412</v>
      </c>
      <c r="D122" s="1068" t="s">
        <v>2919</v>
      </c>
      <c r="E122" s="611">
        <v>11803.51</v>
      </c>
      <c r="F122" s="731">
        <v>0</v>
      </c>
      <c r="G122" s="748">
        <v>11803.51</v>
      </c>
      <c r="H122" s="1065">
        <v>44806</v>
      </c>
      <c r="I122" s="1961"/>
      <c r="J122" s="1919"/>
      <c r="K122" s="2028"/>
      <c r="L122" s="90"/>
      <c r="M122" s="190"/>
      <c r="N122" s="190"/>
    </row>
    <row r="123" spans="1:14" s="168" customFormat="1" ht="15">
      <c r="A123" s="1065">
        <v>44854.000497685185</v>
      </c>
      <c r="B123" s="1124" t="s">
        <v>4134</v>
      </c>
      <c r="C123" s="1124" t="s">
        <v>4412</v>
      </c>
      <c r="D123" s="1068" t="s">
        <v>3304</v>
      </c>
      <c r="E123" s="611">
        <v>7392.94</v>
      </c>
      <c r="F123" s="731">
        <v>0</v>
      </c>
      <c r="G123" s="748">
        <v>7392.94</v>
      </c>
      <c r="H123" s="1065">
        <v>44867.000497685185</v>
      </c>
      <c r="I123" s="1924"/>
      <c r="J123" s="1920"/>
      <c r="K123" s="2029"/>
      <c r="L123" s="90"/>
      <c r="M123" s="190"/>
      <c r="N123" s="190"/>
    </row>
    <row r="124" spans="1:14" s="168" customFormat="1" ht="15">
      <c r="A124" s="1294">
        <v>44875</v>
      </c>
      <c r="B124" s="1294" t="s">
        <v>4134</v>
      </c>
      <c r="C124" s="1294" t="s">
        <v>4412</v>
      </c>
      <c r="D124" s="1297" t="s">
        <v>3455</v>
      </c>
      <c r="E124" s="611">
        <v>3822.38</v>
      </c>
      <c r="F124" s="731">
        <v>0</v>
      </c>
      <c r="G124" s="748">
        <v>3822.38</v>
      </c>
      <c r="H124" s="1294">
        <v>44897</v>
      </c>
      <c r="I124" s="2143">
        <v>28058.400000000001</v>
      </c>
      <c r="J124" s="1918">
        <v>45027</v>
      </c>
      <c r="K124" s="1956" t="s">
        <v>4758</v>
      </c>
      <c r="L124" s="90"/>
      <c r="M124" s="190"/>
      <c r="N124" s="190"/>
    </row>
    <row r="125" spans="1:14" s="168" customFormat="1" ht="15">
      <c r="A125" s="1294">
        <v>44883</v>
      </c>
      <c r="B125" s="1294" t="s">
        <v>4134</v>
      </c>
      <c r="C125" s="1294" t="s">
        <v>4412</v>
      </c>
      <c r="D125" s="1297" t="s">
        <v>3486</v>
      </c>
      <c r="E125" s="611">
        <v>10869.63</v>
      </c>
      <c r="F125" s="731">
        <v>0</v>
      </c>
      <c r="G125" s="748">
        <v>10869.63</v>
      </c>
      <c r="H125" s="1294">
        <v>44897</v>
      </c>
      <c r="I125" s="2145"/>
      <c r="J125" s="1919"/>
      <c r="K125" s="2028"/>
      <c r="L125" s="90"/>
      <c r="M125" s="190"/>
      <c r="N125" s="190"/>
    </row>
    <row r="126" spans="1:14" s="168" customFormat="1" ht="15">
      <c r="A126" s="1294">
        <v>44896</v>
      </c>
      <c r="B126" s="1294" t="s">
        <v>4134</v>
      </c>
      <c r="C126" s="1294" t="s">
        <v>4412</v>
      </c>
      <c r="D126" s="1297" t="s">
        <v>3620</v>
      </c>
      <c r="E126" s="611">
        <v>7479.96</v>
      </c>
      <c r="F126" s="731">
        <v>0</v>
      </c>
      <c r="G126" s="748">
        <v>7479.96</v>
      </c>
      <c r="H126" s="1294">
        <v>44897</v>
      </c>
      <c r="I126" s="2145"/>
      <c r="J126" s="1919"/>
      <c r="K126" s="2028"/>
      <c r="L126" s="90"/>
    </row>
    <row r="127" spans="1:14" s="168" customFormat="1" ht="15">
      <c r="A127" s="1294">
        <v>44925</v>
      </c>
      <c r="B127" s="1294" t="s">
        <v>4134</v>
      </c>
      <c r="C127" s="1294" t="s">
        <v>4412</v>
      </c>
      <c r="D127" s="1297" t="s">
        <v>3824</v>
      </c>
      <c r="E127" s="611">
        <v>3801.76</v>
      </c>
      <c r="F127" s="731">
        <v>0</v>
      </c>
      <c r="G127" s="748">
        <v>3801.76</v>
      </c>
      <c r="H127" s="1294">
        <v>44958</v>
      </c>
      <c r="I127" s="2145"/>
      <c r="J127" s="1919"/>
      <c r="K127" s="2028"/>
      <c r="L127" s="90"/>
    </row>
    <row r="128" spans="1:14" s="168" customFormat="1" ht="15">
      <c r="A128" s="1294">
        <v>44936</v>
      </c>
      <c r="B128" s="1294" t="s">
        <v>2644</v>
      </c>
      <c r="C128" s="1294" t="s">
        <v>4412</v>
      </c>
      <c r="D128" s="1297" t="s">
        <v>3903</v>
      </c>
      <c r="E128" s="611">
        <v>2084.67</v>
      </c>
      <c r="F128" s="731">
        <v>0</v>
      </c>
      <c r="G128" s="748">
        <v>2084.67</v>
      </c>
      <c r="H128" s="1294">
        <v>44996</v>
      </c>
      <c r="I128" s="2144"/>
      <c r="J128" s="1920"/>
      <c r="K128" s="2029"/>
      <c r="L128" s="90"/>
    </row>
    <row r="129" spans="1:12" s="168" customFormat="1" ht="15">
      <c r="A129" s="1549">
        <v>44959.000497685185</v>
      </c>
      <c r="B129" s="1549" t="s">
        <v>2644</v>
      </c>
      <c r="C129" s="1549" t="s">
        <v>4412</v>
      </c>
      <c r="D129" s="1551" t="s">
        <v>4032</v>
      </c>
      <c r="E129" s="611">
        <v>-560.55999999999995</v>
      </c>
      <c r="F129" s="731">
        <v>0</v>
      </c>
      <c r="G129" s="748">
        <v>-560.55999999999995</v>
      </c>
      <c r="H129" s="1549"/>
      <c r="I129" s="2143">
        <v>12640.23</v>
      </c>
      <c r="J129" s="1903">
        <v>45128</v>
      </c>
      <c r="K129" s="1938" t="s">
        <v>6499</v>
      </c>
      <c r="L129" s="90"/>
    </row>
    <row r="130" spans="1:12" s="168" customFormat="1" ht="15">
      <c r="A130" s="1549">
        <v>44959.000497685185</v>
      </c>
      <c r="B130" s="1549" t="s">
        <v>2644</v>
      </c>
      <c r="C130" s="1549" t="s">
        <v>4412</v>
      </c>
      <c r="D130" s="1551" t="s">
        <v>4033</v>
      </c>
      <c r="E130" s="611">
        <v>-1270.57</v>
      </c>
      <c r="F130" s="731">
        <v>0</v>
      </c>
      <c r="G130" s="748">
        <v>-1270.58</v>
      </c>
      <c r="H130" s="1549"/>
      <c r="I130" s="2145"/>
      <c r="J130" s="1904"/>
      <c r="K130" s="2030"/>
      <c r="L130" s="90"/>
    </row>
    <row r="131" spans="1:12" s="168" customFormat="1" ht="15">
      <c r="A131" s="1549">
        <v>44978</v>
      </c>
      <c r="B131" s="1549" t="s">
        <v>2644</v>
      </c>
      <c r="C131" s="1549" t="s">
        <v>4412</v>
      </c>
      <c r="D131" s="1551" t="s">
        <v>4232</v>
      </c>
      <c r="E131" s="611">
        <v>5528.62</v>
      </c>
      <c r="F131" s="731">
        <v>0</v>
      </c>
      <c r="G131" s="748">
        <v>5528.62</v>
      </c>
      <c r="H131" s="1549">
        <v>45038</v>
      </c>
      <c r="I131" s="2145"/>
      <c r="J131" s="1904"/>
      <c r="K131" s="2030"/>
      <c r="L131" s="90"/>
    </row>
    <row r="132" spans="1:12" s="168" customFormat="1" ht="15">
      <c r="A132" s="1549">
        <v>45008</v>
      </c>
      <c r="B132" s="1549" t="s">
        <v>2644</v>
      </c>
      <c r="C132" s="1549" t="s">
        <v>4412</v>
      </c>
      <c r="D132" s="1551" t="s">
        <v>4558</v>
      </c>
      <c r="E132" s="611">
        <v>4121.88</v>
      </c>
      <c r="F132" s="731">
        <v>0</v>
      </c>
      <c r="G132" s="748">
        <v>4121.88</v>
      </c>
      <c r="H132" s="1549">
        <v>45068</v>
      </c>
      <c r="I132" s="2145"/>
      <c r="J132" s="1904"/>
      <c r="K132" s="2030"/>
      <c r="L132" s="90"/>
    </row>
    <row r="133" spans="1:12" s="168" customFormat="1" ht="15">
      <c r="A133" s="1549">
        <v>45012</v>
      </c>
      <c r="B133" s="1549" t="s">
        <v>2644</v>
      </c>
      <c r="C133" s="1549" t="s">
        <v>4412</v>
      </c>
      <c r="D133" s="1551" t="s">
        <v>4648</v>
      </c>
      <c r="E133" s="611">
        <v>1332</v>
      </c>
      <c r="F133" s="731">
        <v>0</v>
      </c>
      <c r="G133" s="748">
        <v>1332</v>
      </c>
      <c r="H133" s="1549">
        <v>45072</v>
      </c>
      <c r="I133" s="2145"/>
      <c r="J133" s="1904"/>
      <c r="K133" s="2030"/>
      <c r="L133" s="90"/>
    </row>
    <row r="134" spans="1:12" s="168" customFormat="1" ht="15">
      <c r="A134" s="1549">
        <v>45020</v>
      </c>
      <c r="B134" s="1549" t="s">
        <v>2644</v>
      </c>
      <c r="C134" s="1549" t="s">
        <v>4412</v>
      </c>
      <c r="D134" s="1551" t="s">
        <v>4686</v>
      </c>
      <c r="E134" s="611">
        <v>-841.33</v>
      </c>
      <c r="F134" s="731">
        <v>0</v>
      </c>
      <c r="G134" s="748">
        <v>-841.33</v>
      </c>
      <c r="H134" s="1549"/>
      <c r="I134" s="2145"/>
      <c r="J134" s="1904"/>
      <c r="K134" s="2030"/>
      <c r="L134" s="90"/>
    </row>
    <row r="135" spans="1:12" s="168" customFormat="1" ht="15">
      <c r="A135" s="1549">
        <v>45020</v>
      </c>
      <c r="B135" s="1549" t="s">
        <v>2644</v>
      </c>
      <c r="C135" s="1549" t="s">
        <v>4412</v>
      </c>
      <c r="D135" s="1551" t="s">
        <v>4687</v>
      </c>
      <c r="E135" s="611">
        <v>-853.48</v>
      </c>
      <c r="F135" s="731">
        <v>0</v>
      </c>
      <c r="G135" s="748">
        <v>-853.48</v>
      </c>
      <c r="H135" s="1549"/>
      <c r="I135" s="2145"/>
      <c r="J135" s="1904"/>
      <c r="K135" s="2030"/>
      <c r="L135" s="90"/>
    </row>
    <row r="136" spans="1:12" s="168" customFormat="1" ht="15">
      <c r="A136" s="1549">
        <v>45020</v>
      </c>
      <c r="B136" s="1549" t="s">
        <v>2644</v>
      </c>
      <c r="C136" s="1549" t="s">
        <v>4412</v>
      </c>
      <c r="D136" s="1551" t="s">
        <v>4688</v>
      </c>
      <c r="E136" s="611">
        <v>-37.24</v>
      </c>
      <c r="F136" s="731">
        <v>0</v>
      </c>
      <c r="G136" s="748">
        <v>-37.24</v>
      </c>
      <c r="H136" s="1549"/>
      <c r="I136" s="2145"/>
      <c r="J136" s="1904"/>
      <c r="K136" s="2030"/>
      <c r="L136" s="90"/>
    </row>
    <row r="137" spans="1:12" s="168" customFormat="1" ht="15">
      <c r="A137" s="1549">
        <v>45030.000497685185</v>
      </c>
      <c r="B137" s="1549" t="s">
        <v>2644</v>
      </c>
      <c r="C137" s="1549" t="s">
        <v>4412</v>
      </c>
      <c r="D137" s="1551" t="s">
        <v>4725</v>
      </c>
      <c r="E137" s="611">
        <v>1030.76</v>
      </c>
      <c r="F137" s="731">
        <v>0</v>
      </c>
      <c r="G137" s="748">
        <v>1030.76</v>
      </c>
      <c r="H137" s="1549">
        <v>45090</v>
      </c>
      <c r="I137" s="2145"/>
      <c r="J137" s="1904"/>
      <c r="K137" s="2030"/>
      <c r="L137" s="90"/>
    </row>
    <row r="138" spans="1:12" s="168" customFormat="1" ht="15">
      <c r="A138" s="1549">
        <v>45034</v>
      </c>
      <c r="B138" s="1549" t="s">
        <v>2644</v>
      </c>
      <c r="C138" s="1549" t="s">
        <v>4412</v>
      </c>
      <c r="D138" s="1551" t="s">
        <v>4819</v>
      </c>
      <c r="E138" s="611">
        <v>4190.16</v>
      </c>
      <c r="F138" s="731">
        <v>0</v>
      </c>
      <c r="G138" s="748">
        <v>4190.16</v>
      </c>
      <c r="H138" s="1549">
        <v>45094</v>
      </c>
      <c r="I138" s="2144"/>
      <c r="J138" s="1905"/>
      <c r="K138" s="2031"/>
      <c r="L138" s="90"/>
    </row>
    <row r="139" spans="1:12" s="168" customFormat="1" ht="15">
      <c r="A139" s="1549">
        <v>45061</v>
      </c>
      <c r="B139" s="1549" t="s">
        <v>2644</v>
      </c>
      <c r="C139" s="1549" t="s">
        <v>4412</v>
      </c>
      <c r="D139" s="1551" t="s">
        <v>5117</v>
      </c>
      <c r="E139" s="611">
        <v>1801.04</v>
      </c>
      <c r="F139" s="731">
        <v>0</v>
      </c>
      <c r="G139" s="748">
        <v>1801.04</v>
      </c>
      <c r="H139" s="1549">
        <v>45121</v>
      </c>
      <c r="I139" s="2143">
        <v>7200.16</v>
      </c>
      <c r="J139" s="1903">
        <v>45128</v>
      </c>
      <c r="K139" s="1956" t="s">
        <v>5673</v>
      </c>
      <c r="L139" s="90"/>
    </row>
    <row r="140" spans="1:12" s="168" customFormat="1" ht="15">
      <c r="A140" s="1549">
        <v>45068</v>
      </c>
      <c r="B140" s="1549" t="s">
        <v>2644</v>
      </c>
      <c r="C140" s="1549" t="s">
        <v>4412</v>
      </c>
      <c r="D140" s="1551" t="s">
        <v>5218</v>
      </c>
      <c r="E140" s="611">
        <v>5399.12</v>
      </c>
      <c r="F140" s="731">
        <v>0</v>
      </c>
      <c r="G140" s="748">
        <v>5399.12</v>
      </c>
      <c r="H140" s="1549">
        <v>45128</v>
      </c>
      <c r="I140" s="2144"/>
      <c r="J140" s="1905"/>
      <c r="K140" s="2029"/>
      <c r="L140" s="90"/>
    </row>
    <row r="141" spans="1:12" s="388" customFormat="1" ht="15">
      <c r="A141" s="1718">
        <v>45176</v>
      </c>
      <c r="B141" s="1718" t="s">
        <v>2644</v>
      </c>
      <c r="C141" s="1718" t="s">
        <v>4412</v>
      </c>
      <c r="D141" s="1720" t="s">
        <v>6003</v>
      </c>
      <c r="E141" s="611">
        <v>-1820.24</v>
      </c>
      <c r="F141" s="731">
        <v>0</v>
      </c>
      <c r="G141" s="748">
        <v>-1820.24</v>
      </c>
      <c r="H141" s="1718">
        <v>45200</v>
      </c>
      <c r="I141" s="2201">
        <v>0</v>
      </c>
      <c r="J141" s="1903">
        <v>45191</v>
      </c>
      <c r="K141" s="1938" t="s">
        <v>6144</v>
      </c>
      <c r="L141" s="382" t="s">
        <v>6001</v>
      </c>
    </row>
    <row r="142" spans="1:12" s="388" customFormat="1" ht="15">
      <c r="A142" s="1718">
        <v>45191</v>
      </c>
      <c r="B142" s="1718" t="s">
        <v>2644</v>
      </c>
      <c r="C142" s="1718" t="s">
        <v>4412</v>
      </c>
      <c r="D142" s="1720" t="s">
        <v>6114</v>
      </c>
      <c r="E142" s="611">
        <v>1820.24</v>
      </c>
      <c r="F142" s="731">
        <v>0</v>
      </c>
      <c r="G142" s="748">
        <v>1820.24</v>
      </c>
      <c r="H142" s="1718">
        <v>45200</v>
      </c>
      <c r="I142" s="2203"/>
      <c r="J142" s="1905"/>
      <c r="K142" s="2031"/>
      <c r="L142" s="382" t="s">
        <v>6115</v>
      </c>
    </row>
    <row r="143" spans="1:12" s="168" customFormat="1" ht="15">
      <c r="A143" s="1820">
        <v>45083</v>
      </c>
      <c r="B143" s="1820" t="s">
        <v>2644</v>
      </c>
      <c r="C143" s="1820" t="s">
        <v>4412</v>
      </c>
      <c r="D143" s="1821" t="s">
        <v>5331</v>
      </c>
      <c r="E143" s="611">
        <v>3985.06</v>
      </c>
      <c r="F143" s="731">
        <v>0</v>
      </c>
      <c r="G143" s="748">
        <v>3985.06</v>
      </c>
      <c r="H143" s="1820">
        <v>45143</v>
      </c>
      <c r="I143" s="2143">
        <v>20288.93</v>
      </c>
      <c r="J143" s="1903">
        <v>45230</v>
      </c>
      <c r="K143" s="1938" t="s">
        <v>6500</v>
      </c>
      <c r="L143" s="90"/>
    </row>
    <row r="144" spans="1:12" s="168" customFormat="1" ht="15">
      <c r="A144" s="1820">
        <v>45096</v>
      </c>
      <c r="B144" s="1820" t="s">
        <v>2644</v>
      </c>
      <c r="C144" s="1820" t="s">
        <v>4412</v>
      </c>
      <c r="D144" s="1821" t="s">
        <v>5424</v>
      </c>
      <c r="E144" s="611">
        <v>8276.15</v>
      </c>
      <c r="F144" s="731">
        <v>0</v>
      </c>
      <c r="G144" s="748">
        <v>8276.15</v>
      </c>
      <c r="H144" s="1820">
        <v>45156</v>
      </c>
      <c r="I144" s="2145"/>
      <c r="J144" s="1904"/>
      <c r="K144" s="2030"/>
      <c r="L144" s="90"/>
    </row>
    <row r="145" spans="1:12" s="168" customFormat="1" ht="15">
      <c r="A145" s="1820">
        <v>45135</v>
      </c>
      <c r="B145" s="1820" t="s">
        <v>2644</v>
      </c>
      <c r="C145" s="1820" t="s">
        <v>4412</v>
      </c>
      <c r="D145" s="1821" t="s">
        <v>5689</v>
      </c>
      <c r="E145" s="611">
        <v>3560.77</v>
      </c>
      <c r="F145" s="731">
        <v>0</v>
      </c>
      <c r="G145" s="748">
        <v>3560.77</v>
      </c>
      <c r="H145" s="1820">
        <v>45195</v>
      </c>
      <c r="I145" s="2145"/>
      <c r="J145" s="1904"/>
      <c r="K145" s="2030"/>
      <c r="L145" s="90"/>
    </row>
    <row r="146" spans="1:12" s="168" customFormat="1" ht="15">
      <c r="A146" s="1820">
        <v>45138</v>
      </c>
      <c r="B146" s="1820" t="s">
        <v>2644</v>
      </c>
      <c r="C146" s="1820" t="s">
        <v>4412</v>
      </c>
      <c r="D146" s="1821" t="s">
        <v>5832</v>
      </c>
      <c r="E146" s="611">
        <v>-58.1</v>
      </c>
      <c r="F146" s="731">
        <v>0</v>
      </c>
      <c r="G146" s="748">
        <v>-58.1</v>
      </c>
      <c r="H146" s="1820"/>
      <c r="I146" s="2145"/>
      <c r="J146" s="1904"/>
      <c r="K146" s="2030"/>
      <c r="L146" s="90"/>
    </row>
    <row r="147" spans="1:12" s="168" customFormat="1" ht="15">
      <c r="A147" s="1820">
        <v>45138</v>
      </c>
      <c r="B147" s="1820" t="s">
        <v>2644</v>
      </c>
      <c r="C147" s="1820" t="s">
        <v>4412</v>
      </c>
      <c r="D147" s="1821" t="s">
        <v>5833</v>
      </c>
      <c r="E147" s="611">
        <v>-94.68</v>
      </c>
      <c r="F147" s="731">
        <v>0</v>
      </c>
      <c r="G147" s="748">
        <v>-94.68</v>
      </c>
      <c r="H147" s="1820"/>
      <c r="I147" s="2145"/>
      <c r="J147" s="1904"/>
      <c r="K147" s="2030"/>
      <c r="L147" s="90"/>
    </row>
    <row r="148" spans="1:12" s="168" customFormat="1" ht="15">
      <c r="A148" s="1820">
        <v>45138</v>
      </c>
      <c r="B148" s="1820" t="s">
        <v>2644</v>
      </c>
      <c r="C148" s="1820" t="s">
        <v>4412</v>
      </c>
      <c r="D148" s="1821" t="s">
        <v>5834</v>
      </c>
      <c r="E148" s="611">
        <v>-440.3</v>
      </c>
      <c r="F148" s="731">
        <v>0</v>
      </c>
      <c r="G148" s="748">
        <v>-440.3</v>
      </c>
      <c r="H148" s="1820"/>
      <c r="I148" s="2145"/>
      <c r="J148" s="1904"/>
      <c r="K148" s="2030"/>
      <c r="L148" s="90"/>
    </row>
    <row r="149" spans="1:12" s="168" customFormat="1" ht="15">
      <c r="A149" s="1820">
        <v>45163</v>
      </c>
      <c r="B149" s="1820" t="s">
        <v>2644</v>
      </c>
      <c r="C149" s="1820" t="s">
        <v>4412</v>
      </c>
      <c r="D149" s="1821" t="s">
        <v>5924</v>
      </c>
      <c r="E149" s="611">
        <v>3952.91</v>
      </c>
      <c r="F149" s="731">
        <v>0</v>
      </c>
      <c r="G149" s="748">
        <v>3952.91</v>
      </c>
      <c r="H149" s="1820">
        <v>45223</v>
      </c>
      <c r="I149" s="2145"/>
      <c r="J149" s="1904"/>
      <c r="K149" s="2030"/>
      <c r="L149" s="90"/>
    </row>
    <row r="150" spans="1:12" s="168" customFormat="1" ht="15">
      <c r="A150" s="1820">
        <v>45190</v>
      </c>
      <c r="B150" s="1820" t="s">
        <v>2644</v>
      </c>
      <c r="C150" s="1820" t="s">
        <v>4412</v>
      </c>
      <c r="D150" s="1821" t="s">
        <v>6108</v>
      </c>
      <c r="E150" s="611">
        <v>-13.51</v>
      </c>
      <c r="F150" s="731">
        <v>0</v>
      </c>
      <c r="G150" s="748">
        <v>-13.51</v>
      </c>
      <c r="H150" s="1820"/>
      <c r="I150" s="2145"/>
      <c r="J150" s="1904"/>
      <c r="K150" s="2030"/>
      <c r="L150" s="90"/>
    </row>
    <row r="151" spans="1:12" s="168" customFormat="1" ht="15">
      <c r="A151" s="1820">
        <v>45190</v>
      </c>
      <c r="B151" s="1820" t="s">
        <v>2644</v>
      </c>
      <c r="C151" s="1820" t="s">
        <v>4412</v>
      </c>
      <c r="D151" s="1821" t="s">
        <v>6109</v>
      </c>
      <c r="E151" s="611">
        <v>-1145.1300000000001</v>
      </c>
      <c r="F151" s="731">
        <v>0</v>
      </c>
      <c r="G151" s="748">
        <v>-1145.1300000000001</v>
      </c>
      <c r="H151" s="1820"/>
      <c r="I151" s="2145"/>
      <c r="J151" s="1904"/>
      <c r="K151" s="2030"/>
      <c r="L151" s="90"/>
    </row>
    <row r="152" spans="1:12" s="168" customFormat="1" ht="15">
      <c r="A152" s="1820">
        <v>45190</v>
      </c>
      <c r="B152" s="1820" t="s">
        <v>2644</v>
      </c>
      <c r="C152" s="1820" t="s">
        <v>4412</v>
      </c>
      <c r="D152" s="1821" t="s">
        <v>6110</v>
      </c>
      <c r="E152" s="611">
        <v>-1654.38</v>
      </c>
      <c r="F152" s="731">
        <v>0</v>
      </c>
      <c r="G152" s="748">
        <v>-1654.38</v>
      </c>
      <c r="H152" s="1820"/>
      <c r="I152" s="2145"/>
      <c r="J152" s="1904"/>
      <c r="K152" s="2030"/>
      <c r="L152" s="90"/>
    </row>
    <row r="153" spans="1:12" s="168" customFormat="1" ht="15">
      <c r="A153" s="1820">
        <v>45190</v>
      </c>
      <c r="B153" s="1820" t="s">
        <v>2644</v>
      </c>
      <c r="C153" s="1820" t="s">
        <v>4412</v>
      </c>
      <c r="D153" s="1821" t="s">
        <v>6111</v>
      </c>
      <c r="E153" s="611">
        <v>-389.73</v>
      </c>
      <c r="F153" s="731">
        <v>0</v>
      </c>
      <c r="G153" s="748">
        <v>-389.73</v>
      </c>
      <c r="H153" s="1820"/>
      <c r="I153" s="2145"/>
      <c r="J153" s="1904"/>
      <c r="K153" s="2030"/>
      <c r="L153" s="90"/>
    </row>
    <row r="154" spans="1:12" s="168" customFormat="1" ht="15">
      <c r="A154" s="1820">
        <v>45190</v>
      </c>
      <c r="B154" s="1820" t="s">
        <v>2644</v>
      </c>
      <c r="C154" s="1820" t="s">
        <v>4412</v>
      </c>
      <c r="D154" s="1821" t="s">
        <v>6112</v>
      </c>
      <c r="E154" s="611">
        <v>-73.81</v>
      </c>
      <c r="F154" s="731">
        <v>0</v>
      </c>
      <c r="G154" s="748">
        <v>-73.81</v>
      </c>
      <c r="H154" s="1820"/>
      <c r="I154" s="2145"/>
      <c r="J154" s="1904"/>
      <c r="K154" s="2030"/>
      <c r="L154" s="90"/>
    </row>
    <row r="155" spans="1:12" s="168" customFormat="1" ht="15">
      <c r="A155" s="1820">
        <v>45190</v>
      </c>
      <c r="B155" s="1820" t="s">
        <v>2644</v>
      </c>
      <c r="C155" s="1820" t="s">
        <v>4412</v>
      </c>
      <c r="D155" s="1821" t="s">
        <v>6113</v>
      </c>
      <c r="E155" s="611">
        <v>-317.48</v>
      </c>
      <c r="F155" s="731">
        <v>0</v>
      </c>
      <c r="G155" s="748">
        <v>-317.48</v>
      </c>
      <c r="H155" s="1820"/>
      <c r="I155" s="2145"/>
      <c r="J155" s="1904"/>
      <c r="K155" s="2030"/>
      <c r="L155" s="90"/>
    </row>
    <row r="156" spans="1:12" s="168" customFormat="1" ht="15">
      <c r="A156" s="1820">
        <v>45195</v>
      </c>
      <c r="B156" s="1820" t="s">
        <v>2644</v>
      </c>
      <c r="C156" s="1820" t="s">
        <v>4412</v>
      </c>
      <c r="D156" s="1821" t="s">
        <v>6234</v>
      </c>
      <c r="E156" s="611">
        <v>4701.16</v>
      </c>
      <c r="F156" s="731">
        <v>0</v>
      </c>
      <c r="G156" s="748">
        <v>4701.16</v>
      </c>
      <c r="H156" s="1820">
        <v>45254</v>
      </c>
      <c r="I156" s="2144"/>
      <c r="J156" s="1905"/>
      <c r="K156" s="2031"/>
      <c r="L156" s="90"/>
    </row>
    <row r="157" spans="1:12" s="168" customFormat="1" ht="15">
      <c r="A157" s="623">
        <v>45216.333831018521</v>
      </c>
      <c r="B157" s="623" t="s">
        <v>2644</v>
      </c>
      <c r="C157" s="623" t="s">
        <v>4412</v>
      </c>
      <c r="D157" s="624" t="s">
        <v>6367</v>
      </c>
      <c r="E157" s="605">
        <v>-283.52999999999997</v>
      </c>
      <c r="F157" s="732">
        <v>0</v>
      </c>
      <c r="G157" s="749">
        <v>-283.54000000000002</v>
      </c>
      <c r="H157" s="623" t="s">
        <v>1529</v>
      </c>
      <c r="I157" s="1822"/>
      <c r="J157" s="1733"/>
      <c r="K157" s="1739"/>
      <c r="L157" s="90"/>
    </row>
    <row r="158" spans="1:12" s="168" customFormat="1" ht="15">
      <c r="A158" s="623">
        <v>45216.333831018521</v>
      </c>
      <c r="B158" s="623" t="s">
        <v>2644</v>
      </c>
      <c r="C158" s="623" t="s">
        <v>4412</v>
      </c>
      <c r="D158" s="624" t="s">
        <v>6368</v>
      </c>
      <c r="E158" s="605">
        <v>-381.61</v>
      </c>
      <c r="F158" s="732">
        <v>0</v>
      </c>
      <c r="G158" s="749">
        <v>-381.61</v>
      </c>
      <c r="H158" s="623" t="s">
        <v>1529</v>
      </c>
      <c r="I158" s="1822"/>
      <c r="J158" s="1733"/>
      <c r="K158" s="1739"/>
      <c r="L158" s="90"/>
    </row>
    <row r="159" spans="1:12" s="168" customFormat="1" ht="15">
      <c r="A159" s="623">
        <v>45216.333831018521</v>
      </c>
      <c r="B159" s="623" t="s">
        <v>2644</v>
      </c>
      <c r="C159" s="623" t="s">
        <v>4412</v>
      </c>
      <c r="D159" s="624" t="s">
        <v>6369</v>
      </c>
      <c r="E159" s="605">
        <v>-143.36000000000001</v>
      </c>
      <c r="F159" s="732">
        <v>0</v>
      </c>
      <c r="G159" s="749">
        <v>-143.36000000000001</v>
      </c>
      <c r="H159" s="623" t="s">
        <v>1529</v>
      </c>
      <c r="I159" s="1822"/>
      <c r="J159" s="1733"/>
      <c r="K159" s="1739"/>
      <c r="L159" s="90"/>
    </row>
    <row r="160" spans="1:12" s="168" customFormat="1" ht="15">
      <c r="A160" s="623">
        <v>45216.333831018521</v>
      </c>
      <c r="B160" s="623" t="s">
        <v>2644</v>
      </c>
      <c r="C160" s="623" t="s">
        <v>4412</v>
      </c>
      <c r="D160" s="624" t="s">
        <v>6370</v>
      </c>
      <c r="E160" s="605">
        <v>-194.6</v>
      </c>
      <c r="F160" s="732">
        <v>0</v>
      </c>
      <c r="G160" s="749">
        <v>-194.6</v>
      </c>
      <c r="H160" s="623" t="s">
        <v>1529</v>
      </c>
      <c r="I160" s="1822"/>
      <c r="J160" s="1733"/>
      <c r="K160" s="1739"/>
      <c r="L160" s="90"/>
    </row>
    <row r="161" spans="1:12" s="168" customFormat="1" ht="15">
      <c r="A161" s="623">
        <v>45218.333831018521</v>
      </c>
      <c r="B161" s="623" t="s">
        <v>2644</v>
      </c>
      <c r="C161" s="623" t="s">
        <v>4412</v>
      </c>
      <c r="D161" s="624" t="s">
        <v>6371</v>
      </c>
      <c r="E161" s="605">
        <v>2233.09</v>
      </c>
      <c r="F161" s="732">
        <v>0</v>
      </c>
      <c r="G161" s="749">
        <v>2233.09</v>
      </c>
      <c r="H161" s="623">
        <v>45277.333831018521</v>
      </c>
      <c r="I161" s="1822"/>
      <c r="J161" s="1733"/>
      <c r="K161" s="1739"/>
      <c r="L161" s="90"/>
    </row>
    <row r="162" spans="1:12" s="168" customFormat="1" ht="15">
      <c r="A162" s="623"/>
      <c r="B162" s="623"/>
      <c r="C162" s="623"/>
      <c r="D162" s="624"/>
      <c r="E162" s="605"/>
      <c r="F162" s="732"/>
      <c r="G162" s="749"/>
      <c r="H162" s="623"/>
      <c r="I162" s="1745"/>
      <c r="J162" s="1733"/>
      <c r="K162" s="1739"/>
      <c r="L162" s="90"/>
    </row>
    <row r="163" spans="1:12" s="168" customFormat="1" ht="15">
      <c r="A163" s="623"/>
      <c r="B163" s="623"/>
      <c r="C163" s="623"/>
      <c r="D163" s="624"/>
      <c r="E163" s="605"/>
      <c r="F163" s="732"/>
      <c r="G163" s="749"/>
      <c r="H163" s="623"/>
      <c r="I163" s="1745"/>
      <c r="J163" s="1733"/>
      <c r="K163" s="1739"/>
      <c r="L163" s="90"/>
    </row>
    <row r="164" spans="1:12" s="168" customFormat="1" ht="15">
      <c r="A164" s="623"/>
      <c r="B164" s="623"/>
      <c r="C164" s="623"/>
      <c r="D164" s="624"/>
      <c r="E164" s="605"/>
      <c r="F164" s="732"/>
      <c r="G164" s="749"/>
      <c r="H164" s="623"/>
      <c r="I164" s="1745"/>
      <c r="J164" s="1733"/>
      <c r="K164" s="1739"/>
      <c r="L164" s="90"/>
    </row>
    <row r="165" spans="1:12" s="168" customFormat="1" ht="15">
      <c r="A165" s="623"/>
      <c r="B165" s="623"/>
      <c r="C165" s="623"/>
      <c r="D165" s="624"/>
      <c r="E165" s="605"/>
      <c r="F165" s="732"/>
      <c r="G165" s="749"/>
      <c r="H165" s="623"/>
      <c r="I165" s="1745"/>
      <c r="J165" s="1733"/>
      <c r="K165" s="1739"/>
      <c r="L165" s="90"/>
    </row>
    <row r="166" spans="1:12" s="168" customFormat="1" ht="15">
      <c r="A166" s="623"/>
      <c r="B166" s="623"/>
      <c r="C166" s="623"/>
      <c r="D166" s="624"/>
      <c r="E166" s="605"/>
      <c r="F166" s="732"/>
      <c r="G166" s="749"/>
      <c r="H166" s="623"/>
      <c r="I166" s="1722"/>
      <c r="J166" s="1713"/>
      <c r="K166" s="1719"/>
      <c r="L166" s="90"/>
    </row>
    <row r="167" spans="1:12" s="168" customFormat="1" ht="15">
      <c r="A167" s="623"/>
      <c r="B167" s="623"/>
      <c r="C167" s="623"/>
      <c r="D167" s="624"/>
      <c r="E167" s="605"/>
      <c r="F167" s="732"/>
      <c r="G167" s="749"/>
      <c r="H167" s="623"/>
      <c r="I167" s="1684"/>
      <c r="J167" s="1674"/>
      <c r="K167" s="1681"/>
      <c r="L167" s="90"/>
    </row>
    <row r="168" spans="1:12" s="168" customFormat="1" ht="15">
      <c r="A168" s="623"/>
      <c r="B168" s="623"/>
      <c r="C168" s="623"/>
      <c r="D168" s="624"/>
      <c r="E168" s="605"/>
      <c r="F168" s="732"/>
      <c r="G168" s="749"/>
      <c r="H168" s="623"/>
      <c r="I168" s="1684"/>
      <c r="J168" s="1674"/>
      <c r="K168" s="1681"/>
      <c r="L168" s="90"/>
    </row>
    <row r="169" spans="1:12" s="168" customFormat="1" ht="15">
      <c r="A169" s="623"/>
      <c r="B169" s="623"/>
      <c r="C169" s="623"/>
      <c r="D169" s="624"/>
      <c r="E169" s="605"/>
      <c r="F169" s="732"/>
      <c r="G169" s="749"/>
      <c r="H169" s="623"/>
      <c r="I169" s="1299"/>
      <c r="J169" s="1546"/>
      <c r="K169" s="1550"/>
      <c r="L169" s="90"/>
    </row>
    <row r="170" spans="1:12" s="168" customFormat="1" ht="15">
      <c r="A170" s="623"/>
      <c r="B170" s="623"/>
      <c r="C170" s="623"/>
      <c r="D170" s="624"/>
      <c r="E170" s="605"/>
      <c r="F170" s="732"/>
      <c r="G170" s="749"/>
      <c r="H170" s="623"/>
      <c r="I170" s="1072"/>
      <c r="J170" s="1546"/>
      <c r="K170" s="1550"/>
      <c r="L170" s="90"/>
    </row>
    <row r="171" spans="1:12" s="168" customFormat="1" ht="15">
      <c r="A171" s="623"/>
      <c r="B171" s="623"/>
      <c r="C171" s="623"/>
      <c r="D171" s="624"/>
      <c r="E171" s="605"/>
      <c r="F171" s="732"/>
      <c r="G171" s="749"/>
      <c r="H171" s="623"/>
      <c r="I171" s="1072"/>
      <c r="J171" s="1546"/>
      <c r="K171" s="1550"/>
      <c r="L171" s="90"/>
    </row>
    <row r="172" spans="1:12" s="168" customFormat="1" ht="15">
      <c r="A172" s="623"/>
      <c r="B172" s="623"/>
      <c r="C172" s="623"/>
      <c r="D172" s="624"/>
      <c r="E172" s="605"/>
      <c r="F172" s="732"/>
      <c r="G172" s="749"/>
      <c r="H172" s="623"/>
      <c r="I172" s="1072"/>
      <c r="J172" s="1546"/>
      <c r="K172" s="1550"/>
      <c r="L172" s="90"/>
    </row>
    <row r="173" spans="1:12" ht="15">
      <c r="A173" s="634"/>
      <c r="B173" s="634"/>
      <c r="C173" s="634"/>
      <c r="D173" s="634"/>
      <c r="E173" s="619"/>
      <c r="F173" s="1144" t="s">
        <v>545</v>
      </c>
      <c r="G173" s="651">
        <f>SUM(G92:G172)-SUM(I92:I172)</f>
        <v>1229.9799999999668</v>
      </c>
      <c r="H173" s="751"/>
      <c r="I173" s="639"/>
      <c r="J173" s="1546"/>
      <c r="K173" s="1550"/>
      <c r="L173" s="90"/>
    </row>
    <row r="174" spans="1:12">
      <c r="I174" s="190"/>
      <c r="J174" s="258"/>
    </row>
    <row r="175" spans="1:12">
      <c r="I175" s="190"/>
    </row>
    <row r="176" spans="1:12">
      <c r="I176" s="190"/>
    </row>
    <row r="177" spans="9:9">
      <c r="I177" s="190"/>
    </row>
    <row r="178" spans="9:9">
      <c r="I178" s="190"/>
    </row>
  </sheetData>
  <autoFilter ref="A49:L98"/>
  <mergeCells count="61">
    <mergeCell ref="I143:I156"/>
    <mergeCell ref="K143:K156"/>
    <mergeCell ref="J143:J156"/>
    <mergeCell ref="K141:K142"/>
    <mergeCell ref="J141:J142"/>
    <mergeCell ref="I141:I142"/>
    <mergeCell ref="I129:I138"/>
    <mergeCell ref="K129:K138"/>
    <mergeCell ref="J129:J138"/>
    <mergeCell ref="K139:K140"/>
    <mergeCell ref="J139:J140"/>
    <mergeCell ref="I139:I140"/>
    <mergeCell ref="K20:K22"/>
    <mergeCell ref="K92:K94"/>
    <mergeCell ref="J50:J80"/>
    <mergeCell ref="J81:J85"/>
    <mergeCell ref="J86:J90"/>
    <mergeCell ref="J92:J94"/>
    <mergeCell ref="K26:K29"/>
    <mergeCell ref="K30:K39"/>
    <mergeCell ref="K50:K80"/>
    <mergeCell ref="K81:K85"/>
    <mergeCell ref="K86:K90"/>
    <mergeCell ref="K23:K24"/>
    <mergeCell ref="J30:J43"/>
    <mergeCell ref="A91:E91"/>
    <mergeCell ref="I95:I112"/>
    <mergeCell ref="K95:K112"/>
    <mergeCell ref="J95:J112"/>
    <mergeCell ref="K117:K123"/>
    <mergeCell ref="J117:J123"/>
    <mergeCell ref="I117:I123"/>
    <mergeCell ref="I86:I90"/>
    <mergeCell ref="I92:I94"/>
    <mergeCell ref="J2:J3"/>
    <mergeCell ref="J4:J6"/>
    <mergeCell ref="I20:I22"/>
    <mergeCell ref="I23:I24"/>
    <mergeCell ref="I26:I29"/>
    <mergeCell ref="I30:I43"/>
    <mergeCell ref="J7:J16"/>
    <mergeCell ref="J17:J19"/>
    <mergeCell ref="J20:J22"/>
    <mergeCell ref="J23:J24"/>
    <mergeCell ref="J26:J29"/>
    <mergeCell ref="I50:I80"/>
    <mergeCell ref="I81:I85"/>
    <mergeCell ref="I2:I3"/>
    <mergeCell ref="I4:I6"/>
    <mergeCell ref="I7:I16"/>
    <mergeCell ref="I17:I19"/>
    <mergeCell ref="K2:K3"/>
    <mergeCell ref="K4:K6"/>
    <mergeCell ref="K7:K16"/>
    <mergeCell ref="K17:K19"/>
    <mergeCell ref="I124:I128"/>
    <mergeCell ref="K124:K128"/>
    <mergeCell ref="J124:J128"/>
    <mergeCell ref="K113:K116"/>
    <mergeCell ref="J113:J116"/>
    <mergeCell ref="I113:I116"/>
  </mergeCells>
  <phoneticPr fontId="15" type="noConversion"/>
  <hyperlinks>
    <hyperlink ref="F173" location="汇总!A1" display="剩余欠款"/>
  </hyperlinks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N22"/>
  <sheetViews>
    <sheetView workbookViewId="0">
      <pane ySplit="1" topLeftCell="A2" activePane="bottomLeft" state="frozen"/>
      <selection activeCell="C33" sqref="C33"/>
      <selection pane="bottomLeft" activeCell="F22" sqref="F22"/>
    </sheetView>
  </sheetViews>
  <sheetFormatPr defaultRowHeight="14.25"/>
  <cols>
    <col min="1" max="1" width="12" bestFit="1" customWidth="1"/>
    <col min="2" max="2" width="8.875" bestFit="1" customWidth="1"/>
    <col min="3" max="3" width="33.625" bestFit="1" customWidth="1"/>
    <col min="4" max="4" width="15" bestFit="1" customWidth="1"/>
    <col min="5" max="6" width="12" customWidth="1"/>
    <col min="7" max="7" width="13.25" style="114" bestFit="1" customWidth="1"/>
    <col min="8" max="8" width="16.75" style="114" bestFit="1" customWidth="1"/>
    <col min="9" max="9" width="14.125" bestFit="1" customWidth="1"/>
    <col min="10" max="10" width="12" bestFit="1" customWidth="1"/>
    <col min="11" max="11" width="11.375" bestFit="1" customWidth="1"/>
    <col min="12" max="12" width="80.5" bestFit="1" customWidth="1"/>
    <col min="13" max="13" width="10.5" bestFit="1" customWidth="1"/>
    <col min="14" max="14" width="13.875" bestFit="1" customWidth="1"/>
  </cols>
  <sheetData>
    <row r="1" spans="1:14" s="96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6" t="s">
        <v>542</v>
      </c>
    </row>
    <row r="2" spans="1:14" ht="15">
      <c r="A2" s="1903">
        <v>44221</v>
      </c>
      <c r="B2" s="1918" t="s">
        <v>4134</v>
      </c>
      <c r="C2" s="1918" t="s">
        <v>3732</v>
      </c>
      <c r="D2" s="1929" t="s">
        <v>1270</v>
      </c>
      <c r="E2" s="1906">
        <v>20753.03</v>
      </c>
      <c r="F2" s="1927">
        <v>0</v>
      </c>
      <c r="G2" s="611">
        <f>20753.02-15753.02</f>
        <v>5000</v>
      </c>
      <c r="H2" s="632">
        <v>44221</v>
      </c>
      <c r="I2" s="742">
        <v>5000</v>
      </c>
      <c r="J2" s="632">
        <v>44277</v>
      </c>
      <c r="K2" s="615" t="s">
        <v>3104</v>
      </c>
      <c r="L2" s="118" t="s">
        <v>1890</v>
      </c>
    </row>
    <row r="3" spans="1:14" ht="15">
      <c r="A3" s="1904"/>
      <c r="B3" s="1919"/>
      <c r="C3" s="1919"/>
      <c r="D3" s="1977"/>
      <c r="E3" s="1907"/>
      <c r="F3" s="1960"/>
      <c r="G3" s="611">
        <v>7000</v>
      </c>
      <c r="H3" s="632">
        <v>44221</v>
      </c>
      <c r="I3" s="742">
        <v>7000</v>
      </c>
      <c r="J3" s="632">
        <v>44350</v>
      </c>
      <c r="K3" s="615" t="s">
        <v>3104</v>
      </c>
      <c r="L3" s="118"/>
    </row>
    <row r="4" spans="1:14" ht="15">
      <c r="A4" s="1904"/>
      <c r="B4" s="1919"/>
      <c r="C4" s="1919"/>
      <c r="D4" s="1977"/>
      <c r="E4" s="1907"/>
      <c r="F4" s="1960"/>
      <c r="G4" s="611">
        <v>0.01</v>
      </c>
      <c r="H4" s="632">
        <v>44221</v>
      </c>
      <c r="I4" s="629">
        <v>0.01</v>
      </c>
      <c r="J4" s="630">
        <v>44356</v>
      </c>
      <c r="K4" s="752" t="s">
        <v>3105</v>
      </c>
      <c r="L4" s="118"/>
    </row>
    <row r="5" spans="1:14" ht="15">
      <c r="A5" s="1905"/>
      <c r="B5" s="1920"/>
      <c r="C5" s="1920"/>
      <c r="D5" s="1930"/>
      <c r="E5" s="1908"/>
      <c r="F5" s="1928"/>
      <c r="G5" s="611">
        <v>8753.01</v>
      </c>
      <c r="H5" s="632"/>
      <c r="I5" s="1906">
        <v>7342.46</v>
      </c>
      <c r="J5" s="1903">
        <v>44354</v>
      </c>
      <c r="K5" s="1909" t="s">
        <v>3106</v>
      </c>
      <c r="L5" s="118"/>
    </row>
    <row r="6" spans="1:14" ht="15">
      <c r="A6" s="632">
        <v>44277.999490740738</v>
      </c>
      <c r="B6" s="1124" t="s">
        <v>4134</v>
      </c>
      <c r="C6" s="1124" t="s">
        <v>3732</v>
      </c>
      <c r="D6" s="621" t="s">
        <v>1271</v>
      </c>
      <c r="E6" s="631">
        <v>-230.78</v>
      </c>
      <c r="F6" s="731">
        <v>0</v>
      </c>
      <c r="G6" s="611">
        <v>-230.78</v>
      </c>
      <c r="H6" s="632" t="s">
        <v>1529</v>
      </c>
      <c r="I6" s="1907"/>
      <c r="J6" s="1904"/>
      <c r="K6" s="1910"/>
      <c r="L6" s="118" t="s">
        <v>1891</v>
      </c>
      <c r="M6" s="114"/>
      <c r="N6" s="418"/>
    </row>
    <row r="7" spans="1:14" ht="15">
      <c r="A7" s="632">
        <v>44277.999490740738</v>
      </c>
      <c r="B7" s="1124" t="s">
        <v>4134</v>
      </c>
      <c r="C7" s="1124" t="s">
        <v>3732</v>
      </c>
      <c r="D7" s="621" t="s">
        <v>1272</v>
      </c>
      <c r="E7" s="631">
        <v>-879.94</v>
      </c>
      <c r="F7" s="731">
        <v>0</v>
      </c>
      <c r="G7" s="611">
        <v>-879.94</v>
      </c>
      <c r="H7" s="632" t="s">
        <v>1529</v>
      </c>
      <c r="I7" s="1907"/>
      <c r="J7" s="1904"/>
      <c r="K7" s="1910"/>
      <c r="L7" s="118" t="s">
        <v>1891</v>
      </c>
      <c r="M7" s="114"/>
      <c r="N7" s="418"/>
    </row>
    <row r="8" spans="1:14" ht="15">
      <c r="A8" s="632">
        <v>44277.999490740738</v>
      </c>
      <c r="B8" s="1124" t="s">
        <v>4134</v>
      </c>
      <c r="C8" s="1124" t="s">
        <v>3732</v>
      </c>
      <c r="D8" s="621" t="s">
        <v>1273</v>
      </c>
      <c r="E8" s="631">
        <v>-8.5500000000000007</v>
      </c>
      <c r="F8" s="731">
        <v>0</v>
      </c>
      <c r="G8" s="611">
        <v>-8.5500000000000007</v>
      </c>
      <c r="H8" s="632" t="s">
        <v>1529</v>
      </c>
      <c r="I8" s="1907"/>
      <c r="J8" s="1904"/>
      <c r="K8" s="1910"/>
      <c r="L8" s="118" t="s">
        <v>1891</v>
      </c>
      <c r="M8" s="114"/>
      <c r="N8" s="418"/>
    </row>
    <row r="9" spans="1:14" ht="15">
      <c r="A9" s="632">
        <v>44335</v>
      </c>
      <c r="B9" s="1124" t="s">
        <v>4134</v>
      </c>
      <c r="C9" s="1124" t="s">
        <v>3732</v>
      </c>
      <c r="D9" s="621" t="s">
        <v>1274</v>
      </c>
      <c r="E9" s="631">
        <v>-291.27999999999997</v>
      </c>
      <c r="F9" s="731">
        <v>0</v>
      </c>
      <c r="G9" s="611">
        <v>-291.27999999999997</v>
      </c>
      <c r="H9" s="632">
        <v>44335</v>
      </c>
      <c r="I9" s="1908"/>
      <c r="J9" s="1905"/>
      <c r="K9" s="1911"/>
      <c r="L9" s="118"/>
      <c r="M9" s="114"/>
      <c r="N9" s="418"/>
    </row>
    <row r="10" spans="1:14" ht="15">
      <c r="A10" s="871">
        <v>44592</v>
      </c>
      <c r="B10" s="1124" t="s">
        <v>4134</v>
      </c>
      <c r="C10" s="1124" t="s">
        <v>3732</v>
      </c>
      <c r="D10" s="872" t="s">
        <v>1275</v>
      </c>
      <c r="E10" s="631">
        <v>-9367.1200000000008</v>
      </c>
      <c r="F10" s="731">
        <v>0</v>
      </c>
      <c r="G10" s="611">
        <v>-9367.1200000000008</v>
      </c>
      <c r="H10" s="871" t="s">
        <v>1529</v>
      </c>
      <c r="I10" s="1923">
        <v>-4776.88</v>
      </c>
      <c r="J10" s="1903">
        <v>44865</v>
      </c>
      <c r="K10" s="2180" t="s">
        <v>3388</v>
      </c>
      <c r="L10" s="2004" t="s">
        <v>3387</v>
      </c>
      <c r="M10" s="114"/>
      <c r="N10" s="418"/>
    </row>
    <row r="11" spans="1:14" ht="15" customHeight="1">
      <c r="A11" s="871">
        <v>44592</v>
      </c>
      <c r="B11" s="1124" t="s">
        <v>4134</v>
      </c>
      <c r="C11" s="1124" t="s">
        <v>3732</v>
      </c>
      <c r="D11" s="872" t="s">
        <v>1276</v>
      </c>
      <c r="E11" s="631">
        <v>-513.9</v>
      </c>
      <c r="F11" s="731">
        <v>0</v>
      </c>
      <c r="G11" s="611">
        <v>-513.9</v>
      </c>
      <c r="H11" s="871" t="s">
        <v>1529</v>
      </c>
      <c r="I11" s="1961"/>
      <c r="J11" s="1904"/>
      <c r="K11" s="1910"/>
      <c r="L11" s="2005"/>
      <c r="M11" s="114"/>
      <c r="N11" s="418"/>
    </row>
    <row r="12" spans="1:14" ht="15" customHeight="1">
      <c r="A12" s="871">
        <v>44594</v>
      </c>
      <c r="B12" s="1124" t="s">
        <v>4134</v>
      </c>
      <c r="C12" s="1124" t="s">
        <v>3732</v>
      </c>
      <c r="D12" s="872" t="s">
        <v>1277</v>
      </c>
      <c r="E12" s="631">
        <v>-18</v>
      </c>
      <c r="F12" s="731">
        <v>0</v>
      </c>
      <c r="G12" s="611">
        <v>-18</v>
      </c>
      <c r="H12" s="871" t="s">
        <v>1529</v>
      </c>
      <c r="I12" s="1961"/>
      <c r="J12" s="1904"/>
      <c r="K12" s="1910"/>
      <c r="L12" s="2005"/>
      <c r="M12" s="114"/>
      <c r="N12" s="418"/>
    </row>
    <row r="13" spans="1:14" ht="15" customHeight="1">
      <c r="A13" s="871">
        <v>44594</v>
      </c>
      <c r="B13" s="1124" t="s">
        <v>4134</v>
      </c>
      <c r="C13" s="1124" t="s">
        <v>3732</v>
      </c>
      <c r="D13" s="872" t="s">
        <v>1278</v>
      </c>
      <c r="E13" s="631">
        <v>-134.1</v>
      </c>
      <c r="F13" s="731">
        <v>0</v>
      </c>
      <c r="G13" s="611">
        <f>-134.1</f>
        <v>-134.1</v>
      </c>
      <c r="H13" s="747" t="s">
        <v>1529</v>
      </c>
      <c r="I13" s="1961"/>
      <c r="J13" s="1904"/>
      <c r="K13" s="1910"/>
      <c r="L13" s="2005"/>
      <c r="M13" s="114"/>
      <c r="N13" s="418"/>
    </row>
    <row r="14" spans="1:14" ht="15" customHeight="1">
      <c r="A14" s="871">
        <v>44848.000497685185</v>
      </c>
      <c r="B14" s="1124" t="s">
        <v>2644</v>
      </c>
      <c r="C14" s="1124" t="s">
        <v>3732</v>
      </c>
      <c r="D14" s="872" t="s">
        <v>3281</v>
      </c>
      <c r="E14" s="631">
        <v>1754.78</v>
      </c>
      <c r="F14" s="731">
        <v>0</v>
      </c>
      <c r="G14" s="611">
        <v>1754.78</v>
      </c>
      <c r="H14" s="747">
        <v>44849.000497685185</v>
      </c>
      <c r="I14" s="1961"/>
      <c r="J14" s="1904"/>
      <c r="K14" s="1910"/>
      <c r="L14" s="2005"/>
      <c r="M14" s="114"/>
      <c r="N14" s="418"/>
    </row>
    <row r="15" spans="1:14" ht="15" customHeight="1">
      <c r="A15" s="871">
        <v>44848.000497685185</v>
      </c>
      <c r="B15" s="1124" t="s">
        <v>2644</v>
      </c>
      <c r="C15" s="1124" t="s">
        <v>3732</v>
      </c>
      <c r="D15" s="872" t="s">
        <v>3282</v>
      </c>
      <c r="E15" s="631">
        <v>1754.78</v>
      </c>
      <c r="F15" s="731">
        <v>0</v>
      </c>
      <c r="G15" s="611">
        <v>1754.78</v>
      </c>
      <c r="H15" s="747">
        <v>44849.000497685185</v>
      </c>
      <c r="I15" s="1961"/>
      <c r="J15" s="1904"/>
      <c r="K15" s="1910"/>
      <c r="L15" s="2005"/>
      <c r="M15" s="114"/>
      <c r="N15" s="418"/>
    </row>
    <row r="16" spans="1:14" ht="15" customHeight="1">
      <c r="A16" s="871">
        <v>44848.000497685185</v>
      </c>
      <c r="B16" s="1124" t="s">
        <v>2644</v>
      </c>
      <c r="C16" s="1124" t="s">
        <v>3732</v>
      </c>
      <c r="D16" s="872" t="s">
        <v>3283</v>
      </c>
      <c r="E16" s="631">
        <v>1746.68</v>
      </c>
      <c r="F16" s="731">
        <v>0</v>
      </c>
      <c r="G16" s="611">
        <v>1746.68</v>
      </c>
      <c r="H16" s="747">
        <v>44849.000497685185</v>
      </c>
      <c r="I16" s="1924"/>
      <c r="J16" s="1905"/>
      <c r="K16" s="1911"/>
      <c r="L16" s="2006"/>
      <c r="M16" s="114"/>
      <c r="N16" s="418"/>
    </row>
    <row r="17" spans="1:14" ht="15" customHeight="1">
      <c r="A17" s="623"/>
      <c r="B17" s="623"/>
      <c r="C17" s="623"/>
      <c r="D17" s="624"/>
      <c r="E17" s="606"/>
      <c r="F17" s="732"/>
      <c r="G17" s="605"/>
      <c r="H17" s="747"/>
      <c r="I17" s="718"/>
      <c r="J17" s="753"/>
      <c r="K17" s="596"/>
      <c r="L17" s="118"/>
      <c r="M17" s="114"/>
      <c r="N17" s="418"/>
    </row>
    <row r="18" spans="1:14" ht="15" customHeight="1">
      <c r="A18" s="623"/>
      <c r="B18" s="623"/>
      <c r="C18" s="623"/>
      <c r="D18" s="624"/>
      <c r="E18" s="606"/>
      <c r="F18" s="732"/>
      <c r="G18" s="605"/>
      <c r="H18" s="747"/>
      <c r="I18" s="718"/>
      <c r="J18" s="753"/>
      <c r="K18" s="596"/>
      <c r="L18" s="118"/>
      <c r="M18" s="114"/>
      <c r="N18" s="418"/>
    </row>
    <row r="19" spans="1:14" ht="15" customHeight="1">
      <c r="A19" s="623"/>
      <c r="B19" s="623"/>
      <c r="C19" s="623"/>
      <c r="D19" s="624"/>
      <c r="E19" s="606"/>
      <c r="F19" s="732"/>
      <c r="G19" s="605"/>
      <c r="H19" s="747"/>
      <c r="I19" s="718"/>
      <c r="J19" s="753"/>
      <c r="K19" s="596"/>
      <c r="L19" s="118"/>
      <c r="M19" s="114"/>
      <c r="N19" s="418"/>
    </row>
    <row r="20" spans="1:14" ht="15">
      <c r="A20" s="632"/>
      <c r="B20" s="1126"/>
      <c r="C20" s="1126"/>
      <c r="D20" s="80"/>
      <c r="E20" s="80"/>
      <c r="F20" s="80"/>
      <c r="G20" s="611"/>
      <c r="H20" s="112"/>
      <c r="I20" s="615"/>
      <c r="J20" s="615"/>
      <c r="K20" s="615"/>
      <c r="L20" s="80"/>
    </row>
    <row r="21" spans="1:14" ht="15">
      <c r="A21" s="708"/>
      <c r="B21" s="708"/>
      <c r="C21" s="708"/>
      <c r="D21" s="708"/>
      <c r="E21" s="708"/>
      <c r="F21" s="708"/>
      <c r="G21" s="611"/>
      <c r="H21" s="611"/>
      <c r="I21" s="708"/>
      <c r="J21" s="708"/>
      <c r="K21" s="708"/>
      <c r="L21" s="113"/>
    </row>
    <row r="22" spans="1:14" ht="15">
      <c r="A22" s="708"/>
      <c r="B22" s="708"/>
      <c r="C22" s="708"/>
      <c r="D22" s="708"/>
      <c r="E22" s="621"/>
      <c r="F22" s="1144" t="s">
        <v>545</v>
      </c>
      <c r="G22" s="617">
        <f>SUM(G2:G21)-SUM(I2:I21)</f>
        <v>0</v>
      </c>
      <c r="H22" s="605"/>
      <c r="I22" s="708"/>
      <c r="J22" s="708"/>
      <c r="K22" s="708"/>
      <c r="L22" s="113"/>
    </row>
  </sheetData>
  <mergeCells count="13">
    <mergeCell ref="K10:K16"/>
    <mergeCell ref="J10:J16"/>
    <mergeCell ref="I10:I16"/>
    <mergeCell ref="L10:L16"/>
    <mergeCell ref="D2:D5"/>
    <mergeCell ref="A2:A5"/>
    <mergeCell ref="K5:K9"/>
    <mergeCell ref="J5:J9"/>
    <mergeCell ref="I5:I9"/>
    <mergeCell ref="F2:F5"/>
    <mergeCell ref="E2:E5"/>
    <mergeCell ref="C2:C5"/>
    <mergeCell ref="B2:B5"/>
  </mergeCells>
  <phoneticPr fontId="15" type="noConversion"/>
  <hyperlinks>
    <hyperlink ref="F22" location="汇总!A1" display="剩余欠款"/>
  </hyperlinks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L72"/>
  <sheetViews>
    <sheetView workbookViewId="0">
      <pane ySplit="1" topLeftCell="A35" activePane="bottomLeft" state="frozen"/>
      <selection pane="bottomLeft" activeCell="F64" sqref="F64"/>
    </sheetView>
  </sheetViews>
  <sheetFormatPr defaultRowHeight="14.25"/>
  <cols>
    <col min="1" max="1" width="12" style="164" bestFit="1" customWidth="1"/>
    <col min="2" max="2" width="8.875" style="164" bestFit="1" customWidth="1"/>
    <col min="3" max="3" width="32" style="164" bestFit="1" customWidth="1"/>
    <col min="4" max="4" width="15" style="164" customWidth="1"/>
    <col min="5" max="5" width="11.75" style="164" customWidth="1"/>
    <col min="6" max="6" width="11.75" style="598" customWidth="1"/>
    <col min="7" max="7" width="17.375" style="164" bestFit="1" customWidth="1"/>
    <col min="8" max="8" width="16.75" style="164" bestFit="1" customWidth="1"/>
    <col min="9" max="9" width="15.125" style="164" bestFit="1" customWidth="1"/>
    <col min="10" max="10" width="15.125" style="96" bestFit="1" customWidth="1"/>
    <col min="11" max="11" width="13.875" style="164" bestFit="1" customWidth="1"/>
    <col min="12" max="12" width="33.125" style="164" bestFit="1" customWidth="1"/>
    <col min="13" max="16384" width="9" style="164"/>
  </cols>
  <sheetData>
    <row r="1" spans="1:12" s="96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7" t="s">
        <v>2721</v>
      </c>
      <c r="H1" s="257" t="s">
        <v>4099</v>
      </c>
      <c r="I1" s="257" t="s">
        <v>3043</v>
      </c>
      <c r="J1" s="257" t="s">
        <v>4100</v>
      </c>
      <c r="K1" s="257" t="s">
        <v>541</v>
      </c>
      <c r="L1" s="257" t="s">
        <v>542</v>
      </c>
    </row>
    <row r="2" spans="1:12" ht="15" customHeight="1">
      <c r="A2" s="632">
        <v>44578</v>
      </c>
      <c r="B2" s="1124" t="s">
        <v>521</v>
      </c>
      <c r="C2" s="1124" t="s">
        <v>5138</v>
      </c>
      <c r="D2" s="621" t="s">
        <v>1279</v>
      </c>
      <c r="E2" s="613">
        <v>6995.55</v>
      </c>
      <c r="F2" s="614">
        <v>1469.07</v>
      </c>
      <c r="G2" s="718">
        <v>8464.61</v>
      </c>
      <c r="H2" s="632">
        <v>44578</v>
      </c>
      <c r="I2" s="718">
        <v>8464.61</v>
      </c>
      <c r="J2" s="632">
        <v>44676</v>
      </c>
      <c r="K2" s="591" t="s">
        <v>1506</v>
      </c>
      <c r="L2" s="595"/>
    </row>
    <row r="3" spans="1:12" ht="15" customHeight="1">
      <c r="A3" s="632">
        <v>44588.000497685185</v>
      </c>
      <c r="B3" s="1124" t="s">
        <v>521</v>
      </c>
      <c r="C3" s="1124" t="s">
        <v>5138</v>
      </c>
      <c r="D3" s="621" t="s">
        <v>1963</v>
      </c>
      <c r="E3" s="613">
        <v>0.26</v>
      </c>
      <c r="F3" s="614">
        <v>0</v>
      </c>
      <c r="G3" s="718">
        <v>0.26</v>
      </c>
      <c r="H3" s="632">
        <v>44588.000497685185</v>
      </c>
      <c r="I3" s="1981">
        <v>2.68</v>
      </c>
      <c r="J3" s="1903">
        <v>44656</v>
      </c>
      <c r="K3" s="1935" t="s">
        <v>1974</v>
      </c>
      <c r="L3" s="1935" t="s">
        <v>1973</v>
      </c>
    </row>
    <row r="4" spans="1:12" ht="15" customHeight="1">
      <c r="A4" s="632">
        <v>44588.000497685185</v>
      </c>
      <c r="B4" s="1124" t="s">
        <v>521</v>
      </c>
      <c r="C4" s="1124" t="s">
        <v>5138</v>
      </c>
      <c r="D4" s="621" t="s">
        <v>1964</v>
      </c>
      <c r="E4" s="613">
        <v>0.26</v>
      </c>
      <c r="F4" s="614">
        <v>0</v>
      </c>
      <c r="G4" s="718">
        <v>0.26</v>
      </c>
      <c r="H4" s="632">
        <v>44588.000497685185</v>
      </c>
      <c r="I4" s="2168"/>
      <c r="J4" s="1904"/>
      <c r="K4" s="1887"/>
      <c r="L4" s="2254"/>
    </row>
    <row r="5" spans="1:12" ht="15" customHeight="1">
      <c r="A5" s="632">
        <v>44588.000497685185</v>
      </c>
      <c r="B5" s="1124" t="s">
        <v>521</v>
      </c>
      <c r="C5" s="1124" t="s">
        <v>5138</v>
      </c>
      <c r="D5" s="621" t="s">
        <v>1965</v>
      </c>
      <c r="E5" s="613">
        <v>0.26</v>
      </c>
      <c r="F5" s="614">
        <v>0</v>
      </c>
      <c r="G5" s="718">
        <v>0.26</v>
      </c>
      <c r="H5" s="632">
        <v>44588.000497685185</v>
      </c>
      <c r="I5" s="2168"/>
      <c r="J5" s="1904"/>
      <c r="K5" s="1887"/>
      <c r="L5" s="2254"/>
    </row>
    <row r="6" spans="1:12" ht="15" customHeight="1">
      <c r="A6" s="632">
        <v>44588.000497685185</v>
      </c>
      <c r="B6" s="1124" t="s">
        <v>521</v>
      </c>
      <c r="C6" s="1124" t="s">
        <v>5138</v>
      </c>
      <c r="D6" s="621" t="s">
        <v>1966</v>
      </c>
      <c r="E6" s="613">
        <v>0.3</v>
      </c>
      <c r="F6" s="614">
        <v>0</v>
      </c>
      <c r="G6" s="718">
        <v>0.3</v>
      </c>
      <c r="H6" s="632">
        <v>44588.000497685185</v>
      </c>
      <c r="I6" s="2168"/>
      <c r="J6" s="1904"/>
      <c r="K6" s="1887"/>
      <c r="L6" s="2254"/>
    </row>
    <row r="7" spans="1:12" ht="15" customHeight="1">
      <c r="A7" s="632">
        <v>44588.000497685185</v>
      </c>
      <c r="B7" s="1124" t="s">
        <v>521</v>
      </c>
      <c r="C7" s="1124" t="s">
        <v>5138</v>
      </c>
      <c r="D7" s="621" t="s">
        <v>1967</v>
      </c>
      <c r="E7" s="613">
        <v>0.26</v>
      </c>
      <c r="F7" s="614">
        <v>0</v>
      </c>
      <c r="G7" s="718">
        <v>0.26</v>
      </c>
      <c r="H7" s="632">
        <v>44588.000497685185</v>
      </c>
      <c r="I7" s="2168"/>
      <c r="J7" s="1904"/>
      <c r="K7" s="1887"/>
      <c r="L7" s="2254"/>
    </row>
    <row r="8" spans="1:12" ht="15" customHeight="1">
      <c r="A8" s="632">
        <v>44588.000497685185</v>
      </c>
      <c r="B8" s="1124" t="s">
        <v>521</v>
      </c>
      <c r="C8" s="1124" t="s">
        <v>5138</v>
      </c>
      <c r="D8" s="621" t="s">
        <v>1968</v>
      </c>
      <c r="E8" s="613">
        <v>0.27</v>
      </c>
      <c r="F8" s="614">
        <v>0</v>
      </c>
      <c r="G8" s="718">
        <v>0.27</v>
      </c>
      <c r="H8" s="632">
        <v>44588.000497685185</v>
      </c>
      <c r="I8" s="2168"/>
      <c r="J8" s="1904"/>
      <c r="K8" s="1887"/>
      <c r="L8" s="2254"/>
    </row>
    <row r="9" spans="1:12" ht="15" customHeight="1">
      <c r="A9" s="632">
        <v>44588.000497685185</v>
      </c>
      <c r="B9" s="1124" t="s">
        <v>521</v>
      </c>
      <c r="C9" s="1124" t="s">
        <v>5138</v>
      </c>
      <c r="D9" s="621" t="s">
        <v>1969</v>
      </c>
      <c r="E9" s="613">
        <v>0.24</v>
      </c>
      <c r="F9" s="614">
        <v>0</v>
      </c>
      <c r="G9" s="718">
        <v>0.24</v>
      </c>
      <c r="H9" s="632">
        <v>44588.000497685185</v>
      </c>
      <c r="I9" s="2168"/>
      <c r="J9" s="1904"/>
      <c r="K9" s="1887"/>
      <c r="L9" s="2254"/>
    </row>
    <row r="10" spans="1:12" ht="15" customHeight="1">
      <c r="A10" s="632">
        <v>44588.000497685185</v>
      </c>
      <c r="B10" s="1124" t="s">
        <v>521</v>
      </c>
      <c r="C10" s="1124" t="s">
        <v>5138</v>
      </c>
      <c r="D10" s="621" t="s">
        <v>1970</v>
      </c>
      <c r="E10" s="613">
        <v>0.27</v>
      </c>
      <c r="F10" s="614">
        <v>0</v>
      </c>
      <c r="G10" s="718">
        <v>0.27</v>
      </c>
      <c r="H10" s="632">
        <v>44588.000497685185</v>
      </c>
      <c r="I10" s="2168"/>
      <c r="J10" s="1904"/>
      <c r="K10" s="1887"/>
      <c r="L10" s="2254"/>
    </row>
    <row r="11" spans="1:12" ht="15" customHeight="1">
      <c r="A11" s="632">
        <v>44588.000497685185</v>
      </c>
      <c r="B11" s="1124" t="s">
        <v>521</v>
      </c>
      <c r="C11" s="1124" t="s">
        <v>5138</v>
      </c>
      <c r="D11" s="621" t="s">
        <v>1971</v>
      </c>
      <c r="E11" s="613">
        <v>0.3</v>
      </c>
      <c r="F11" s="614">
        <v>0</v>
      </c>
      <c r="G11" s="718">
        <v>0.3</v>
      </c>
      <c r="H11" s="632">
        <v>44588.000497685185</v>
      </c>
      <c r="I11" s="2168"/>
      <c r="J11" s="1904"/>
      <c r="K11" s="1887"/>
      <c r="L11" s="2254"/>
    </row>
    <row r="12" spans="1:12" ht="15" customHeight="1">
      <c r="A12" s="632">
        <v>44588.000497685185</v>
      </c>
      <c r="B12" s="1124" t="s">
        <v>521</v>
      </c>
      <c r="C12" s="1124" t="s">
        <v>5138</v>
      </c>
      <c r="D12" s="621" t="s">
        <v>1972</v>
      </c>
      <c r="E12" s="613">
        <v>0.26</v>
      </c>
      <c r="F12" s="614">
        <v>0</v>
      </c>
      <c r="G12" s="718">
        <v>0.26</v>
      </c>
      <c r="H12" s="632">
        <v>44588.000497685185</v>
      </c>
      <c r="I12" s="1982"/>
      <c r="J12" s="1905"/>
      <c r="K12" s="1888"/>
      <c r="L12" s="2255"/>
    </row>
    <row r="13" spans="1:12" ht="15">
      <c r="A13" s="632">
        <v>44588</v>
      </c>
      <c r="B13" s="1124" t="s">
        <v>521</v>
      </c>
      <c r="C13" s="1124" t="s">
        <v>5138</v>
      </c>
      <c r="D13" s="621" t="s">
        <v>1280</v>
      </c>
      <c r="E13" s="613">
        <v>914.5</v>
      </c>
      <c r="F13" s="614">
        <v>192.05</v>
      </c>
      <c r="G13" s="718">
        <v>1106.55</v>
      </c>
      <c r="H13" s="632">
        <v>44588</v>
      </c>
      <c r="I13" s="718">
        <v>1106.55</v>
      </c>
      <c r="J13" s="632">
        <v>44676</v>
      </c>
      <c r="K13" s="591" t="s">
        <v>1506</v>
      </c>
      <c r="L13" s="596"/>
    </row>
    <row r="14" spans="1:12" ht="15">
      <c r="A14" s="632">
        <v>44600</v>
      </c>
      <c r="B14" s="1124" t="s">
        <v>521</v>
      </c>
      <c r="C14" s="1124" t="s">
        <v>5138</v>
      </c>
      <c r="D14" s="621" t="s">
        <v>1281</v>
      </c>
      <c r="E14" s="613">
        <v>399.79</v>
      </c>
      <c r="F14" s="614">
        <v>83.96</v>
      </c>
      <c r="G14" s="718">
        <v>483.75</v>
      </c>
      <c r="H14" s="632">
        <v>44600</v>
      </c>
      <c r="I14" s="718">
        <v>483.75</v>
      </c>
      <c r="J14" s="632">
        <v>44676</v>
      </c>
      <c r="K14" s="591" t="s">
        <v>1506</v>
      </c>
      <c r="L14" s="596"/>
    </row>
    <row r="15" spans="1:12" ht="15">
      <c r="A15" s="632">
        <v>44613</v>
      </c>
      <c r="B15" s="1124" t="s">
        <v>521</v>
      </c>
      <c r="C15" s="1124" t="s">
        <v>5138</v>
      </c>
      <c r="D15" s="621" t="s">
        <v>1282</v>
      </c>
      <c r="E15" s="613">
        <v>374.46</v>
      </c>
      <c r="F15" s="614">
        <v>78.64</v>
      </c>
      <c r="G15" s="718">
        <v>453.1</v>
      </c>
      <c r="H15" s="632">
        <v>44613</v>
      </c>
      <c r="I15" s="718">
        <v>453.1</v>
      </c>
      <c r="J15" s="632">
        <v>44676</v>
      </c>
      <c r="K15" s="591" t="s">
        <v>1506</v>
      </c>
      <c r="L15" s="596"/>
    </row>
    <row r="16" spans="1:12" ht="15">
      <c r="A16" s="632">
        <v>44650</v>
      </c>
      <c r="B16" s="1124" t="s">
        <v>4119</v>
      </c>
      <c r="C16" s="1124" t="s">
        <v>5138</v>
      </c>
      <c r="D16" s="621" t="s">
        <v>1810</v>
      </c>
      <c r="E16" s="613">
        <v>1401.45</v>
      </c>
      <c r="F16" s="614">
        <v>0</v>
      </c>
      <c r="G16" s="718">
        <v>1401.45</v>
      </c>
      <c r="H16" s="632">
        <v>44650</v>
      </c>
      <c r="I16" s="718">
        <v>1401.45</v>
      </c>
      <c r="J16" s="632">
        <v>44673</v>
      </c>
      <c r="K16" s="591" t="s">
        <v>1944</v>
      </c>
      <c r="L16" s="596"/>
    </row>
    <row r="17" spans="1:12" ht="15" customHeight="1">
      <c r="A17" s="632">
        <v>44684</v>
      </c>
      <c r="B17" s="1124" t="s">
        <v>4119</v>
      </c>
      <c r="C17" s="1124" t="s">
        <v>5138</v>
      </c>
      <c r="D17" s="621" t="s">
        <v>2048</v>
      </c>
      <c r="E17" s="613">
        <v>0.25</v>
      </c>
      <c r="F17" s="614">
        <v>0</v>
      </c>
      <c r="G17" s="718">
        <v>0.25</v>
      </c>
      <c r="H17" s="632">
        <v>44684.000497685185</v>
      </c>
      <c r="I17" s="1923">
        <v>1.19</v>
      </c>
      <c r="J17" s="1903">
        <v>44687</v>
      </c>
      <c r="K17" s="1935" t="s">
        <v>2019</v>
      </c>
      <c r="L17" s="2180" t="s">
        <v>2055</v>
      </c>
    </row>
    <row r="18" spans="1:12" ht="15" customHeight="1">
      <c r="A18" s="632">
        <v>44684</v>
      </c>
      <c r="B18" s="1124" t="s">
        <v>4119</v>
      </c>
      <c r="C18" s="1124" t="s">
        <v>5138</v>
      </c>
      <c r="D18" s="621" t="s">
        <v>2049</v>
      </c>
      <c r="E18" s="613">
        <v>0.21</v>
      </c>
      <c r="F18" s="614">
        <v>0</v>
      </c>
      <c r="G18" s="718">
        <v>0.21</v>
      </c>
      <c r="H18" s="632">
        <v>44684.000497685185</v>
      </c>
      <c r="I18" s="1961"/>
      <c r="J18" s="1904"/>
      <c r="K18" s="1887"/>
      <c r="L18" s="1910"/>
    </row>
    <row r="19" spans="1:12" ht="15" customHeight="1">
      <c r="A19" s="632">
        <v>44684</v>
      </c>
      <c r="B19" s="1124" t="s">
        <v>4119</v>
      </c>
      <c r="C19" s="1124" t="s">
        <v>5138</v>
      </c>
      <c r="D19" s="621" t="s">
        <v>2050</v>
      </c>
      <c r="E19" s="613">
        <v>0.18</v>
      </c>
      <c r="F19" s="614">
        <v>0</v>
      </c>
      <c r="G19" s="718">
        <v>0.18</v>
      </c>
      <c r="H19" s="632">
        <v>44684.000497685185</v>
      </c>
      <c r="I19" s="1961"/>
      <c r="J19" s="1904"/>
      <c r="K19" s="1887"/>
      <c r="L19" s="1910"/>
    </row>
    <row r="20" spans="1:12" ht="15" customHeight="1">
      <c r="A20" s="632">
        <v>44684</v>
      </c>
      <c r="B20" s="1124" t="s">
        <v>4119</v>
      </c>
      <c r="C20" s="1124" t="s">
        <v>5138</v>
      </c>
      <c r="D20" s="621" t="s">
        <v>2051</v>
      </c>
      <c r="E20" s="613">
        <v>0.18</v>
      </c>
      <c r="F20" s="614">
        <v>0</v>
      </c>
      <c r="G20" s="718">
        <v>0.18</v>
      </c>
      <c r="H20" s="632">
        <v>44684.000497685185</v>
      </c>
      <c r="I20" s="1961"/>
      <c r="J20" s="1904"/>
      <c r="K20" s="1887"/>
      <c r="L20" s="1910"/>
    </row>
    <row r="21" spans="1:12" ht="15" customHeight="1">
      <c r="A21" s="632">
        <v>44684</v>
      </c>
      <c r="B21" s="1124" t="s">
        <v>4119</v>
      </c>
      <c r="C21" s="1124" t="s">
        <v>5138</v>
      </c>
      <c r="D21" s="621" t="s">
        <v>2052</v>
      </c>
      <c r="E21" s="613">
        <v>0.18</v>
      </c>
      <c r="F21" s="614">
        <v>0</v>
      </c>
      <c r="G21" s="718">
        <v>0.18</v>
      </c>
      <c r="H21" s="632">
        <v>44684.000497685185</v>
      </c>
      <c r="I21" s="1961"/>
      <c r="J21" s="1904"/>
      <c r="K21" s="1887"/>
      <c r="L21" s="1910"/>
    </row>
    <row r="22" spans="1:12" ht="15" customHeight="1">
      <c r="A22" s="632">
        <v>44684</v>
      </c>
      <c r="B22" s="1124" t="s">
        <v>4119</v>
      </c>
      <c r="C22" s="1124" t="s">
        <v>5138</v>
      </c>
      <c r="D22" s="621" t="s">
        <v>2053</v>
      </c>
      <c r="E22" s="613">
        <v>0.19</v>
      </c>
      <c r="F22" s="614">
        <v>0</v>
      </c>
      <c r="G22" s="718">
        <v>0.19</v>
      </c>
      <c r="H22" s="632">
        <v>44684.000497685185</v>
      </c>
      <c r="I22" s="1924"/>
      <c r="J22" s="1905"/>
      <c r="K22" s="1888"/>
      <c r="L22" s="1911"/>
    </row>
    <row r="23" spans="1:12" ht="15" customHeight="1">
      <c r="A23" s="632">
        <v>44684</v>
      </c>
      <c r="B23" s="1124" t="s">
        <v>4119</v>
      </c>
      <c r="C23" s="1124" t="s">
        <v>5138</v>
      </c>
      <c r="D23" s="615" t="s">
        <v>2054</v>
      </c>
      <c r="E23" s="609">
        <v>6940.73</v>
      </c>
      <c r="F23" s="610">
        <v>0</v>
      </c>
      <c r="G23" s="718">
        <v>6940.73</v>
      </c>
      <c r="H23" s="632">
        <v>44684.000497685185</v>
      </c>
      <c r="I23" s="1923">
        <v>9253.59</v>
      </c>
      <c r="J23" s="1903">
        <v>44799</v>
      </c>
      <c r="K23" s="1935" t="s">
        <v>2109</v>
      </c>
      <c r="L23" s="1909"/>
    </row>
    <row r="24" spans="1:12" ht="15" customHeight="1">
      <c r="A24" s="632">
        <v>44694</v>
      </c>
      <c r="B24" s="1124" t="s">
        <v>4119</v>
      </c>
      <c r="C24" s="1124" t="s">
        <v>5138</v>
      </c>
      <c r="D24" s="615" t="s">
        <v>2093</v>
      </c>
      <c r="E24" s="609">
        <v>1929.61</v>
      </c>
      <c r="F24" s="610">
        <v>0</v>
      </c>
      <c r="G24" s="718">
        <v>1929.61</v>
      </c>
      <c r="H24" s="632">
        <v>44724</v>
      </c>
      <c r="I24" s="1961"/>
      <c r="J24" s="1904"/>
      <c r="K24" s="1887"/>
      <c r="L24" s="1910"/>
    </row>
    <row r="25" spans="1:12" ht="15" customHeight="1">
      <c r="A25" s="632">
        <v>44705</v>
      </c>
      <c r="B25" s="1124" t="s">
        <v>4119</v>
      </c>
      <c r="C25" s="1124" t="s">
        <v>5138</v>
      </c>
      <c r="D25" s="615" t="s">
        <v>2187</v>
      </c>
      <c r="E25" s="609">
        <v>383.25</v>
      </c>
      <c r="F25" s="610">
        <v>0</v>
      </c>
      <c r="G25" s="718">
        <v>383.25</v>
      </c>
      <c r="H25" s="632">
        <v>44735</v>
      </c>
      <c r="I25" s="1924"/>
      <c r="J25" s="1905"/>
      <c r="K25" s="1888"/>
      <c r="L25" s="1911"/>
    </row>
    <row r="26" spans="1:12" ht="15" customHeight="1">
      <c r="A26" s="632">
        <v>44736</v>
      </c>
      <c r="B26" s="1124" t="s">
        <v>4119</v>
      </c>
      <c r="C26" s="1124" t="s">
        <v>5138</v>
      </c>
      <c r="D26" s="615" t="s">
        <v>2334</v>
      </c>
      <c r="E26" s="609">
        <v>1855.5</v>
      </c>
      <c r="F26" s="610">
        <v>0</v>
      </c>
      <c r="G26" s="718">
        <v>1855.5</v>
      </c>
      <c r="H26" s="632">
        <v>44766</v>
      </c>
      <c r="I26" s="1923">
        <v>2972.6</v>
      </c>
      <c r="J26" s="1903">
        <v>44823</v>
      </c>
      <c r="K26" s="1935" t="s">
        <v>3084</v>
      </c>
      <c r="L26" s="2180"/>
    </row>
    <row r="27" spans="1:12" ht="15" customHeight="1">
      <c r="A27" s="841">
        <v>44760.000497685185</v>
      </c>
      <c r="B27" s="1124" t="s">
        <v>521</v>
      </c>
      <c r="C27" s="1124" t="s">
        <v>5138</v>
      </c>
      <c r="D27" s="842" t="s">
        <v>2488</v>
      </c>
      <c r="E27" s="843">
        <v>1117.0999999999999</v>
      </c>
      <c r="F27" s="840">
        <v>0</v>
      </c>
      <c r="G27" s="718">
        <v>1117.0999999999999</v>
      </c>
      <c r="H27" s="841">
        <v>44760</v>
      </c>
      <c r="I27" s="1924"/>
      <c r="J27" s="1905"/>
      <c r="K27" s="1888"/>
      <c r="L27" s="1911"/>
    </row>
    <row r="28" spans="1:12" ht="15">
      <c r="A28" s="841">
        <v>44769</v>
      </c>
      <c r="B28" s="1124" t="s">
        <v>521</v>
      </c>
      <c r="C28" s="1124" t="s">
        <v>5138</v>
      </c>
      <c r="D28" s="842" t="s">
        <v>2549</v>
      </c>
      <c r="E28" s="843">
        <v>270.75</v>
      </c>
      <c r="F28" s="840">
        <v>0</v>
      </c>
      <c r="G28" s="718">
        <v>270.75</v>
      </c>
      <c r="H28" s="841">
        <v>44769</v>
      </c>
      <c r="I28" s="1923">
        <v>865.73</v>
      </c>
      <c r="J28" s="1903">
        <v>44844</v>
      </c>
      <c r="K28" s="1935" t="s">
        <v>3273</v>
      </c>
      <c r="L28" s="2180"/>
    </row>
    <row r="29" spans="1:12" ht="15">
      <c r="A29" s="841">
        <v>44770</v>
      </c>
      <c r="B29" s="1124" t="s">
        <v>521</v>
      </c>
      <c r="C29" s="1124" t="s">
        <v>5138</v>
      </c>
      <c r="D29" s="842" t="s">
        <v>2550</v>
      </c>
      <c r="E29" s="843">
        <v>594.98</v>
      </c>
      <c r="F29" s="840">
        <v>0</v>
      </c>
      <c r="G29" s="718">
        <v>594.98</v>
      </c>
      <c r="H29" s="841">
        <v>44770</v>
      </c>
      <c r="I29" s="1924"/>
      <c r="J29" s="1905"/>
      <c r="K29" s="1888"/>
      <c r="L29" s="1911"/>
    </row>
    <row r="30" spans="1:12" ht="15">
      <c r="A30" s="1065">
        <v>44782.000497685185</v>
      </c>
      <c r="B30" s="1124" t="s">
        <v>2644</v>
      </c>
      <c r="C30" s="1124" t="s">
        <v>5138</v>
      </c>
      <c r="D30" s="1068" t="s">
        <v>2692</v>
      </c>
      <c r="E30" s="1081">
        <v>3554.61</v>
      </c>
      <c r="F30" s="1064">
        <v>0</v>
      </c>
      <c r="G30" s="718">
        <v>3554.61</v>
      </c>
      <c r="H30" s="1065">
        <v>44783.000497685185</v>
      </c>
      <c r="I30" s="1923">
        <v>3831.6</v>
      </c>
      <c r="J30" s="1903">
        <v>44881</v>
      </c>
      <c r="K30" s="1935" t="s">
        <v>3510</v>
      </c>
      <c r="L30" s="1909"/>
    </row>
    <row r="31" spans="1:12" ht="15">
      <c r="A31" s="1903">
        <v>44802</v>
      </c>
      <c r="B31" s="1918" t="s">
        <v>2644</v>
      </c>
      <c r="C31" s="1918" t="s">
        <v>5138</v>
      </c>
      <c r="D31" s="1909" t="s">
        <v>2920</v>
      </c>
      <c r="E31" s="1923">
        <v>3021.49</v>
      </c>
      <c r="F31" s="1927">
        <v>0</v>
      </c>
      <c r="G31" s="718">
        <v>276.99</v>
      </c>
      <c r="H31" s="1065">
        <v>44803</v>
      </c>
      <c r="I31" s="1924"/>
      <c r="J31" s="1905"/>
      <c r="K31" s="1888"/>
      <c r="L31" s="1911"/>
    </row>
    <row r="32" spans="1:12" ht="15">
      <c r="A32" s="1905"/>
      <c r="B32" s="1920"/>
      <c r="C32" s="1920"/>
      <c r="D32" s="1911"/>
      <c r="E32" s="1924"/>
      <c r="F32" s="1928"/>
      <c r="G32" s="718">
        <f>3021.49-G31</f>
        <v>2744.5</v>
      </c>
      <c r="H32" s="1065">
        <v>44803</v>
      </c>
      <c r="I32" s="1081">
        <v>2744.5</v>
      </c>
      <c r="J32" s="1065">
        <v>44943</v>
      </c>
      <c r="K32" s="1063" t="s">
        <v>2109</v>
      </c>
      <c r="L32" s="596"/>
    </row>
    <row r="33" spans="1:12" ht="15">
      <c r="A33" s="1065">
        <v>44823</v>
      </c>
      <c r="B33" s="1124" t="s">
        <v>2644</v>
      </c>
      <c r="C33" s="1124" t="s">
        <v>5138</v>
      </c>
      <c r="D33" s="1068" t="s">
        <v>3063</v>
      </c>
      <c r="E33" s="1081">
        <v>749.5</v>
      </c>
      <c r="F33" s="1064">
        <v>0</v>
      </c>
      <c r="G33" s="718">
        <v>749.5</v>
      </c>
      <c r="H33" s="1065">
        <v>44824</v>
      </c>
      <c r="I33" s="1081">
        <v>749.5</v>
      </c>
      <c r="J33" s="1065">
        <v>44923</v>
      </c>
      <c r="K33" s="1013" t="s">
        <v>3844</v>
      </c>
      <c r="L33" s="596"/>
    </row>
    <row r="34" spans="1:12" ht="15">
      <c r="A34" s="1339">
        <v>44840</v>
      </c>
      <c r="B34" s="1339" t="s">
        <v>2644</v>
      </c>
      <c r="C34" s="1339" t="s">
        <v>5138</v>
      </c>
      <c r="D34" s="1341" t="s">
        <v>3223</v>
      </c>
      <c r="E34" s="1350">
        <v>1506</v>
      </c>
      <c r="F34" s="1338">
        <v>0</v>
      </c>
      <c r="G34" s="718">
        <v>1506</v>
      </c>
      <c r="H34" s="1339">
        <v>44841</v>
      </c>
      <c r="I34" s="1350">
        <v>1506</v>
      </c>
      <c r="J34" s="1339">
        <v>44925</v>
      </c>
      <c r="K34" s="1337" t="s">
        <v>2109</v>
      </c>
      <c r="L34" s="596"/>
    </row>
    <row r="35" spans="1:12" ht="15">
      <c r="A35" s="1339">
        <v>44861</v>
      </c>
      <c r="B35" s="1339" t="s">
        <v>2644</v>
      </c>
      <c r="C35" s="1339" t="s">
        <v>5138</v>
      </c>
      <c r="D35" s="1341" t="s">
        <v>3364</v>
      </c>
      <c r="E35" s="1350">
        <v>1281.6600000000001</v>
      </c>
      <c r="F35" s="1338">
        <v>0</v>
      </c>
      <c r="G35" s="718">
        <v>1281.6600000000001</v>
      </c>
      <c r="H35" s="1339">
        <v>44862</v>
      </c>
      <c r="I35" s="1350">
        <v>1281.6600000000001</v>
      </c>
      <c r="J35" s="1339">
        <v>44943</v>
      </c>
      <c r="K35" s="1337" t="s">
        <v>2109</v>
      </c>
      <c r="L35" s="596"/>
    </row>
    <row r="36" spans="1:12" ht="15">
      <c r="A36" s="1339">
        <v>44909</v>
      </c>
      <c r="B36" s="1339" t="s">
        <v>2644</v>
      </c>
      <c r="C36" s="1339" t="s">
        <v>5138</v>
      </c>
      <c r="D36" s="1341" t="s">
        <v>3706</v>
      </c>
      <c r="E36" s="1350">
        <v>844.03</v>
      </c>
      <c r="F36" s="1338">
        <v>0</v>
      </c>
      <c r="G36" s="718">
        <v>844.03</v>
      </c>
      <c r="H36" s="1339">
        <v>44910</v>
      </c>
      <c r="I36" s="1350">
        <v>844.03</v>
      </c>
      <c r="J36" s="1339">
        <v>44943</v>
      </c>
      <c r="K36" s="1337" t="s">
        <v>5967</v>
      </c>
      <c r="L36" s="596"/>
    </row>
    <row r="37" spans="1:12" ht="15">
      <c r="A37" s="1339">
        <v>44937</v>
      </c>
      <c r="B37" s="1339" t="s">
        <v>2644</v>
      </c>
      <c r="C37" s="1339" t="s">
        <v>5138</v>
      </c>
      <c r="D37" s="1341" t="s">
        <v>3904</v>
      </c>
      <c r="E37" s="1350">
        <v>1222.8</v>
      </c>
      <c r="F37" s="1338">
        <v>0</v>
      </c>
      <c r="G37" s="718">
        <v>1222.8</v>
      </c>
      <c r="H37" s="1339">
        <v>44997</v>
      </c>
      <c r="I37" s="1923">
        <v>3019.88</v>
      </c>
      <c r="J37" s="1903">
        <v>45040</v>
      </c>
      <c r="K37" s="1938" t="s">
        <v>6616</v>
      </c>
      <c r="L37" s="596"/>
    </row>
    <row r="38" spans="1:12" ht="15">
      <c r="A38" s="1339">
        <v>44963.000497685185</v>
      </c>
      <c r="B38" s="1339" t="s">
        <v>2644</v>
      </c>
      <c r="C38" s="1339" t="s">
        <v>5138</v>
      </c>
      <c r="D38" s="1341" t="s">
        <v>4081</v>
      </c>
      <c r="E38" s="1350">
        <v>1797.08</v>
      </c>
      <c r="F38" s="1338">
        <v>0</v>
      </c>
      <c r="G38" s="718">
        <v>1797.08</v>
      </c>
      <c r="H38" s="1339">
        <v>45023.000497685185</v>
      </c>
      <c r="I38" s="1924"/>
      <c r="J38" s="1905"/>
      <c r="K38" s="1947"/>
      <c r="L38" s="596"/>
    </row>
    <row r="39" spans="1:12" s="1693" customFormat="1" ht="15">
      <c r="A39" s="1697">
        <v>44984</v>
      </c>
      <c r="B39" s="1697" t="s">
        <v>2644</v>
      </c>
      <c r="C39" s="1697" t="s">
        <v>5138</v>
      </c>
      <c r="D39" s="1699" t="s">
        <v>4375</v>
      </c>
      <c r="E39" s="1666">
        <v>-9.86</v>
      </c>
      <c r="F39" s="1656">
        <v>-2.0699999999999998</v>
      </c>
      <c r="G39" s="718">
        <v>-11.93</v>
      </c>
      <c r="H39" s="1657"/>
      <c r="I39" s="1927">
        <v>0</v>
      </c>
      <c r="J39" s="1903">
        <v>45167</v>
      </c>
      <c r="K39" s="1935" t="s">
        <v>5966</v>
      </c>
      <c r="L39" s="596"/>
    </row>
    <row r="40" spans="1:12" s="1693" customFormat="1" ht="15">
      <c r="A40" s="1697">
        <v>45167</v>
      </c>
      <c r="B40" s="1697" t="s">
        <v>2644</v>
      </c>
      <c r="C40" s="1697" t="s">
        <v>5138</v>
      </c>
      <c r="D40" s="1699" t="s">
        <v>5952</v>
      </c>
      <c r="E40" s="1666">
        <v>9.86</v>
      </c>
      <c r="F40" s="1656">
        <v>2.0699999999999998</v>
      </c>
      <c r="G40" s="718">
        <v>11.93</v>
      </c>
      <c r="H40" s="1657">
        <v>45168.000497685185</v>
      </c>
      <c r="I40" s="1928"/>
      <c r="J40" s="1905"/>
      <c r="K40" s="1947"/>
      <c r="L40" s="596" t="s">
        <v>5953</v>
      </c>
    </row>
    <row r="41" spans="1:12" ht="15">
      <c r="A41" s="1697">
        <v>44978</v>
      </c>
      <c r="B41" s="1697" t="s">
        <v>2644</v>
      </c>
      <c r="C41" s="1697" t="s">
        <v>5138</v>
      </c>
      <c r="D41" s="1699" t="s">
        <v>4233</v>
      </c>
      <c r="E41" s="1703">
        <v>856</v>
      </c>
      <c r="F41" s="1696">
        <v>0</v>
      </c>
      <c r="G41" s="718">
        <v>856</v>
      </c>
      <c r="H41" s="1697">
        <v>45023</v>
      </c>
      <c r="I41" s="1923">
        <v>3982.03</v>
      </c>
      <c r="J41" s="1903">
        <v>45167</v>
      </c>
      <c r="K41" s="1935" t="s">
        <v>6283</v>
      </c>
      <c r="L41" s="596"/>
    </row>
    <row r="42" spans="1:12" ht="15">
      <c r="A42" s="1697">
        <v>44984</v>
      </c>
      <c r="B42" s="1697" t="s">
        <v>2644</v>
      </c>
      <c r="C42" s="1697" t="s">
        <v>5138</v>
      </c>
      <c r="D42" s="1699" t="s">
        <v>4374</v>
      </c>
      <c r="E42" s="1703">
        <v>-192.34</v>
      </c>
      <c r="F42" s="1696">
        <v>0</v>
      </c>
      <c r="G42" s="718">
        <v>-192.34</v>
      </c>
      <c r="H42" s="1697"/>
      <c r="I42" s="1961"/>
      <c r="J42" s="1904"/>
      <c r="K42" s="1950"/>
      <c r="L42" s="596"/>
    </row>
    <row r="43" spans="1:12" ht="15">
      <c r="A43" s="1697">
        <v>44995</v>
      </c>
      <c r="B43" s="1697" t="s">
        <v>2644</v>
      </c>
      <c r="C43" s="1697" t="s">
        <v>5138</v>
      </c>
      <c r="D43" s="1699" t="s">
        <v>4448</v>
      </c>
      <c r="E43" s="1703">
        <v>602</v>
      </c>
      <c r="F43" s="1696">
        <v>0</v>
      </c>
      <c r="G43" s="718">
        <v>602</v>
      </c>
      <c r="H43" s="1697">
        <v>44995</v>
      </c>
      <c r="I43" s="1961"/>
      <c r="J43" s="1904"/>
      <c r="K43" s="1950"/>
      <c r="L43" s="596"/>
    </row>
    <row r="44" spans="1:12" ht="15">
      <c r="A44" s="1697">
        <v>44995</v>
      </c>
      <c r="B44" s="1697" t="s">
        <v>2644</v>
      </c>
      <c r="C44" s="1697" t="s">
        <v>5138</v>
      </c>
      <c r="D44" s="1699" t="s">
        <v>4449</v>
      </c>
      <c r="E44" s="1703">
        <v>402.3</v>
      </c>
      <c r="F44" s="1696">
        <v>0</v>
      </c>
      <c r="G44" s="718">
        <v>402.3</v>
      </c>
      <c r="H44" s="1697">
        <v>44995</v>
      </c>
      <c r="I44" s="1961"/>
      <c r="J44" s="1904"/>
      <c r="K44" s="1950"/>
      <c r="L44" s="596"/>
    </row>
    <row r="45" spans="1:12" ht="15">
      <c r="A45" s="1697">
        <v>44998</v>
      </c>
      <c r="B45" s="1697" t="s">
        <v>2644</v>
      </c>
      <c r="C45" s="1697" t="s">
        <v>5138</v>
      </c>
      <c r="D45" s="1699" t="s">
        <v>4502</v>
      </c>
      <c r="E45" s="1703">
        <v>420</v>
      </c>
      <c r="F45" s="1696">
        <v>0</v>
      </c>
      <c r="G45" s="718">
        <v>420</v>
      </c>
      <c r="H45" s="1697">
        <v>44999</v>
      </c>
      <c r="I45" s="1961"/>
      <c r="J45" s="1904"/>
      <c r="K45" s="1950"/>
      <c r="L45" s="596"/>
    </row>
    <row r="46" spans="1:12" ht="15">
      <c r="A46" s="1903">
        <v>45002</v>
      </c>
      <c r="B46" s="1903" t="s">
        <v>2644</v>
      </c>
      <c r="C46" s="1903" t="s">
        <v>5138</v>
      </c>
      <c r="D46" s="1909" t="s">
        <v>4504</v>
      </c>
      <c r="E46" s="1923">
        <v>1906</v>
      </c>
      <c r="F46" s="1921">
        <v>0</v>
      </c>
      <c r="G46" s="718">
        <v>1894.07</v>
      </c>
      <c r="H46" s="1697">
        <v>45062</v>
      </c>
      <c r="I46" s="1924"/>
      <c r="J46" s="1905"/>
      <c r="K46" s="1947"/>
      <c r="L46" s="596"/>
    </row>
    <row r="47" spans="1:12" ht="15">
      <c r="A47" s="1905"/>
      <c r="B47" s="1905"/>
      <c r="C47" s="1905"/>
      <c r="D47" s="1911"/>
      <c r="E47" s="1924"/>
      <c r="F47" s="1922"/>
      <c r="G47" s="718">
        <f>1906-1894.07</f>
        <v>11.930000000000064</v>
      </c>
      <c r="H47" s="1697">
        <v>45062</v>
      </c>
      <c r="I47" s="1923">
        <v>4952.78</v>
      </c>
      <c r="J47" s="1903">
        <v>45181</v>
      </c>
      <c r="K47" s="1935" t="s">
        <v>6064</v>
      </c>
      <c r="L47" s="596"/>
    </row>
    <row r="48" spans="1:12" ht="15">
      <c r="A48" s="1697">
        <v>45029.000497685185</v>
      </c>
      <c r="B48" s="1697" t="s">
        <v>2644</v>
      </c>
      <c r="C48" s="1697" t="s">
        <v>5138</v>
      </c>
      <c r="D48" s="1699" t="s">
        <v>4726</v>
      </c>
      <c r="E48" s="1703">
        <v>2966.63</v>
      </c>
      <c r="F48" s="1696">
        <v>0</v>
      </c>
      <c r="G48" s="718">
        <v>2966.63</v>
      </c>
      <c r="H48" s="1697">
        <v>45089</v>
      </c>
      <c r="I48" s="1961"/>
      <c r="J48" s="1904"/>
      <c r="K48" s="1950"/>
      <c r="L48" s="596"/>
    </row>
    <row r="49" spans="1:12" ht="15">
      <c r="A49" s="1697">
        <v>45035</v>
      </c>
      <c r="B49" s="1697" t="s">
        <v>2644</v>
      </c>
      <c r="C49" s="1697" t="s">
        <v>5138</v>
      </c>
      <c r="D49" s="1699" t="s">
        <v>4820</v>
      </c>
      <c r="E49" s="1703">
        <v>600</v>
      </c>
      <c r="F49" s="1696">
        <v>0</v>
      </c>
      <c r="G49" s="718">
        <v>600</v>
      </c>
      <c r="H49" s="1697">
        <v>45095</v>
      </c>
      <c r="I49" s="1961"/>
      <c r="J49" s="1904"/>
      <c r="K49" s="1950"/>
      <c r="L49" s="596"/>
    </row>
    <row r="50" spans="1:12" ht="15">
      <c r="A50" s="1697">
        <v>45036</v>
      </c>
      <c r="B50" s="1697" t="s">
        <v>2644</v>
      </c>
      <c r="C50" s="1697" t="s">
        <v>5138</v>
      </c>
      <c r="D50" s="1699" t="s">
        <v>4821</v>
      </c>
      <c r="E50" s="1703">
        <v>1386.15</v>
      </c>
      <c r="F50" s="1696">
        <v>0</v>
      </c>
      <c r="G50" s="718">
        <v>1386.15</v>
      </c>
      <c r="H50" s="1697">
        <v>45096</v>
      </c>
      <c r="I50" s="1961"/>
      <c r="J50" s="1904"/>
      <c r="K50" s="1950"/>
      <c r="L50" s="596"/>
    </row>
    <row r="51" spans="1:12" ht="15">
      <c r="A51" s="1697">
        <v>45167</v>
      </c>
      <c r="B51" s="1697" t="s">
        <v>2644</v>
      </c>
      <c r="C51" s="1697" t="s">
        <v>5138</v>
      </c>
      <c r="D51" s="1699" t="s">
        <v>5951</v>
      </c>
      <c r="E51" s="1703">
        <v>-11.93</v>
      </c>
      <c r="F51" s="1696">
        <v>0</v>
      </c>
      <c r="G51" s="718">
        <v>-11.93</v>
      </c>
      <c r="H51" s="1697">
        <v>45168.000497685185</v>
      </c>
      <c r="I51" s="1924"/>
      <c r="J51" s="1905"/>
      <c r="K51" s="1947"/>
      <c r="L51" s="596" t="s">
        <v>5953</v>
      </c>
    </row>
    <row r="52" spans="1:12" ht="15">
      <c r="A52" s="1941">
        <v>45002</v>
      </c>
      <c r="B52" s="1941" t="s">
        <v>2644</v>
      </c>
      <c r="C52" s="1941" t="s">
        <v>5138</v>
      </c>
      <c r="D52" s="1954" t="s">
        <v>4503</v>
      </c>
      <c r="E52" s="1945">
        <v>5006.0600000000004</v>
      </c>
      <c r="F52" s="1939">
        <v>0</v>
      </c>
      <c r="G52" s="720">
        <f>5006.06-2406.73</f>
        <v>2599.3300000000004</v>
      </c>
      <c r="H52" s="623">
        <v>45062</v>
      </c>
      <c r="I52" s="1242"/>
      <c r="J52" s="1235"/>
      <c r="K52" s="1232"/>
      <c r="L52" s="596"/>
    </row>
    <row r="53" spans="1:12" ht="15">
      <c r="A53" s="1942"/>
      <c r="B53" s="1942"/>
      <c r="C53" s="1942"/>
      <c r="D53" s="1955"/>
      <c r="E53" s="1946"/>
      <c r="F53" s="1940"/>
      <c r="G53" s="718">
        <v>2406.73</v>
      </c>
      <c r="H53" s="1856">
        <v>45062</v>
      </c>
      <c r="I53" s="1923">
        <v>2000</v>
      </c>
      <c r="J53" s="1903">
        <v>45247</v>
      </c>
      <c r="K53" s="1938" t="s">
        <v>6613</v>
      </c>
      <c r="L53" s="596"/>
    </row>
    <row r="54" spans="1:12" ht="15">
      <c r="A54" s="1856">
        <v>45190</v>
      </c>
      <c r="B54" s="1856" t="s">
        <v>2644</v>
      </c>
      <c r="C54" s="1856" t="s">
        <v>5138</v>
      </c>
      <c r="D54" s="1858" t="s">
        <v>6116</v>
      </c>
      <c r="E54" s="1866">
        <v>-406.73</v>
      </c>
      <c r="F54" s="1855">
        <v>0</v>
      </c>
      <c r="G54" s="718">
        <v>-406.73</v>
      </c>
      <c r="H54" s="1856"/>
      <c r="I54" s="1924"/>
      <c r="J54" s="1905"/>
      <c r="K54" s="1888"/>
      <c r="L54" s="596"/>
    </row>
    <row r="55" spans="1:12" ht="15">
      <c r="A55" s="1738">
        <v>45058</v>
      </c>
      <c r="B55" s="1738" t="s">
        <v>2644</v>
      </c>
      <c r="C55" s="1738" t="s">
        <v>5138</v>
      </c>
      <c r="D55" s="1742" t="s">
        <v>4988</v>
      </c>
      <c r="E55" s="1752">
        <v>2227.5</v>
      </c>
      <c r="F55" s="1737">
        <v>0</v>
      </c>
      <c r="G55" s="718">
        <v>2227.5</v>
      </c>
      <c r="H55" s="1738">
        <v>45118</v>
      </c>
      <c r="I55" s="1923">
        <v>5031.83</v>
      </c>
      <c r="J55" s="1903">
        <v>45194</v>
      </c>
      <c r="K55" s="1935" t="s">
        <v>6282</v>
      </c>
      <c r="L55" s="596"/>
    </row>
    <row r="56" spans="1:12" ht="15">
      <c r="A56" s="1738">
        <v>45097</v>
      </c>
      <c r="B56" s="1738" t="s">
        <v>2644</v>
      </c>
      <c r="C56" s="1738" t="s">
        <v>5138</v>
      </c>
      <c r="D56" s="1742" t="s">
        <v>5425</v>
      </c>
      <c r="E56" s="1752">
        <v>1613.7</v>
      </c>
      <c r="F56" s="1737">
        <v>0</v>
      </c>
      <c r="G56" s="718">
        <v>1613.7</v>
      </c>
      <c r="H56" s="1738">
        <v>45157</v>
      </c>
      <c r="I56" s="1961"/>
      <c r="J56" s="1904"/>
      <c r="K56" s="1950"/>
      <c r="L56" s="596"/>
    </row>
    <row r="57" spans="1:12" ht="15">
      <c r="A57" s="1738">
        <v>45099</v>
      </c>
      <c r="B57" s="1738" t="s">
        <v>2644</v>
      </c>
      <c r="C57" s="1738" t="s">
        <v>5138</v>
      </c>
      <c r="D57" s="1742" t="s">
        <v>5426</v>
      </c>
      <c r="E57" s="1752">
        <v>600</v>
      </c>
      <c r="F57" s="1737">
        <v>0</v>
      </c>
      <c r="G57" s="718">
        <v>600</v>
      </c>
      <c r="H57" s="1738">
        <v>45159</v>
      </c>
      <c r="I57" s="1961"/>
      <c r="J57" s="1904"/>
      <c r="K57" s="1950"/>
      <c r="L57" s="596"/>
    </row>
    <row r="58" spans="1:12" ht="15">
      <c r="A58" s="1738">
        <v>45131</v>
      </c>
      <c r="B58" s="1738" t="s">
        <v>2644</v>
      </c>
      <c r="C58" s="1738" t="s">
        <v>5138</v>
      </c>
      <c r="D58" s="1742" t="s">
        <v>5690</v>
      </c>
      <c r="E58" s="1752">
        <v>590.63</v>
      </c>
      <c r="F58" s="1737">
        <v>0</v>
      </c>
      <c r="G58" s="718">
        <v>590.63</v>
      </c>
      <c r="H58" s="1738">
        <v>45191</v>
      </c>
      <c r="I58" s="1924"/>
      <c r="J58" s="1905"/>
      <c r="K58" s="1947"/>
      <c r="L58" s="596"/>
    </row>
    <row r="59" spans="1:12" ht="15">
      <c r="A59" s="623">
        <v>45197</v>
      </c>
      <c r="B59" s="623" t="s">
        <v>2644</v>
      </c>
      <c r="C59" s="623" t="s">
        <v>5138</v>
      </c>
      <c r="D59" s="624" t="s">
        <v>6235</v>
      </c>
      <c r="E59" s="603">
        <v>1287.83</v>
      </c>
      <c r="F59" s="604">
        <v>0</v>
      </c>
      <c r="G59" s="720">
        <v>1287.83</v>
      </c>
      <c r="H59" s="623">
        <v>45256</v>
      </c>
      <c r="I59" s="1333"/>
      <c r="J59" s="1321"/>
      <c r="K59" s="1326"/>
      <c r="L59" s="596"/>
    </row>
    <row r="60" spans="1:12" ht="15">
      <c r="A60" s="623"/>
      <c r="B60" s="623"/>
      <c r="C60" s="623"/>
      <c r="D60" s="624"/>
      <c r="E60" s="603"/>
      <c r="F60" s="604"/>
      <c r="G60" s="720"/>
      <c r="H60" s="623"/>
      <c r="I60" s="1333"/>
      <c r="J60" s="1321"/>
      <c r="K60" s="1326"/>
      <c r="L60" s="596"/>
    </row>
    <row r="61" spans="1:12" ht="15">
      <c r="A61" s="623"/>
      <c r="B61" s="623"/>
      <c r="C61" s="623"/>
      <c r="D61" s="624"/>
      <c r="E61" s="603"/>
      <c r="F61" s="604"/>
      <c r="G61" s="720"/>
      <c r="H61" s="623"/>
      <c r="I61" s="1333"/>
      <c r="J61" s="1321"/>
      <c r="K61" s="1326"/>
      <c r="L61" s="596"/>
    </row>
    <row r="62" spans="1:12" ht="15">
      <c r="A62" s="623"/>
      <c r="B62" s="623"/>
      <c r="C62" s="623"/>
      <c r="D62" s="624"/>
      <c r="E62" s="603"/>
      <c r="F62" s="604"/>
      <c r="G62" s="720"/>
      <c r="H62" s="623"/>
      <c r="I62" s="754"/>
      <c r="J62" s="632"/>
      <c r="K62" s="590"/>
      <c r="L62" s="596"/>
    </row>
    <row r="63" spans="1:12" ht="15">
      <c r="A63" s="623"/>
      <c r="B63" s="623"/>
      <c r="C63" s="623"/>
      <c r="D63" s="624"/>
      <c r="E63" s="603"/>
      <c r="F63" s="604"/>
      <c r="G63" s="720"/>
      <c r="H63" s="623"/>
      <c r="I63" s="754"/>
      <c r="J63" s="632"/>
      <c r="K63" s="590"/>
      <c r="L63" s="596"/>
    </row>
    <row r="64" spans="1:12" ht="15">
      <c r="A64" s="632"/>
      <c r="B64" s="1126"/>
      <c r="C64" s="1126"/>
      <c r="D64" s="596"/>
      <c r="E64" s="616"/>
      <c r="F64" s="1144" t="s">
        <v>545</v>
      </c>
      <c r="G64" s="755">
        <f>SUM(G2:G63)-SUM(I2:I63)</f>
        <v>3887.160000000018</v>
      </c>
      <c r="H64" s="632"/>
      <c r="I64" s="718"/>
      <c r="J64" s="632"/>
      <c r="K64" s="597"/>
      <c r="L64" s="597"/>
    </row>
    <row r="65" spans="6:10">
      <c r="F65" s="599"/>
      <c r="I65" s="599"/>
      <c r="J65" s="571"/>
    </row>
    <row r="66" spans="6:10">
      <c r="F66" s="599"/>
      <c r="I66" s="599"/>
    </row>
    <row r="67" spans="6:10">
      <c r="F67" s="599"/>
      <c r="I67" s="599"/>
    </row>
    <row r="68" spans="6:10">
      <c r="F68" s="599"/>
      <c r="I68" s="599"/>
    </row>
    <row r="69" spans="6:10">
      <c r="F69" s="599"/>
      <c r="I69" s="599"/>
    </row>
    <row r="70" spans="6:10">
      <c r="F70" s="599"/>
      <c r="I70" s="599"/>
    </row>
    <row r="71" spans="6:10">
      <c r="F71" s="599"/>
      <c r="G71" s="599"/>
      <c r="H71" s="599"/>
      <c r="I71" s="599"/>
    </row>
    <row r="72" spans="6:10">
      <c r="F72" s="599"/>
    </row>
  </sheetData>
  <mergeCells count="60">
    <mergeCell ref="F52:F53"/>
    <mergeCell ref="K53:K54"/>
    <mergeCell ref="J53:J54"/>
    <mergeCell ref="I53:I54"/>
    <mergeCell ref="A52:A53"/>
    <mergeCell ref="B52:B53"/>
    <mergeCell ref="C52:C53"/>
    <mergeCell ref="D52:D53"/>
    <mergeCell ref="E52:E53"/>
    <mergeCell ref="K55:K58"/>
    <mergeCell ref="J55:J58"/>
    <mergeCell ref="I55:I58"/>
    <mergeCell ref="L23:L25"/>
    <mergeCell ref="K28:K29"/>
    <mergeCell ref="J28:J29"/>
    <mergeCell ref="I28:I29"/>
    <mergeCell ref="L28:L29"/>
    <mergeCell ref="I26:I27"/>
    <mergeCell ref="K26:K27"/>
    <mergeCell ref="J26:J27"/>
    <mergeCell ref="L26:L27"/>
    <mergeCell ref="I23:I25"/>
    <mergeCell ref="K23:K25"/>
    <mergeCell ref="J23:J25"/>
    <mergeCell ref="K37:K38"/>
    <mergeCell ref="L3:L12"/>
    <mergeCell ref="K17:K22"/>
    <mergeCell ref="J17:J22"/>
    <mergeCell ref="I17:I22"/>
    <mergeCell ref="L17:L22"/>
    <mergeCell ref="I3:I12"/>
    <mergeCell ref="K3:K12"/>
    <mergeCell ref="J3:J12"/>
    <mergeCell ref="E31:E32"/>
    <mergeCell ref="D31:D32"/>
    <mergeCell ref="A31:A32"/>
    <mergeCell ref="I30:I31"/>
    <mergeCell ref="K30:K31"/>
    <mergeCell ref="J30:J31"/>
    <mergeCell ref="C31:C32"/>
    <mergeCell ref="B31:B32"/>
    <mergeCell ref="J37:J38"/>
    <mergeCell ref="I37:I38"/>
    <mergeCell ref="L30:L31"/>
    <mergeCell ref="F31:F32"/>
    <mergeCell ref="K39:K40"/>
    <mergeCell ref="J39:J40"/>
    <mergeCell ref="I39:I40"/>
    <mergeCell ref="A46:A47"/>
    <mergeCell ref="K41:K46"/>
    <mergeCell ref="J41:J46"/>
    <mergeCell ref="I41:I46"/>
    <mergeCell ref="K47:K51"/>
    <mergeCell ref="J47:J51"/>
    <mergeCell ref="I47:I51"/>
    <mergeCell ref="F46:F47"/>
    <mergeCell ref="E46:E47"/>
    <mergeCell ref="D46:D47"/>
    <mergeCell ref="C46:C47"/>
    <mergeCell ref="B46:B47"/>
  </mergeCells>
  <phoneticPr fontId="15" type="noConversion"/>
  <hyperlinks>
    <hyperlink ref="F64" location="汇总!A1" display="剩余欠款"/>
  </hyperlinks>
  <pageMargins left="0.7" right="0.7" top="0.75" bottom="0.75" header="0.3" footer="0.3"/>
  <pageSetup paperSize="9"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Q120"/>
  <sheetViews>
    <sheetView zoomScaleNormal="100" zoomScaleSheetLayoutView="100" workbookViewId="0">
      <pane ySplit="1" topLeftCell="A89" activePane="bottomLeft" state="frozen"/>
      <selection activeCell="C33" sqref="C33"/>
      <selection pane="bottomLeft" activeCell="F120" sqref="F120"/>
    </sheetView>
  </sheetViews>
  <sheetFormatPr defaultRowHeight="18.75"/>
  <cols>
    <col min="1" max="1" width="14.75" style="593" customWidth="1"/>
    <col min="2" max="2" width="9" style="1139" bestFit="1" customWidth="1"/>
    <col min="3" max="3" width="24.75" style="1139" bestFit="1" customWidth="1"/>
    <col min="4" max="4" width="18.375" style="593" bestFit="1" customWidth="1"/>
    <col min="5" max="5" width="12.875" style="543" customWidth="1"/>
    <col min="6" max="6" width="12.875" style="542" customWidth="1"/>
    <col min="7" max="7" width="13.375" style="325" customWidth="1"/>
    <col min="8" max="8" width="21.5" style="762" bestFit="1" customWidth="1"/>
    <col min="9" max="9" width="18.875" style="325" bestFit="1" customWidth="1"/>
    <col min="10" max="10" width="23.875" style="593" bestFit="1" customWidth="1"/>
    <col min="11" max="11" width="19.875" style="593" customWidth="1"/>
    <col min="12" max="12" width="66.625" style="324" bestFit="1" customWidth="1"/>
    <col min="13" max="16" width="9" style="759" hidden="1" customWidth="1"/>
    <col min="17" max="17" width="13.25" style="759" bestFit="1" customWidth="1"/>
    <col min="18" max="16384" width="9" style="759"/>
  </cols>
  <sheetData>
    <row r="1" spans="1:15" s="96" customFormat="1">
      <c r="A1" s="255" t="s">
        <v>536</v>
      </c>
      <c r="B1" s="255" t="s">
        <v>516</v>
      </c>
      <c r="C1" s="255" t="s">
        <v>515</v>
      </c>
      <c r="D1" s="257" t="s">
        <v>2150</v>
      </c>
      <c r="E1" s="265" t="s">
        <v>2718</v>
      </c>
      <c r="F1" s="510" t="s">
        <v>2719</v>
      </c>
      <c r="G1" s="257" t="s">
        <v>2721</v>
      </c>
      <c r="H1" s="257" t="s">
        <v>4099</v>
      </c>
      <c r="I1" s="257" t="s">
        <v>3043</v>
      </c>
      <c r="J1" s="257" t="s">
        <v>4100</v>
      </c>
      <c r="K1" s="257" t="s">
        <v>541</v>
      </c>
      <c r="L1" s="257" t="s">
        <v>542</v>
      </c>
    </row>
    <row r="2" spans="1:15" ht="16.5" customHeight="1">
      <c r="A2" s="701" t="s">
        <v>307</v>
      </c>
      <c r="B2" s="1124"/>
      <c r="C2" s="1124"/>
      <c r="D2" s="701" t="s">
        <v>472</v>
      </c>
      <c r="E2" s="613"/>
      <c r="F2" s="633"/>
      <c r="G2" s="696">
        <v>17949.91</v>
      </c>
      <c r="H2" s="706"/>
      <c r="I2" s="696">
        <v>4000</v>
      </c>
      <c r="J2" s="701" t="s">
        <v>484</v>
      </c>
      <c r="K2" s="594" t="s">
        <v>485</v>
      </c>
      <c r="L2" s="185" t="s">
        <v>386</v>
      </c>
      <c r="M2" s="592">
        <v>17949.91</v>
      </c>
      <c r="N2" s="758"/>
      <c r="O2" s="592" t="s">
        <v>1315</v>
      </c>
    </row>
    <row r="3" spans="1:15" ht="16.5" customHeight="1">
      <c r="A3" s="701"/>
      <c r="B3" s="1124"/>
      <c r="C3" s="1124"/>
      <c r="D3" s="701" t="s">
        <v>3093</v>
      </c>
      <c r="E3" s="613"/>
      <c r="F3" s="633"/>
      <c r="G3" s="696">
        <f>SUM(G2:G2)-I2</f>
        <v>13949.91</v>
      </c>
      <c r="H3" s="706"/>
      <c r="I3" s="696">
        <v>6246</v>
      </c>
      <c r="J3" s="701" t="s">
        <v>1316</v>
      </c>
      <c r="K3" s="594" t="s">
        <v>1317</v>
      </c>
      <c r="L3" s="185"/>
      <c r="M3" s="592"/>
      <c r="N3" s="758">
        <v>-245</v>
      </c>
      <c r="O3" s="758">
        <v>2692.53</v>
      </c>
    </row>
    <row r="4" spans="1:15" ht="16.5" customHeight="1">
      <c r="A4" s="701"/>
      <c r="B4" s="1124"/>
      <c r="C4" s="1124"/>
      <c r="D4" s="701" t="s">
        <v>3093</v>
      </c>
      <c r="E4" s="613"/>
      <c r="F4" s="633"/>
      <c r="G4" s="696">
        <f>SUM(G3:G3)-I3</f>
        <v>7703.91</v>
      </c>
      <c r="H4" s="706"/>
      <c r="I4" s="696">
        <f>2472.76+2472.53</f>
        <v>4945.2900000000009</v>
      </c>
      <c r="J4" s="701" t="s">
        <v>1318</v>
      </c>
      <c r="K4" s="594" t="s">
        <v>1319</v>
      </c>
      <c r="L4" s="185"/>
      <c r="M4" s="592"/>
      <c r="N4" s="758"/>
      <c r="O4" s="758"/>
    </row>
    <row r="5" spans="1:15" ht="16.5" customHeight="1">
      <c r="A5" s="701"/>
      <c r="B5" s="1124"/>
      <c r="C5" s="1124"/>
      <c r="D5" s="701" t="s">
        <v>3093</v>
      </c>
      <c r="E5" s="613"/>
      <c r="F5" s="633"/>
      <c r="G5" s="696">
        <f>G4-I4</f>
        <v>2758.619999999999</v>
      </c>
      <c r="H5" s="706"/>
      <c r="I5" s="2267">
        <v>5004.22</v>
      </c>
      <c r="J5" s="2274" t="s">
        <v>1320</v>
      </c>
      <c r="K5" s="2272" t="s">
        <v>1321</v>
      </c>
      <c r="L5" s="185"/>
      <c r="M5" s="592"/>
      <c r="N5" s="758"/>
      <c r="O5" s="758"/>
    </row>
    <row r="6" spans="1:15" ht="16.5" customHeight="1">
      <c r="A6" s="701" t="s">
        <v>132</v>
      </c>
      <c r="B6" s="1124"/>
      <c r="C6" s="1124"/>
      <c r="D6" s="701" t="s">
        <v>473</v>
      </c>
      <c r="E6" s="613"/>
      <c r="F6" s="633"/>
      <c r="G6" s="696">
        <v>-13.5</v>
      </c>
      <c r="H6" s="706"/>
      <c r="I6" s="2267"/>
      <c r="J6" s="2274"/>
      <c r="K6" s="2272"/>
      <c r="L6" s="185" t="s">
        <v>1322</v>
      </c>
      <c r="M6" s="592">
        <v>-13.5</v>
      </c>
      <c r="N6" s="758"/>
      <c r="O6" s="758"/>
    </row>
    <row r="7" spans="1:15" ht="16.5" customHeight="1">
      <c r="A7" s="701" t="s">
        <v>475</v>
      </c>
      <c r="B7" s="1124"/>
      <c r="C7" s="1124"/>
      <c r="D7" s="701" t="s">
        <v>476</v>
      </c>
      <c r="E7" s="613"/>
      <c r="F7" s="633"/>
      <c r="G7" s="696">
        <v>2745.92</v>
      </c>
      <c r="H7" s="706"/>
      <c r="I7" s="2267"/>
      <c r="J7" s="2274"/>
      <c r="K7" s="2272"/>
      <c r="L7" s="185" t="s">
        <v>477</v>
      </c>
      <c r="M7" s="592">
        <v>2745.92</v>
      </c>
      <c r="N7" s="758"/>
      <c r="O7" s="758"/>
    </row>
    <row r="8" spans="1:15" ht="16.5" customHeight="1">
      <c r="A8" s="701"/>
      <c r="B8" s="1124"/>
      <c r="C8" s="1124"/>
      <c r="D8" s="701" t="s">
        <v>3093</v>
      </c>
      <c r="E8" s="613"/>
      <c r="F8" s="633"/>
      <c r="G8" s="696">
        <f>SUM(G5:G7)-I5</f>
        <v>486.8199999999988</v>
      </c>
      <c r="H8" s="706"/>
      <c r="I8" s="2267">
        <v>5000</v>
      </c>
      <c r="J8" s="2274" t="s">
        <v>1323</v>
      </c>
      <c r="K8" s="2272" t="s">
        <v>550</v>
      </c>
      <c r="L8" s="185"/>
      <c r="M8" s="592"/>
      <c r="N8" s="758"/>
      <c r="O8" s="758"/>
    </row>
    <row r="9" spans="1:15" ht="16.5" customHeight="1">
      <c r="A9" s="701" t="s">
        <v>478</v>
      </c>
      <c r="B9" s="1124"/>
      <c r="C9" s="1124"/>
      <c r="D9" s="701" t="s">
        <v>479</v>
      </c>
      <c r="E9" s="613"/>
      <c r="F9" s="633"/>
      <c r="G9" s="696">
        <v>1288.33</v>
      </c>
      <c r="H9" s="706"/>
      <c r="I9" s="2267"/>
      <c r="J9" s="2274"/>
      <c r="K9" s="2272"/>
      <c r="L9" s="185" t="s">
        <v>1324</v>
      </c>
      <c r="M9" s="592">
        <v>1288.33</v>
      </c>
      <c r="N9" s="758"/>
      <c r="O9" s="758"/>
    </row>
    <row r="10" spans="1:15" ht="16.5" customHeight="1">
      <c r="A10" s="701" t="s">
        <v>191</v>
      </c>
      <c r="B10" s="1124"/>
      <c r="C10" s="1124"/>
      <c r="D10" s="701" t="s">
        <v>481</v>
      </c>
      <c r="E10" s="613"/>
      <c r="F10" s="633"/>
      <c r="G10" s="696">
        <v>2.69</v>
      </c>
      <c r="H10" s="706"/>
      <c r="I10" s="2267"/>
      <c r="J10" s="2274"/>
      <c r="K10" s="2272"/>
      <c r="L10" s="185" t="s">
        <v>1325</v>
      </c>
      <c r="M10" s="592">
        <v>2.69</v>
      </c>
      <c r="N10" s="758"/>
      <c r="O10" s="758"/>
    </row>
    <row r="11" spans="1:15" ht="16.5" customHeight="1">
      <c r="A11" s="701" t="s">
        <v>350</v>
      </c>
      <c r="B11" s="1124"/>
      <c r="C11" s="1124"/>
      <c r="D11" s="701" t="s">
        <v>483</v>
      </c>
      <c r="E11" s="613"/>
      <c r="F11" s="633"/>
      <c r="G11" s="696">
        <v>723.24</v>
      </c>
      <c r="H11" s="706"/>
      <c r="I11" s="2267"/>
      <c r="J11" s="2274"/>
      <c r="K11" s="2272"/>
      <c r="L11" s="185" t="s">
        <v>477</v>
      </c>
      <c r="M11" s="592">
        <v>723.24</v>
      </c>
      <c r="N11" s="758">
        <v>-30</v>
      </c>
      <c r="O11" s="758"/>
    </row>
    <row r="12" spans="1:15" ht="16.5" customHeight="1">
      <c r="A12" s="701" t="s">
        <v>137</v>
      </c>
      <c r="B12" s="1124"/>
      <c r="C12" s="1124"/>
      <c r="D12" s="701" t="s">
        <v>486</v>
      </c>
      <c r="E12" s="613"/>
      <c r="F12" s="633"/>
      <c r="G12" s="696">
        <v>1956.9</v>
      </c>
      <c r="H12" s="706"/>
      <c r="I12" s="2267"/>
      <c r="J12" s="2274"/>
      <c r="K12" s="2272"/>
      <c r="L12" s="185" t="s">
        <v>477</v>
      </c>
      <c r="M12" s="592">
        <v>1956.9</v>
      </c>
      <c r="N12" s="758"/>
      <c r="O12" s="758"/>
    </row>
    <row r="13" spans="1:15" ht="16.5" customHeight="1">
      <c r="A13" s="701" t="s">
        <v>358</v>
      </c>
      <c r="B13" s="1124"/>
      <c r="C13" s="1124"/>
      <c r="D13" s="701" t="s">
        <v>487</v>
      </c>
      <c r="E13" s="613"/>
      <c r="F13" s="633"/>
      <c r="G13" s="696">
        <v>1792.45</v>
      </c>
      <c r="H13" s="706"/>
      <c r="I13" s="2267"/>
      <c r="J13" s="2274"/>
      <c r="K13" s="2272"/>
      <c r="L13" s="185" t="s">
        <v>477</v>
      </c>
      <c r="M13" s="592">
        <v>1792.45</v>
      </c>
      <c r="N13" s="758"/>
      <c r="O13" s="758"/>
    </row>
    <row r="14" spans="1:15" ht="16.5" customHeight="1">
      <c r="A14" s="701"/>
      <c r="B14" s="1124"/>
      <c r="C14" s="1124"/>
      <c r="D14" s="701" t="s">
        <v>3093</v>
      </c>
      <c r="E14" s="613"/>
      <c r="F14" s="633"/>
      <c r="G14" s="696">
        <f>G8+G9+G10+G11+G12+G13-I8</f>
        <v>1250.4299999999994</v>
      </c>
      <c r="H14" s="706"/>
      <c r="I14" s="2267">
        <v>2692.53</v>
      </c>
      <c r="J14" s="2274" t="s">
        <v>1326</v>
      </c>
      <c r="K14" s="2272" t="s">
        <v>544</v>
      </c>
      <c r="L14" s="185"/>
      <c r="M14" s="592"/>
      <c r="N14" s="758"/>
      <c r="O14" s="758"/>
    </row>
    <row r="15" spans="1:15" ht="16.5" customHeight="1">
      <c r="A15" s="701" t="s">
        <v>488</v>
      </c>
      <c r="B15" s="1124"/>
      <c r="C15" s="1124"/>
      <c r="D15" s="701" t="s">
        <v>489</v>
      </c>
      <c r="E15" s="613"/>
      <c r="F15" s="633"/>
      <c r="G15" s="696">
        <v>3038.25</v>
      </c>
      <c r="H15" s="706"/>
      <c r="I15" s="2267"/>
      <c r="J15" s="2274"/>
      <c r="K15" s="2272"/>
      <c r="L15" s="185" t="s">
        <v>477</v>
      </c>
      <c r="M15" s="592">
        <v>3038.25</v>
      </c>
      <c r="N15" s="758"/>
      <c r="O15" s="758"/>
    </row>
    <row r="16" spans="1:15" ht="16.5" customHeight="1">
      <c r="A16" s="2266" t="s">
        <v>490</v>
      </c>
      <c r="B16" s="1124"/>
      <c r="C16" s="1124"/>
      <c r="D16" s="701" t="s">
        <v>491</v>
      </c>
      <c r="E16" s="696"/>
      <c r="F16" s="633"/>
      <c r="G16" s="696">
        <v>-5.67</v>
      </c>
      <c r="H16" s="706"/>
      <c r="I16" s="2267"/>
      <c r="J16" s="2274"/>
      <c r="K16" s="2272"/>
      <c r="L16" s="2265" t="s">
        <v>3109</v>
      </c>
      <c r="M16" s="592">
        <v>-5.67</v>
      </c>
      <c r="N16" s="758"/>
      <c r="O16" s="758"/>
    </row>
    <row r="17" spans="1:17" ht="16.5" customHeight="1">
      <c r="A17" s="2266"/>
      <c r="B17" s="1124"/>
      <c r="C17" s="1124"/>
      <c r="D17" s="701" t="s">
        <v>492</v>
      </c>
      <c r="E17" s="696"/>
      <c r="F17" s="633"/>
      <c r="G17" s="696">
        <v>-500.4</v>
      </c>
      <c r="H17" s="673"/>
      <c r="I17" s="2267"/>
      <c r="J17" s="2274"/>
      <c r="K17" s="2272"/>
      <c r="L17" s="2265"/>
      <c r="M17" s="592">
        <v>-500.4</v>
      </c>
      <c r="N17" s="758"/>
      <c r="O17" s="758"/>
    </row>
    <row r="18" spans="1:17" ht="16.5" customHeight="1">
      <c r="A18" s="756" t="s">
        <v>493</v>
      </c>
      <c r="B18" s="1124"/>
      <c r="C18" s="1124"/>
      <c r="D18" s="701" t="s">
        <v>494</v>
      </c>
      <c r="E18" s="696"/>
      <c r="F18" s="633"/>
      <c r="G18" s="696">
        <v>-4008.82</v>
      </c>
      <c r="H18" s="673"/>
      <c r="I18" s="2267"/>
      <c r="J18" s="2274"/>
      <c r="K18" s="2272"/>
      <c r="L18" s="185" t="s">
        <v>389</v>
      </c>
      <c r="M18" s="592">
        <v>-4008.82</v>
      </c>
      <c r="N18" s="758"/>
      <c r="O18" s="758">
        <v>2472.7600000000002</v>
      </c>
      <c r="P18" s="2271" t="s">
        <v>1327</v>
      </c>
    </row>
    <row r="19" spans="1:17" ht="16.5" customHeight="1">
      <c r="A19" s="756" t="s">
        <v>896</v>
      </c>
      <c r="B19" s="1124"/>
      <c r="C19" s="1124"/>
      <c r="D19" s="701" t="s">
        <v>1328</v>
      </c>
      <c r="E19" s="696"/>
      <c r="F19" s="633"/>
      <c r="G19" s="696">
        <v>5115.8900000000003</v>
      </c>
      <c r="H19" s="673"/>
      <c r="I19" s="2267"/>
      <c r="J19" s="2274"/>
      <c r="K19" s="2272"/>
      <c r="L19" s="185" t="s">
        <v>400</v>
      </c>
      <c r="M19" s="592">
        <v>5115.8900000000003</v>
      </c>
      <c r="N19" s="758"/>
      <c r="O19" s="758">
        <v>2472.5300000000002</v>
      </c>
      <c r="P19" s="2271"/>
    </row>
    <row r="20" spans="1:17" ht="16.5" customHeight="1">
      <c r="A20" s="673"/>
      <c r="B20" s="1124"/>
      <c r="C20" s="1124"/>
      <c r="D20" s="701" t="s">
        <v>3093</v>
      </c>
      <c r="E20" s="696"/>
      <c r="F20" s="633"/>
      <c r="G20" s="696">
        <f>G14+G15+G16+G17+G18+G19-I14</f>
        <v>2197.1499999999992</v>
      </c>
      <c r="H20" s="673"/>
      <c r="I20" s="2275">
        <v>7130</v>
      </c>
      <c r="J20" s="2273" t="s">
        <v>1252</v>
      </c>
      <c r="K20" s="2270" t="s">
        <v>544</v>
      </c>
      <c r="L20" s="185"/>
      <c r="M20" s="592"/>
      <c r="N20" s="758"/>
      <c r="O20" s="758"/>
      <c r="P20" s="2271"/>
    </row>
    <row r="21" spans="1:17" ht="16.5" customHeight="1">
      <c r="A21" s="673">
        <v>43998</v>
      </c>
      <c r="B21" s="1124" t="s">
        <v>4133</v>
      </c>
      <c r="C21" s="1124" t="s">
        <v>4019</v>
      </c>
      <c r="D21" s="701" t="s">
        <v>1329</v>
      </c>
      <c r="E21" s="696">
        <v>2077.5300000000002</v>
      </c>
      <c r="F21" s="633">
        <v>0</v>
      </c>
      <c r="G21" s="696">
        <v>2077.5300000000002</v>
      </c>
      <c r="H21" s="673">
        <v>44028</v>
      </c>
      <c r="I21" s="2275"/>
      <c r="J21" s="2273"/>
      <c r="K21" s="2270"/>
      <c r="L21" s="185"/>
      <c r="M21" s="592">
        <v>2077.5300000000002</v>
      </c>
      <c r="N21" s="758">
        <v>-225.3</v>
      </c>
      <c r="O21" s="758">
        <v>5004.22</v>
      </c>
      <c r="P21" s="2271"/>
    </row>
    <row r="22" spans="1:17" ht="16.5" customHeight="1">
      <c r="A22" s="673">
        <v>44026</v>
      </c>
      <c r="B22" s="1124"/>
      <c r="C22" s="1124"/>
      <c r="D22" s="701"/>
      <c r="E22" s="696"/>
      <c r="F22" s="633"/>
      <c r="G22" s="696">
        <v>-2372.6799999999998</v>
      </c>
      <c r="H22" s="673"/>
      <c r="I22" s="2275"/>
      <c r="J22" s="2273"/>
      <c r="K22" s="2270"/>
      <c r="L22" s="185" t="s">
        <v>3110</v>
      </c>
      <c r="M22" s="592"/>
      <c r="N22" s="758"/>
      <c r="O22" s="758"/>
    </row>
    <row r="23" spans="1:17" ht="16.5" customHeight="1">
      <c r="A23" s="673">
        <v>44026</v>
      </c>
      <c r="B23" s="1124"/>
      <c r="C23" s="1124"/>
      <c r="D23" s="701"/>
      <c r="E23" s="696"/>
      <c r="F23" s="633"/>
      <c r="G23" s="696">
        <v>-1027.78</v>
      </c>
      <c r="H23" s="673"/>
      <c r="I23" s="2275"/>
      <c r="J23" s="2273"/>
      <c r="K23" s="2270"/>
      <c r="L23" s="185" t="s">
        <v>3110</v>
      </c>
      <c r="M23" s="592">
        <v>-1027.78</v>
      </c>
      <c r="N23" s="758"/>
      <c r="O23" s="758"/>
    </row>
    <row r="24" spans="1:17" ht="16.5" customHeight="1">
      <c r="A24" s="673">
        <v>44049</v>
      </c>
      <c r="B24" s="1124"/>
      <c r="C24" s="1124"/>
      <c r="D24" s="701" t="s">
        <v>1330</v>
      </c>
      <c r="E24" s="696"/>
      <c r="F24" s="633"/>
      <c r="G24" s="696">
        <v>6512.61</v>
      </c>
      <c r="H24" s="673"/>
      <c r="I24" s="2275"/>
      <c r="J24" s="2273"/>
      <c r="K24" s="2270"/>
      <c r="L24" s="185" t="s">
        <v>400</v>
      </c>
      <c r="M24" s="592">
        <v>6512.61</v>
      </c>
      <c r="N24" s="592" t="s">
        <v>1215</v>
      </c>
      <c r="O24" s="592" t="s">
        <v>1331</v>
      </c>
    </row>
    <row r="25" spans="1:17" ht="16.5" customHeight="1">
      <c r="A25" s="673"/>
      <c r="B25" s="1124"/>
      <c r="C25" s="1124"/>
      <c r="D25" s="701" t="s">
        <v>3093</v>
      </c>
      <c r="E25" s="696"/>
      <c r="F25" s="633"/>
      <c r="G25" s="696">
        <f>G20+G21+G22+G23+G24-I20</f>
        <v>256.82999999999902</v>
      </c>
      <c r="H25" s="673"/>
      <c r="I25" s="2267">
        <v>297.23</v>
      </c>
      <c r="J25" s="2273" t="s">
        <v>3107</v>
      </c>
      <c r="K25" s="594"/>
      <c r="L25" s="185"/>
      <c r="M25" s="592"/>
      <c r="N25" s="758"/>
      <c r="O25" s="758"/>
    </row>
    <row r="26" spans="1:17" ht="16.5" customHeight="1">
      <c r="A26" s="673">
        <v>44049</v>
      </c>
      <c r="B26" s="1124" t="s">
        <v>4133</v>
      </c>
      <c r="C26" s="1124" t="s">
        <v>4019</v>
      </c>
      <c r="D26" s="701" t="s">
        <v>1332</v>
      </c>
      <c r="E26" s="696">
        <v>65.13</v>
      </c>
      <c r="F26" s="633">
        <v>0</v>
      </c>
      <c r="G26" s="696">
        <v>65.13</v>
      </c>
      <c r="H26" s="673">
        <v>44084</v>
      </c>
      <c r="I26" s="2267"/>
      <c r="J26" s="2273"/>
      <c r="K26" s="594"/>
      <c r="L26" s="185" t="s">
        <v>3111</v>
      </c>
      <c r="M26" s="592">
        <v>65.13</v>
      </c>
      <c r="N26" s="758"/>
      <c r="O26" s="758"/>
    </row>
    <row r="27" spans="1:17" ht="16.5" customHeight="1">
      <c r="A27" s="673">
        <v>44056</v>
      </c>
      <c r="B27" s="1124" t="s">
        <v>4133</v>
      </c>
      <c r="C27" s="1124" t="s">
        <v>4019</v>
      </c>
      <c r="D27" s="701" t="s">
        <v>1333</v>
      </c>
      <c r="E27" s="696">
        <v>685.41</v>
      </c>
      <c r="F27" s="633">
        <v>0</v>
      </c>
      <c r="G27" s="696">
        <v>685.41</v>
      </c>
      <c r="H27" s="673">
        <v>44086</v>
      </c>
      <c r="I27" s="2267"/>
      <c r="J27" s="2273"/>
      <c r="K27" s="594"/>
      <c r="L27" s="185"/>
      <c r="M27" s="592">
        <v>685.41</v>
      </c>
      <c r="N27" s="758"/>
      <c r="O27" s="758"/>
    </row>
    <row r="28" spans="1:17" ht="16.5" customHeight="1">
      <c r="A28" s="673">
        <v>44113</v>
      </c>
      <c r="B28" s="1124" t="s">
        <v>4133</v>
      </c>
      <c r="C28" s="1124" t="s">
        <v>4019</v>
      </c>
      <c r="D28" s="701" t="s">
        <v>1334</v>
      </c>
      <c r="E28" s="696">
        <v>1768.03</v>
      </c>
      <c r="F28" s="633">
        <v>0</v>
      </c>
      <c r="G28" s="696">
        <v>1768.03</v>
      </c>
      <c r="H28" s="673">
        <v>44143</v>
      </c>
      <c r="I28" s="2267"/>
      <c r="J28" s="2273"/>
      <c r="K28" s="594"/>
      <c r="L28" s="185" t="s">
        <v>1335</v>
      </c>
      <c r="M28" s="592">
        <v>1768.03</v>
      </c>
      <c r="N28" s="758"/>
      <c r="O28" s="758"/>
    </row>
    <row r="29" spans="1:17" s="593" customFormat="1" ht="16.5" customHeight="1">
      <c r="A29" s="673">
        <v>44167</v>
      </c>
      <c r="B29" s="1124" t="s">
        <v>4133</v>
      </c>
      <c r="C29" s="1124" t="s">
        <v>4019</v>
      </c>
      <c r="D29" s="701" t="s">
        <v>1336</v>
      </c>
      <c r="E29" s="696">
        <v>-877.79</v>
      </c>
      <c r="F29" s="633">
        <v>0</v>
      </c>
      <c r="G29" s="696">
        <v>-877.79</v>
      </c>
      <c r="H29" s="673" t="s">
        <v>1529</v>
      </c>
      <c r="I29" s="2267"/>
      <c r="J29" s="2273"/>
      <c r="K29" s="594"/>
      <c r="L29" s="185" t="s">
        <v>389</v>
      </c>
      <c r="M29" s="592">
        <v>-877.79</v>
      </c>
      <c r="N29" s="592"/>
      <c r="O29" s="592"/>
      <c r="Q29" s="759"/>
    </row>
    <row r="30" spans="1:17" s="593" customFormat="1" ht="16.5" customHeight="1">
      <c r="A30" s="673">
        <v>44167</v>
      </c>
      <c r="B30" s="1124" t="s">
        <v>4133</v>
      </c>
      <c r="C30" s="1124" t="s">
        <v>4019</v>
      </c>
      <c r="D30" s="701" t="s">
        <v>1337</v>
      </c>
      <c r="E30" s="696">
        <v>-785.99</v>
      </c>
      <c r="F30" s="633">
        <v>0</v>
      </c>
      <c r="G30" s="696">
        <v>-785.99</v>
      </c>
      <c r="H30" s="673" t="s">
        <v>1529</v>
      </c>
      <c r="I30" s="2267"/>
      <c r="J30" s="2273"/>
      <c r="K30" s="594"/>
      <c r="L30" s="185" t="s">
        <v>389</v>
      </c>
      <c r="M30" s="592">
        <v>-785.99</v>
      </c>
      <c r="N30" s="592"/>
      <c r="O30" s="592"/>
      <c r="Q30" s="759"/>
    </row>
    <row r="31" spans="1:17" ht="16.5" customHeight="1">
      <c r="A31" s="673">
        <v>44161</v>
      </c>
      <c r="B31" s="1124" t="s">
        <v>4133</v>
      </c>
      <c r="C31" s="1124" t="s">
        <v>4019</v>
      </c>
      <c r="D31" s="701" t="s">
        <v>1338</v>
      </c>
      <c r="E31" s="696">
        <v>3341.62</v>
      </c>
      <c r="F31" s="633">
        <v>0</v>
      </c>
      <c r="G31" s="696">
        <v>3341.62</v>
      </c>
      <c r="H31" s="673">
        <v>44191</v>
      </c>
      <c r="I31" s="2267"/>
      <c r="J31" s="2273"/>
      <c r="K31" s="594"/>
      <c r="L31" s="185" t="s">
        <v>1339</v>
      </c>
      <c r="M31" s="592">
        <v>3341.62</v>
      </c>
      <c r="N31" s="758"/>
      <c r="O31" s="758"/>
    </row>
    <row r="32" spans="1:17" ht="16.5" customHeight="1">
      <c r="A32" s="673">
        <v>44211</v>
      </c>
      <c r="B32" s="1124" t="s">
        <v>4133</v>
      </c>
      <c r="C32" s="1124" t="s">
        <v>4019</v>
      </c>
      <c r="D32" s="701" t="s">
        <v>1340</v>
      </c>
      <c r="E32" s="696">
        <v>-1425.07</v>
      </c>
      <c r="F32" s="633">
        <v>0</v>
      </c>
      <c r="G32" s="696">
        <v>-1425.07</v>
      </c>
      <c r="H32" s="673" t="s">
        <v>1529</v>
      </c>
      <c r="I32" s="2267"/>
      <c r="J32" s="2273"/>
      <c r="K32" s="594"/>
      <c r="L32" s="185" t="s">
        <v>1341</v>
      </c>
      <c r="M32" s="592">
        <v>-1425.07</v>
      </c>
      <c r="N32" s="758"/>
      <c r="O32" s="758"/>
    </row>
    <row r="33" spans="1:15" ht="16.5" customHeight="1">
      <c r="A33" s="673">
        <v>44211</v>
      </c>
      <c r="B33" s="1124" t="s">
        <v>4133</v>
      </c>
      <c r="C33" s="1124" t="s">
        <v>4019</v>
      </c>
      <c r="D33" s="701" t="s">
        <v>1342</v>
      </c>
      <c r="E33" s="696">
        <v>-224.84</v>
      </c>
      <c r="F33" s="633">
        <v>0</v>
      </c>
      <c r="G33" s="696">
        <v>-224.84</v>
      </c>
      <c r="H33" s="673" t="s">
        <v>1529</v>
      </c>
      <c r="I33" s="2267"/>
      <c r="J33" s="2273"/>
      <c r="K33" s="594"/>
      <c r="L33" s="185" t="s">
        <v>1343</v>
      </c>
      <c r="M33" s="592">
        <v>-224.84</v>
      </c>
      <c r="N33" s="758"/>
      <c r="O33" s="758"/>
    </row>
    <row r="34" spans="1:15" ht="16.5" customHeight="1">
      <c r="A34" s="673">
        <v>44218</v>
      </c>
      <c r="B34" s="1124" t="s">
        <v>4133</v>
      </c>
      <c r="C34" s="1124" t="s">
        <v>4019</v>
      </c>
      <c r="D34" s="701" t="s">
        <v>1344</v>
      </c>
      <c r="E34" s="633">
        <v>0</v>
      </c>
      <c r="F34" s="633">
        <v>0</v>
      </c>
      <c r="G34" s="712">
        <v>0</v>
      </c>
      <c r="H34" s="673">
        <v>44248</v>
      </c>
      <c r="I34" s="2267"/>
      <c r="J34" s="2273"/>
      <c r="K34" s="594" t="s">
        <v>1345</v>
      </c>
      <c r="L34" s="185" t="s">
        <v>1346</v>
      </c>
      <c r="M34" s="592">
        <v>0</v>
      </c>
      <c r="N34" s="758"/>
      <c r="O34" s="758"/>
    </row>
    <row r="35" spans="1:15" ht="16.5" customHeight="1">
      <c r="A35" s="673">
        <v>44237</v>
      </c>
      <c r="B35" s="1124"/>
      <c r="C35" s="1124"/>
      <c r="D35" s="701" t="s">
        <v>1347</v>
      </c>
      <c r="E35" s="696">
        <v>-781.24</v>
      </c>
      <c r="F35" s="633">
        <v>0</v>
      </c>
      <c r="G35" s="696">
        <v>-781.24</v>
      </c>
      <c r="H35" s="673"/>
      <c r="I35" s="2267"/>
      <c r="J35" s="2273"/>
      <c r="K35" s="594"/>
      <c r="L35" s="185" t="s">
        <v>389</v>
      </c>
      <c r="M35" s="758">
        <v>-781.24</v>
      </c>
      <c r="N35" s="758"/>
      <c r="O35" s="758"/>
    </row>
    <row r="36" spans="1:15" ht="16.5" customHeight="1">
      <c r="A36" s="673">
        <v>44237</v>
      </c>
      <c r="B36" s="1124"/>
      <c r="C36" s="1124"/>
      <c r="D36" s="701" t="s">
        <v>1348</v>
      </c>
      <c r="E36" s="696">
        <v>-2492.65</v>
      </c>
      <c r="F36" s="633">
        <v>0</v>
      </c>
      <c r="G36" s="696">
        <v>-2492.65</v>
      </c>
      <c r="H36" s="673"/>
      <c r="I36" s="2267"/>
      <c r="J36" s="2273"/>
      <c r="K36" s="594"/>
      <c r="L36" s="185" t="s">
        <v>1349</v>
      </c>
      <c r="M36" s="758">
        <v>-2492.65</v>
      </c>
      <c r="N36" s="758"/>
      <c r="O36" s="758"/>
    </row>
    <row r="37" spans="1:15" ht="16.5" customHeight="1">
      <c r="A37" s="673">
        <v>44237</v>
      </c>
      <c r="B37" s="1124"/>
      <c r="C37" s="1124"/>
      <c r="D37" s="701" t="s">
        <v>1350</v>
      </c>
      <c r="E37" s="696">
        <v>-558.19000000000005</v>
      </c>
      <c r="F37" s="633">
        <v>0</v>
      </c>
      <c r="G37" s="696">
        <v>-558.19000000000005</v>
      </c>
      <c r="H37" s="673"/>
      <c r="I37" s="2267"/>
      <c r="J37" s="2273"/>
      <c r="K37" s="594"/>
      <c r="L37" s="185" t="s">
        <v>1351</v>
      </c>
      <c r="M37" s="758">
        <v>-558.19000000000005</v>
      </c>
      <c r="N37" s="758"/>
      <c r="O37" s="758"/>
    </row>
    <row r="38" spans="1:15" ht="16.5" customHeight="1">
      <c r="A38" s="673">
        <v>44237</v>
      </c>
      <c r="B38" s="1124"/>
      <c r="C38" s="1124"/>
      <c r="D38" s="701" t="s">
        <v>1352</v>
      </c>
      <c r="E38" s="696">
        <v>-966.97</v>
      </c>
      <c r="F38" s="633">
        <v>0</v>
      </c>
      <c r="G38" s="696">
        <v>-966.97</v>
      </c>
      <c r="H38" s="673"/>
      <c r="I38" s="2267"/>
      <c r="J38" s="2273"/>
      <c r="K38" s="594"/>
      <c r="L38" s="185" t="s">
        <v>1351</v>
      </c>
      <c r="M38" s="758">
        <v>-966.97</v>
      </c>
      <c r="N38" s="758"/>
      <c r="O38" s="758"/>
    </row>
    <row r="39" spans="1:15" ht="16.5" customHeight="1">
      <c r="A39" s="673">
        <v>44237</v>
      </c>
      <c r="B39" s="1124"/>
      <c r="C39" s="1124"/>
      <c r="D39" s="701" t="s">
        <v>1353</v>
      </c>
      <c r="E39" s="696">
        <v>-412.36</v>
      </c>
      <c r="F39" s="633">
        <v>0</v>
      </c>
      <c r="G39" s="696">
        <v>-412.36</v>
      </c>
      <c r="H39" s="673"/>
      <c r="I39" s="2267"/>
      <c r="J39" s="2273"/>
      <c r="K39" s="594"/>
      <c r="L39" s="185" t="s">
        <v>1349</v>
      </c>
      <c r="M39" s="758">
        <v>-412.36</v>
      </c>
      <c r="N39" s="758"/>
      <c r="O39" s="758"/>
    </row>
    <row r="40" spans="1:15" ht="16.5" customHeight="1">
      <c r="A40" s="673">
        <v>44237</v>
      </c>
      <c r="B40" s="1124"/>
      <c r="C40" s="1124"/>
      <c r="D40" s="701" t="s">
        <v>1354</v>
      </c>
      <c r="E40" s="696">
        <v>-301.41000000000003</v>
      </c>
      <c r="F40" s="633">
        <v>0</v>
      </c>
      <c r="G40" s="696">
        <v>-301.41000000000003</v>
      </c>
      <c r="H40" s="673"/>
      <c r="I40" s="2267"/>
      <c r="J40" s="2273"/>
      <c r="K40" s="594"/>
      <c r="L40" s="185" t="s">
        <v>1349</v>
      </c>
      <c r="M40" s="758">
        <v>-301.41000000000003</v>
      </c>
      <c r="N40" s="758"/>
      <c r="O40" s="758"/>
    </row>
    <row r="41" spans="1:15" ht="16.5" customHeight="1">
      <c r="A41" s="673">
        <v>44237</v>
      </c>
      <c r="B41" s="1124"/>
      <c r="C41" s="1124"/>
      <c r="D41" s="701" t="s">
        <v>1355</v>
      </c>
      <c r="E41" s="696">
        <v>-43.61</v>
      </c>
      <c r="F41" s="633">
        <v>0</v>
      </c>
      <c r="G41" s="696">
        <v>-43.61</v>
      </c>
      <c r="H41" s="673"/>
      <c r="I41" s="2267"/>
      <c r="J41" s="2273"/>
      <c r="K41" s="594"/>
      <c r="L41" s="185" t="s">
        <v>1349</v>
      </c>
      <c r="M41" s="758">
        <v>-43.61</v>
      </c>
      <c r="N41" s="758"/>
      <c r="O41" s="758"/>
    </row>
    <row r="42" spans="1:15" ht="16.5" customHeight="1">
      <c r="A42" s="673">
        <v>44237</v>
      </c>
      <c r="B42" s="1124"/>
      <c r="C42" s="1124"/>
      <c r="D42" s="701" t="s">
        <v>1356</v>
      </c>
      <c r="E42" s="696">
        <v>-838.73</v>
      </c>
      <c r="F42" s="633">
        <v>0</v>
      </c>
      <c r="G42" s="696">
        <v>-838.73</v>
      </c>
      <c r="H42" s="673"/>
      <c r="I42" s="2267"/>
      <c r="J42" s="2273"/>
      <c r="K42" s="594"/>
      <c r="L42" s="185" t="s">
        <v>1349</v>
      </c>
      <c r="M42" s="758">
        <v>-838.73</v>
      </c>
      <c r="N42" s="758"/>
      <c r="O42" s="758"/>
    </row>
    <row r="43" spans="1:15" ht="16.5" customHeight="1">
      <c r="A43" s="673">
        <v>44237</v>
      </c>
      <c r="B43" s="1124" t="s">
        <v>4133</v>
      </c>
      <c r="C43" s="1124" t="s">
        <v>4019</v>
      </c>
      <c r="D43" s="701" t="s">
        <v>1357</v>
      </c>
      <c r="E43" s="696">
        <v>3473.5</v>
      </c>
      <c r="F43" s="633">
        <v>0</v>
      </c>
      <c r="G43" s="696">
        <v>3473.5</v>
      </c>
      <c r="H43" s="673">
        <v>44267</v>
      </c>
      <c r="I43" s="2267"/>
      <c r="J43" s="2273"/>
      <c r="K43" s="594"/>
      <c r="L43" s="185" t="s">
        <v>1358</v>
      </c>
      <c r="M43" s="592">
        <v>3473.5</v>
      </c>
      <c r="N43" s="758"/>
      <c r="O43" s="758"/>
    </row>
    <row r="44" spans="1:15" ht="16.5" customHeight="1">
      <c r="A44" s="673">
        <v>44239</v>
      </c>
      <c r="B44" s="1124" t="s">
        <v>4133</v>
      </c>
      <c r="C44" s="1124" t="s">
        <v>4019</v>
      </c>
      <c r="D44" s="701" t="s">
        <v>1359</v>
      </c>
      <c r="E44" s="696">
        <v>415.56</v>
      </c>
      <c r="F44" s="633">
        <v>0</v>
      </c>
      <c r="G44" s="696">
        <v>415.56</v>
      </c>
      <c r="H44" s="673">
        <v>44269</v>
      </c>
      <c r="I44" s="2267"/>
      <c r="J44" s="2273"/>
      <c r="K44" s="594"/>
      <c r="L44" s="185" t="s">
        <v>1360</v>
      </c>
      <c r="M44" s="592">
        <v>415.56</v>
      </c>
      <c r="N44" s="758"/>
      <c r="O44" s="758"/>
    </row>
    <row r="45" spans="1:15" ht="16.5" customHeight="1">
      <c r="A45" s="673">
        <v>44280</v>
      </c>
      <c r="B45" s="1124" t="s">
        <v>4133</v>
      </c>
      <c r="C45" s="1124" t="s">
        <v>4019</v>
      </c>
      <c r="D45" s="701" t="s">
        <v>1361</v>
      </c>
      <c r="E45" s="633">
        <v>0</v>
      </c>
      <c r="F45" s="633">
        <v>0</v>
      </c>
      <c r="G45" s="633">
        <v>0</v>
      </c>
      <c r="H45" s="673">
        <v>44282</v>
      </c>
      <c r="I45" s="696">
        <v>-6395.16</v>
      </c>
      <c r="J45" s="701" t="s">
        <v>3108</v>
      </c>
      <c r="K45" s="594"/>
      <c r="L45" s="185" t="s">
        <v>1362</v>
      </c>
      <c r="M45" s="758"/>
      <c r="N45" s="758"/>
      <c r="O45" s="758"/>
    </row>
    <row r="46" spans="1:15" ht="16.5" customHeight="1">
      <c r="A46" s="673">
        <v>44368</v>
      </c>
      <c r="B46" s="1124" t="s">
        <v>522</v>
      </c>
      <c r="C46" s="1124" t="s">
        <v>4019</v>
      </c>
      <c r="D46" s="701" t="s">
        <v>1363</v>
      </c>
      <c r="E46" s="696">
        <v>15974.34</v>
      </c>
      <c r="F46" s="633">
        <v>0</v>
      </c>
      <c r="G46" s="696">
        <v>15974.34</v>
      </c>
      <c r="H46" s="673">
        <v>44369</v>
      </c>
      <c r="I46" s="696">
        <v>4000</v>
      </c>
      <c r="J46" s="673">
        <v>44424</v>
      </c>
      <c r="K46" s="594" t="s">
        <v>550</v>
      </c>
      <c r="L46" s="185"/>
      <c r="M46" s="758"/>
      <c r="N46" s="758"/>
      <c r="O46" s="758"/>
    </row>
    <row r="47" spans="1:15" ht="16.5" customHeight="1">
      <c r="A47" s="673"/>
      <c r="B47" s="1124"/>
      <c r="C47" s="1124"/>
      <c r="D47" s="701" t="s">
        <v>3093</v>
      </c>
      <c r="E47" s="696"/>
      <c r="F47" s="633"/>
      <c r="G47" s="696">
        <f>G46-I46</f>
        <v>11974.34</v>
      </c>
      <c r="H47" s="673"/>
      <c r="I47" s="696">
        <v>9000</v>
      </c>
      <c r="J47" s="673">
        <v>44502</v>
      </c>
      <c r="K47" s="594" t="s">
        <v>550</v>
      </c>
      <c r="L47" s="185"/>
      <c r="M47" s="758"/>
      <c r="N47" s="758"/>
      <c r="O47" s="758"/>
    </row>
    <row r="48" spans="1:15" ht="16.5" customHeight="1">
      <c r="A48" s="673"/>
      <c r="B48" s="1124"/>
      <c r="C48" s="1124"/>
      <c r="D48" s="701" t="s">
        <v>3093</v>
      </c>
      <c r="E48" s="696"/>
      <c r="F48" s="633"/>
      <c r="G48" s="696">
        <f>G47-I47</f>
        <v>2974.34</v>
      </c>
      <c r="H48" s="673"/>
      <c r="I48" s="2267">
        <f>3000+0.95</f>
        <v>3000.95</v>
      </c>
      <c r="J48" s="2243">
        <v>44525</v>
      </c>
      <c r="K48" s="2270" t="s">
        <v>550</v>
      </c>
      <c r="L48" s="185"/>
      <c r="M48" s="758"/>
      <c r="N48" s="758"/>
      <c r="O48" s="758"/>
    </row>
    <row r="49" spans="1:15" ht="16.5" customHeight="1">
      <c r="A49" s="673">
        <v>44438</v>
      </c>
      <c r="B49" s="1124" t="s">
        <v>522</v>
      </c>
      <c r="C49" s="1124" t="s">
        <v>4019</v>
      </c>
      <c r="D49" s="701" t="s">
        <v>1364</v>
      </c>
      <c r="E49" s="696">
        <v>9041.61</v>
      </c>
      <c r="F49" s="633">
        <v>0</v>
      </c>
      <c r="G49" s="696">
        <v>9041.61</v>
      </c>
      <c r="H49" s="673">
        <v>44439</v>
      </c>
      <c r="I49" s="2267"/>
      <c r="J49" s="2243"/>
      <c r="K49" s="2270"/>
      <c r="L49" s="185"/>
      <c r="M49" s="758"/>
      <c r="N49" s="758"/>
      <c r="O49" s="758"/>
    </row>
    <row r="50" spans="1:15" ht="16.5" customHeight="1">
      <c r="A50" s="673"/>
      <c r="B50" s="1124"/>
      <c r="C50" s="1124"/>
      <c r="D50" s="701" t="s">
        <v>3093</v>
      </c>
      <c r="E50" s="696"/>
      <c r="F50" s="633"/>
      <c r="G50" s="696">
        <f>SUM(G48:G49)-I48</f>
        <v>9015</v>
      </c>
      <c r="H50" s="673"/>
      <c r="I50" s="696">
        <v>9015</v>
      </c>
      <c r="J50" s="673">
        <v>44582</v>
      </c>
      <c r="K50" s="594" t="s">
        <v>550</v>
      </c>
      <c r="L50" s="185"/>
      <c r="M50" s="758"/>
      <c r="N50" s="758"/>
      <c r="O50" s="758"/>
    </row>
    <row r="51" spans="1:15" ht="16.5" customHeight="1">
      <c r="A51" s="673"/>
      <c r="B51" s="1124"/>
      <c r="C51" s="1124"/>
      <c r="D51" s="701" t="s">
        <v>3093</v>
      </c>
      <c r="E51" s="696"/>
      <c r="F51" s="633"/>
      <c r="G51" s="696">
        <f>SUM(G50)-I50</f>
        <v>0</v>
      </c>
      <c r="H51" s="673"/>
      <c r="I51" s="696"/>
      <c r="J51" s="673"/>
      <c r="K51" s="594"/>
      <c r="L51" s="185"/>
      <c r="M51" s="758"/>
      <c r="N51" s="758"/>
      <c r="O51" s="758"/>
    </row>
    <row r="52" spans="1:15" ht="16.5" customHeight="1">
      <c r="A52" s="607">
        <v>44446</v>
      </c>
      <c r="B52" s="1124" t="s">
        <v>522</v>
      </c>
      <c r="C52" s="1124" t="s">
        <v>4019</v>
      </c>
      <c r="D52" s="608" t="s">
        <v>1365</v>
      </c>
      <c r="E52" s="609">
        <v>2130.85</v>
      </c>
      <c r="F52" s="649">
        <v>0</v>
      </c>
      <c r="G52" s="713">
        <v>2130.85</v>
      </c>
      <c r="H52" s="607">
        <v>44447</v>
      </c>
      <c r="I52" s="2083">
        <v>8911.59</v>
      </c>
      <c r="J52" s="2017">
        <v>44792</v>
      </c>
      <c r="K52" s="2262" t="s">
        <v>2823</v>
      </c>
      <c r="L52" s="2268" t="s">
        <v>2825</v>
      </c>
      <c r="M52" s="758"/>
      <c r="N52" s="758"/>
      <c r="O52" s="758"/>
    </row>
    <row r="53" spans="1:15" ht="16.5" customHeight="1">
      <c r="A53" s="607">
        <v>44504</v>
      </c>
      <c r="B53" s="1124" t="s">
        <v>522</v>
      </c>
      <c r="C53" s="1124" t="s">
        <v>4019</v>
      </c>
      <c r="D53" s="608" t="s">
        <v>1366</v>
      </c>
      <c r="E53" s="609">
        <v>6780.74</v>
      </c>
      <c r="F53" s="649">
        <v>0</v>
      </c>
      <c r="G53" s="713">
        <v>6780.74</v>
      </c>
      <c r="H53" s="607">
        <v>44505</v>
      </c>
      <c r="I53" s="2085"/>
      <c r="J53" s="2019"/>
      <c r="K53" s="2264"/>
      <c r="L53" s="2269"/>
      <c r="M53" s="758"/>
      <c r="N53" s="758"/>
      <c r="O53" s="758"/>
    </row>
    <row r="54" spans="1:15" ht="16.5" customHeight="1">
      <c r="A54" s="607">
        <v>44587</v>
      </c>
      <c r="B54" s="1124" t="s">
        <v>522</v>
      </c>
      <c r="C54" s="1124" t="s">
        <v>4019</v>
      </c>
      <c r="D54" s="608" t="s">
        <v>1367</v>
      </c>
      <c r="E54" s="609">
        <v>6903.37</v>
      </c>
      <c r="F54" s="649">
        <v>0</v>
      </c>
      <c r="G54" s="713">
        <v>6903.37</v>
      </c>
      <c r="H54" s="607">
        <v>44588</v>
      </c>
      <c r="I54" s="696">
        <v>6903.37</v>
      </c>
      <c r="J54" s="673">
        <v>44617</v>
      </c>
      <c r="K54" s="594" t="s">
        <v>544</v>
      </c>
      <c r="L54" s="185"/>
      <c r="M54" s="758"/>
      <c r="N54" s="758"/>
      <c r="O54" s="758"/>
    </row>
    <row r="55" spans="1:15" ht="16.5" customHeight="1">
      <c r="A55" s="607">
        <v>44587</v>
      </c>
      <c r="B55" s="1124" t="s">
        <v>522</v>
      </c>
      <c r="C55" s="1124" t="s">
        <v>4019</v>
      </c>
      <c r="D55" s="608" t="s">
        <v>1368</v>
      </c>
      <c r="E55" s="609">
        <v>24.18</v>
      </c>
      <c r="F55" s="649">
        <v>0</v>
      </c>
      <c r="G55" s="713">
        <v>24.18</v>
      </c>
      <c r="H55" s="607">
        <v>44588</v>
      </c>
      <c r="I55" s="2267">
        <v>3203.56</v>
      </c>
      <c r="J55" s="2243">
        <v>44648</v>
      </c>
      <c r="K55" s="2270" t="s">
        <v>1811</v>
      </c>
      <c r="L55" s="185"/>
      <c r="M55" s="758"/>
      <c r="N55" s="758"/>
      <c r="O55" s="758"/>
    </row>
    <row r="56" spans="1:15" ht="16.5" customHeight="1">
      <c r="A56" s="607">
        <v>44600</v>
      </c>
      <c r="B56" s="1124" t="s">
        <v>521</v>
      </c>
      <c r="C56" s="1124" t="s">
        <v>4019</v>
      </c>
      <c r="D56" s="608" t="s">
        <v>1369</v>
      </c>
      <c r="E56" s="609">
        <v>394.78</v>
      </c>
      <c r="F56" s="649">
        <v>0</v>
      </c>
      <c r="G56" s="713">
        <v>394.78</v>
      </c>
      <c r="H56" s="607">
        <v>44601</v>
      </c>
      <c r="I56" s="2267"/>
      <c r="J56" s="2243"/>
      <c r="K56" s="2270"/>
      <c r="L56" s="185"/>
      <c r="M56" s="758"/>
      <c r="N56" s="758"/>
      <c r="O56" s="758"/>
    </row>
    <row r="57" spans="1:15" ht="16.5" customHeight="1">
      <c r="A57" s="607">
        <v>44613</v>
      </c>
      <c r="B57" s="1124" t="s">
        <v>521</v>
      </c>
      <c r="C57" s="1124" t="s">
        <v>4019</v>
      </c>
      <c r="D57" s="608" t="s">
        <v>1370</v>
      </c>
      <c r="E57" s="609">
        <v>407.75</v>
      </c>
      <c r="F57" s="649">
        <v>0</v>
      </c>
      <c r="G57" s="713">
        <v>407.75</v>
      </c>
      <c r="H57" s="607">
        <v>44614</v>
      </c>
      <c r="I57" s="2267"/>
      <c r="J57" s="2243"/>
      <c r="K57" s="2270"/>
      <c r="L57" s="185"/>
      <c r="M57" s="758"/>
      <c r="N57" s="758"/>
      <c r="O57" s="758"/>
    </row>
    <row r="58" spans="1:15" ht="16.5" customHeight="1">
      <c r="A58" s="607">
        <v>44621</v>
      </c>
      <c r="B58" s="1124" t="s">
        <v>521</v>
      </c>
      <c r="C58" s="1124" t="s">
        <v>4019</v>
      </c>
      <c r="D58" s="608" t="s">
        <v>1371</v>
      </c>
      <c r="E58" s="609">
        <v>3072.57</v>
      </c>
      <c r="F58" s="649">
        <v>0</v>
      </c>
      <c r="G58" s="713">
        <v>3072.57</v>
      </c>
      <c r="H58" s="607">
        <v>44622</v>
      </c>
      <c r="I58" s="2267"/>
      <c r="J58" s="2243"/>
      <c r="K58" s="2270"/>
      <c r="L58" s="185"/>
      <c r="M58" s="758"/>
      <c r="N58" s="758"/>
      <c r="O58" s="758"/>
    </row>
    <row r="59" spans="1:15" ht="16.5" customHeight="1">
      <c r="A59" s="607">
        <v>44631</v>
      </c>
      <c r="B59" s="1124" t="s">
        <v>521</v>
      </c>
      <c r="C59" s="1124" t="s">
        <v>4019</v>
      </c>
      <c r="D59" s="608" t="s">
        <v>1372</v>
      </c>
      <c r="E59" s="609">
        <v>-276.08999999999997</v>
      </c>
      <c r="F59" s="649">
        <v>0</v>
      </c>
      <c r="G59" s="713">
        <v>-276.08999999999997</v>
      </c>
      <c r="H59" s="607" t="s">
        <v>1529</v>
      </c>
      <c r="I59" s="2267"/>
      <c r="J59" s="2243"/>
      <c r="K59" s="2270"/>
      <c r="L59" s="185"/>
      <c r="M59" s="758"/>
      <c r="N59" s="758"/>
      <c r="O59" s="758"/>
    </row>
    <row r="60" spans="1:15" ht="16.5" customHeight="1">
      <c r="A60" s="607">
        <v>44631</v>
      </c>
      <c r="B60" s="1124" t="s">
        <v>521</v>
      </c>
      <c r="C60" s="1124" t="s">
        <v>4019</v>
      </c>
      <c r="D60" s="608" t="s">
        <v>1373</v>
      </c>
      <c r="E60" s="609">
        <v>-86.49</v>
      </c>
      <c r="F60" s="649">
        <v>0</v>
      </c>
      <c r="G60" s="713">
        <v>-86.49</v>
      </c>
      <c r="H60" s="607" t="s">
        <v>1529</v>
      </c>
      <c r="I60" s="2267"/>
      <c r="J60" s="2243"/>
      <c r="K60" s="2270"/>
      <c r="L60" s="185"/>
      <c r="M60" s="758"/>
      <c r="N60" s="758"/>
      <c r="O60" s="758"/>
    </row>
    <row r="61" spans="1:15" ht="16.5" customHeight="1">
      <c r="A61" s="607">
        <v>44631</v>
      </c>
      <c r="B61" s="1124" t="s">
        <v>521</v>
      </c>
      <c r="C61" s="1124" t="s">
        <v>4019</v>
      </c>
      <c r="D61" s="608" t="s">
        <v>1374</v>
      </c>
      <c r="E61" s="609">
        <v>-5.88</v>
      </c>
      <c r="F61" s="649">
        <v>0</v>
      </c>
      <c r="G61" s="713">
        <v>-5.88</v>
      </c>
      <c r="H61" s="607"/>
      <c r="I61" s="2267"/>
      <c r="J61" s="2243"/>
      <c r="K61" s="2270"/>
      <c r="L61" s="185"/>
      <c r="M61" s="758"/>
      <c r="N61" s="758"/>
      <c r="O61" s="758"/>
    </row>
    <row r="62" spans="1:15" ht="16.5" customHeight="1">
      <c r="A62" s="607">
        <v>44631</v>
      </c>
      <c r="B62" s="1124" t="s">
        <v>521</v>
      </c>
      <c r="C62" s="1124" t="s">
        <v>4019</v>
      </c>
      <c r="D62" s="608" t="s">
        <v>1375</v>
      </c>
      <c r="E62" s="609">
        <v>-226.69</v>
      </c>
      <c r="F62" s="649">
        <v>0</v>
      </c>
      <c r="G62" s="713">
        <v>-226.69</v>
      </c>
      <c r="H62" s="607"/>
      <c r="I62" s="2267"/>
      <c r="J62" s="2243"/>
      <c r="K62" s="2270"/>
      <c r="L62" s="185"/>
      <c r="M62" s="758"/>
      <c r="N62" s="758"/>
      <c r="O62" s="758"/>
    </row>
    <row r="63" spans="1:15" ht="16.5" customHeight="1">
      <c r="A63" s="607">
        <v>44631</v>
      </c>
      <c r="B63" s="1124" t="s">
        <v>521</v>
      </c>
      <c r="C63" s="1124" t="s">
        <v>4019</v>
      </c>
      <c r="D63" s="608" t="s">
        <v>1376</v>
      </c>
      <c r="E63" s="609">
        <v>-99.14</v>
      </c>
      <c r="F63" s="649">
        <v>0</v>
      </c>
      <c r="G63" s="713">
        <v>-99.14</v>
      </c>
      <c r="H63" s="607"/>
      <c r="I63" s="2267"/>
      <c r="J63" s="2243"/>
      <c r="K63" s="2270"/>
      <c r="L63" s="185"/>
      <c r="M63" s="758"/>
      <c r="N63" s="758"/>
      <c r="O63" s="758"/>
    </row>
    <row r="64" spans="1:15" ht="16.5" customHeight="1">
      <c r="A64" s="607">
        <v>44631</v>
      </c>
      <c r="B64" s="1124" t="s">
        <v>521</v>
      </c>
      <c r="C64" s="1124" t="s">
        <v>4019</v>
      </c>
      <c r="D64" s="608" t="s">
        <v>1377</v>
      </c>
      <c r="E64" s="609">
        <v>-1.43</v>
      </c>
      <c r="F64" s="649">
        <v>0</v>
      </c>
      <c r="G64" s="713">
        <v>-1.43</v>
      </c>
      <c r="H64" s="760"/>
      <c r="I64" s="2267"/>
      <c r="J64" s="2243"/>
      <c r="K64" s="2270"/>
      <c r="L64" s="185"/>
      <c r="M64" s="758"/>
      <c r="N64" s="758"/>
      <c r="O64" s="758"/>
    </row>
    <row r="65" spans="1:15" ht="16.5" customHeight="1">
      <c r="A65" s="2193">
        <v>44645</v>
      </c>
      <c r="B65" s="1918" t="s">
        <v>521</v>
      </c>
      <c r="C65" s="1918" t="s">
        <v>4019</v>
      </c>
      <c r="D65" s="2199" t="s">
        <v>1789</v>
      </c>
      <c r="E65" s="1923">
        <v>5807.44</v>
      </c>
      <c r="F65" s="1927">
        <v>0</v>
      </c>
      <c r="G65" s="713">
        <f>5807.44-5061.65</f>
        <v>745.79</v>
      </c>
      <c r="H65" s="607">
        <v>44646</v>
      </c>
      <c r="I65" s="696">
        <v>745.79</v>
      </c>
      <c r="J65" s="673">
        <v>44792</v>
      </c>
      <c r="K65" s="594" t="s">
        <v>2823</v>
      </c>
      <c r="L65" s="185" t="s">
        <v>2824</v>
      </c>
      <c r="M65" s="758"/>
      <c r="N65" s="758"/>
      <c r="O65" s="758"/>
    </row>
    <row r="66" spans="1:15" ht="16.5" customHeight="1">
      <c r="A66" s="2194"/>
      <c r="B66" s="1920"/>
      <c r="C66" s="1920"/>
      <c r="D66" s="2200"/>
      <c r="E66" s="1924"/>
      <c r="F66" s="1928"/>
      <c r="G66" s="713">
        <v>5061.6499999999996</v>
      </c>
      <c r="H66" s="607">
        <v>44646</v>
      </c>
      <c r="I66" s="2276">
        <v>0</v>
      </c>
      <c r="J66" s="2017">
        <v>44775</v>
      </c>
      <c r="K66" s="2262" t="s">
        <v>2639</v>
      </c>
      <c r="L66" s="185"/>
      <c r="M66" s="758"/>
      <c r="N66" s="758"/>
      <c r="O66" s="758"/>
    </row>
    <row r="67" spans="1:15" ht="16.5" customHeight="1">
      <c r="A67" s="607">
        <v>44720</v>
      </c>
      <c r="B67" s="1124" t="s">
        <v>521</v>
      </c>
      <c r="C67" s="1124" t="s">
        <v>4019</v>
      </c>
      <c r="D67" s="608" t="s">
        <v>2268</v>
      </c>
      <c r="E67" s="613">
        <v>-2867.35</v>
      </c>
      <c r="F67" s="633">
        <v>0</v>
      </c>
      <c r="G67" s="713">
        <v>-2867.35</v>
      </c>
      <c r="H67" s="607"/>
      <c r="I67" s="2277"/>
      <c r="J67" s="2018"/>
      <c r="K67" s="2263"/>
      <c r="L67" s="185"/>
      <c r="M67" s="758"/>
      <c r="N67" s="758"/>
      <c r="O67" s="758"/>
    </row>
    <row r="68" spans="1:15" ht="16.5" customHeight="1">
      <c r="A68" s="607">
        <v>44720</v>
      </c>
      <c r="B68" s="1124" t="s">
        <v>521</v>
      </c>
      <c r="C68" s="1124" t="s">
        <v>4019</v>
      </c>
      <c r="D68" s="608" t="s">
        <v>2269</v>
      </c>
      <c r="E68" s="613">
        <v>-2194.3000000000002</v>
      </c>
      <c r="F68" s="633">
        <v>0</v>
      </c>
      <c r="G68" s="713">
        <v>-2194.3000000000002</v>
      </c>
      <c r="H68" s="607"/>
      <c r="I68" s="2278"/>
      <c r="J68" s="2019"/>
      <c r="K68" s="2264"/>
      <c r="L68" s="963"/>
      <c r="M68" s="758"/>
      <c r="N68" s="758"/>
      <c r="O68" s="758"/>
    </row>
    <row r="69" spans="1:15" ht="16.5" customHeight="1">
      <c r="A69" s="1206">
        <v>44798</v>
      </c>
      <c r="B69" s="1201" t="s">
        <v>521</v>
      </c>
      <c r="C69" s="1201" t="s">
        <v>4019</v>
      </c>
      <c r="D69" s="608" t="s">
        <v>2856</v>
      </c>
      <c r="E69" s="1204">
        <v>70</v>
      </c>
      <c r="F69" s="649">
        <v>0</v>
      </c>
      <c r="G69" s="1207">
        <v>70</v>
      </c>
      <c r="H69" s="1206">
        <v>44799</v>
      </c>
      <c r="I69" s="2081">
        <v>5000</v>
      </c>
      <c r="J69" s="2017">
        <v>44896</v>
      </c>
      <c r="K69" s="2262" t="s">
        <v>3639</v>
      </c>
      <c r="L69" s="963" t="s">
        <v>2858</v>
      </c>
      <c r="M69" s="758"/>
      <c r="N69" s="758"/>
      <c r="O69" s="758"/>
    </row>
    <row r="70" spans="1:15" ht="16.5" customHeight="1">
      <c r="A70" s="1206">
        <v>44798</v>
      </c>
      <c r="B70" s="1201" t="s">
        <v>521</v>
      </c>
      <c r="C70" s="1201" t="s">
        <v>4019</v>
      </c>
      <c r="D70" s="608" t="s">
        <v>2857</v>
      </c>
      <c r="E70" s="1204">
        <v>4012.54</v>
      </c>
      <c r="F70" s="649">
        <v>0</v>
      </c>
      <c r="G70" s="1207">
        <v>4012.54</v>
      </c>
      <c r="H70" s="1206">
        <v>44799</v>
      </c>
      <c r="I70" s="2120"/>
      <c r="J70" s="2018"/>
      <c r="K70" s="2263"/>
      <c r="L70" s="963"/>
      <c r="M70" s="758"/>
      <c r="N70" s="758"/>
      <c r="O70" s="758"/>
    </row>
    <row r="71" spans="1:15" ht="16.5" customHeight="1">
      <c r="A71" s="1206">
        <v>44806</v>
      </c>
      <c r="B71" s="1201" t="s">
        <v>521</v>
      </c>
      <c r="C71" s="1201" t="s">
        <v>4019</v>
      </c>
      <c r="D71" s="608" t="s">
        <v>2926</v>
      </c>
      <c r="E71" s="1204">
        <v>0.01</v>
      </c>
      <c r="F71" s="649">
        <v>0</v>
      </c>
      <c r="G71" s="1207">
        <v>0.01</v>
      </c>
      <c r="H71" s="1206">
        <v>44807</v>
      </c>
      <c r="I71" s="2120"/>
      <c r="J71" s="2018"/>
      <c r="K71" s="2263"/>
      <c r="L71" s="963" t="s">
        <v>2897</v>
      </c>
      <c r="M71" s="758"/>
      <c r="N71" s="758"/>
      <c r="O71" s="758"/>
    </row>
    <row r="72" spans="1:15" ht="16.5" customHeight="1">
      <c r="A72" s="2193">
        <v>44826</v>
      </c>
      <c r="B72" s="1903" t="s">
        <v>521</v>
      </c>
      <c r="C72" s="1903" t="s">
        <v>4019</v>
      </c>
      <c r="D72" s="2199" t="s">
        <v>3067</v>
      </c>
      <c r="E72" s="1923">
        <v>5763.18</v>
      </c>
      <c r="F72" s="1927">
        <v>0</v>
      </c>
      <c r="G72" s="1207">
        <v>917.45</v>
      </c>
      <c r="H72" s="1206">
        <v>44827</v>
      </c>
      <c r="I72" s="2082"/>
      <c r="J72" s="2019"/>
      <c r="K72" s="2264"/>
      <c r="L72" s="963"/>
      <c r="M72" s="758"/>
      <c r="N72" s="758"/>
      <c r="O72" s="758"/>
    </row>
    <row r="73" spans="1:15" ht="16.5" customHeight="1">
      <c r="A73" s="2194"/>
      <c r="B73" s="1905"/>
      <c r="C73" s="1905"/>
      <c r="D73" s="2200"/>
      <c r="E73" s="1924"/>
      <c r="F73" s="1928"/>
      <c r="G73" s="1207">
        <f>5763.18-917.45</f>
        <v>4845.7300000000005</v>
      </c>
      <c r="H73" s="1206">
        <v>44827</v>
      </c>
      <c r="I73" s="2081">
        <v>6000</v>
      </c>
      <c r="J73" s="2017">
        <v>44949</v>
      </c>
      <c r="K73" s="2262" t="s">
        <v>3998</v>
      </c>
      <c r="L73" s="948"/>
      <c r="M73" s="758"/>
      <c r="N73" s="758"/>
      <c r="O73" s="758"/>
    </row>
    <row r="74" spans="1:15" ht="16.5" customHeight="1">
      <c r="A74" s="2193">
        <v>44865</v>
      </c>
      <c r="B74" s="1903" t="s">
        <v>521</v>
      </c>
      <c r="C74" s="1903" t="s">
        <v>4019</v>
      </c>
      <c r="D74" s="2199" t="s">
        <v>3370</v>
      </c>
      <c r="E74" s="1923">
        <v>3385.21</v>
      </c>
      <c r="F74" s="1927">
        <v>0</v>
      </c>
      <c r="G74" s="1207">
        <v>1154.27</v>
      </c>
      <c r="H74" s="1206">
        <v>44866</v>
      </c>
      <c r="I74" s="2082"/>
      <c r="J74" s="2019"/>
      <c r="K74" s="2264"/>
      <c r="L74" s="185"/>
      <c r="M74" s="758"/>
      <c r="N74" s="758"/>
      <c r="O74" s="758"/>
    </row>
    <row r="75" spans="1:15" ht="16.5" customHeight="1">
      <c r="A75" s="2194"/>
      <c r="B75" s="1905"/>
      <c r="C75" s="1905"/>
      <c r="D75" s="2200"/>
      <c r="E75" s="1924"/>
      <c r="F75" s="1928"/>
      <c r="G75" s="1207">
        <f>3385.21-1154.27</f>
        <v>2230.94</v>
      </c>
      <c r="H75" s="1206">
        <v>44866</v>
      </c>
      <c r="I75" s="2081">
        <v>3326.92</v>
      </c>
      <c r="J75" s="2017">
        <v>44984</v>
      </c>
      <c r="K75" s="2262" t="s">
        <v>4390</v>
      </c>
      <c r="L75" s="1079"/>
      <c r="M75" s="758"/>
      <c r="N75" s="758"/>
      <c r="O75" s="758"/>
    </row>
    <row r="76" spans="1:15" ht="16.5" customHeight="1">
      <c r="A76" s="1206">
        <v>44914</v>
      </c>
      <c r="B76" s="1201" t="s">
        <v>521</v>
      </c>
      <c r="C76" s="1201" t="s">
        <v>4019</v>
      </c>
      <c r="D76" s="608" t="s">
        <v>3793</v>
      </c>
      <c r="E76" s="1204">
        <v>1095.98</v>
      </c>
      <c r="F76" s="649">
        <v>0</v>
      </c>
      <c r="G76" s="1207">
        <v>1095.98</v>
      </c>
      <c r="H76" s="1206">
        <v>44915</v>
      </c>
      <c r="I76" s="2082"/>
      <c r="J76" s="2019"/>
      <c r="K76" s="2264"/>
      <c r="L76" s="865"/>
      <c r="M76" s="758"/>
      <c r="N76" s="758"/>
      <c r="O76" s="758"/>
    </row>
    <row r="77" spans="1:15" ht="28.5">
      <c r="A77" s="1279">
        <v>44897</v>
      </c>
      <c r="B77" s="1274" t="s">
        <v>521</v>
      </c>
      <c r="C77" s="1274" t="s">
        <v>4019</v>
      </c>
      <c r="D77" s="608" t="s">
        <v>3622</v>
      </c>
      <c r="E77" s="1278">
        <v>2272.88</v>
      </c>
      <c r="F77" s="649">
        <v>0</v>
      </c>
      <c r="G77" s="1280">
        <v>2272.88</v>
      </c>
      <c r="H77" s="1279">
        <v>44898</v>
      </c>
      <c r="I77" s="1275">
        <v>2272.88</v>
      </c>
      <c r="J77" s="1277">
        <v>45013</v>
      </c>
      <c r="K77" s="1286" t="s">
        <v>4664</v>
      </c>
      <c r="L77" s="865"/>
      <c r="M77" s="758"/>
      <c r="N77" s="758"/>
      <c r="O77" s="758"/>
    </row>
    <row r="78" spans="1:15" ht="16.5" customHeight="1">
      <c r="A78" s="1534">
        <v>44935</v>
      </c>
      <c r="B78" s="1527" t="s">
        <v>2518</v>
      </c>
      <c r="C78" s="1527" t="s">
        <v>4019</v>
      </c>
      <c r="D78" s="608" t="s">
        <v>3908</v>
      </c>
      <c r="E78" s="1533">
        <v>2400.0700000000002</v>
      </c>
      <c r="F78" s="649">
        <v>0</v>
      </c>
      <c r="G78" s="1535">
        <v>2400.08</v>
      </c>
      <c r="H78" s="1534">
        <v>44995</v>
      </c>
      <c r="I78" s="2081">
        <v>5053.5</v>
      </c>
      <c r="J78" s="2193">
        <v>45118</v>
      </c>
      <c r="K78" s="2258" t="s">
        <v>5616</v>
      </c>
      <c r="L78" s="1008"/>
      <c r="M78" s="758"/>
      <c r="N78" s="758"/>
      <c r="O78" s="758"/>
    </row>
    <row r="79" spans="1:15" ht="16.5" customHeight="1">
      <c r="A79" s="2256">
        <v>44949</v>
      </c>
      <c r="B79" s="1941" t="s">
        <v>2518</v>
      </c>
      <c r="C79" s="1941" t="s">
        <v>4019</v>
      </c>
      <c r="D79" s="2260" t="s">
        <v>3977</v>
      </c>
      <c r="E79" s="1945">
        <v>4653.42</v>
      </c>
      <c r="F79" s="1969">
        <v>0</v>
      </c>
      <c r="G79" s="1535">
        <v>2653.42</v>
      </c>
      <c r="H79" s="1534">
        <v>45039</v>
      </c>
      <c r="I79" s="2082"/>
      <c r="J79" s="2194"/>
      <c r="K79" s="2259"/>
      <c r="L79" s="1079"/>
      <c r="M79" s="758"/>
      <c r="N79" s="758"/>
      <c r="O79" s="758"/>
    </row>
    <row r="80" spans="1:15" ht="16.5" customHeight="1">
      <c r="A80" s="2257"/>
      <c r="B80" s="1942"/>
      <c r="C80" s="1942"/>
      <c r="D80" s="2261"/>
      <c r="E80" s="1946"/>
      <c r="F80" s="1971"/>
      <c r="G80" s="699">
        <f>4653.42-2653.42</f>
        <v>2000</v>
      </c>
      <c r="H80" s="601">
        <v>45039</v>
      </c>
      <c r="I80" s="1529"/>
      <c r="J80" s="1525"/>
      <c r="K80" s="1531"/>
      <c r="L80" s="1532"/>
      <c r="M80" s="758"/>
      <c r="N80" s="758"/>
      <c r="O80" s="758"/>
    </row>
    <row r="81" spans="1:15" ht="16.5" customHeight="1">
      <c r="A81" s="601">
        <v>44984</v>
      </c>
      <c r="B81" s="601" t="s">
        <v>2518</v>
      </c>
      <c r="C81" s="601" t="s">
        <v>4019</v>
      </c>
      <c r="D81" s="602" t="s">
        <v>4376</v>
      </c>
      <c r="E81" s="603">
        <v>3850.54</v>
      </c>
      <c r="F81" s="644">
        <v>0</v>
      </c>
      <c r="G81" s="699">
        <v>3850.54</v>
      </c>
      <c r="H81" s="601">
        <v>45074</v>
      </c>
      <c r="I81" s="1066"/>
      <c r="J81" s="1062"/>
      <c r="K81" s="1074"/>
      <c r="L81" s="1079"/>
      <c r="M81" s="758"/>
      <c r="N81" s="758"/>
      <c r="O81" s="758"/>
    </row>
    <row r="82" spans="1:15" ht="16.5" customHeight="1">
      <c r="A82" s="601">
        <v>44993</v>
      </c>
      <c r="B82" s="601" t="s">
        <v>2518</v>
      </c>
      <c r="C82" s="601" t="s">
        <v>4019</v>
      </c>
      <c r="D82" s="602" t="s">
        <v>4451</v>
      </c>
      <c r="E82" s="603">
        <v>296.16000000000003</v>
      </c>
      <c r="F82" s="644">
        <v>0</v>
      </c>
      <c r="G82" s="699">
        <v>296.16000000000003</v>
      </c>
      <c r="H82" s="601">
        <v>44993</v>
      </c>
      <c r="I82" s="1066"/>
      <c r="J82" s="1062"/>
      <c r="K82" s="1074"/>
      <c r="L82" s="1079"/>
      <c r="M82" s="758"/>
      <c r="N82" s="758"/>
      <c r="O82" s="758"/>
    </row>
    <row r="83" spans="1:15" ht="16.5" customHeight="1">
      <c r="A83" s="601">
        <v>45008</v>
      </c>
      <c r="B83" s="601" t="s">
        <v>2518</v>
      </c>
      <c r="C83" s="601" t="s">
        <v>4019</v>
      </c>
      <c r="D83" s="602" t="s">
        <v>4562</v>
      </c>
      <c r="E83" s="603">
        <v>3133.45</v>
      </c>
      <c r="F83" s="644">
        <v>0</v>
      </c>
      <c r="G83" s="699">
        <v>3133.45</v>
      </c>
      <c r="H83" s="601">
        <v>45068</v>
      </c>
      <c r="I83" s="1004"/>
      <c r="J83" s="1001"/>
      <c r="K83" s="1007"/>
      <c r="L83" s="1008"/>
      <c r="M83" s="758"/>
      <c r="N83" s="758"/>
      <c r="O83" s="758"/>
    </row>
    <row r="84" spans="1:15" ht="16.5" customHeight="1">
      <c r="A84" s="601">
        <v>45043</v>
      </c>
      <c r="B84" s="601" t="s">
        <v>2518</v>
      </c>
      <c r="C84" s="601" t="s">
        <v>4019</v>
      </c>
      <c r="D84" s="602" t="s">
        <v>4880</v>
      </c>
      <c r="E84" s="603">
        <v>6518.33</v>
      </c>
      <c r="F84" s="644">
        <v>0</v>
      </c>
      <c r="G84" s="699">
        <v>6518.33</v>
      </c>
      <c r="H84" s="601">
        <v>45133</v>
      </c>
      <c r="I84" s="1340"/>
      <c r="J84" s="1336"/>
      <c r="K84" s="1346"/>
      <c r="L84" s="1347"/>
      <c r="M84" s="758"/>
      <c r="N84" s="758"/>
      <c r="O84" s="758"/>
    </row>
    <row r="85" spans="1:15" ht="16.5" customHeight="1">
      <c r="A85" s="601">
        <v>45244</v>
      </c>
      <c r="B85" s="601" t="s">
        <v>4133</v>
      </c>
      <c r="C85" s="601" t="s">
        <v>4019</v>
      </c>
      <c r="D85" s="602" t="s">
        <v>6574</v>
      </c>
      <c r="E85" s="603">
        <v>-5.81</v>
      </c>
      <c r="F85" s="644">
        <v>0</v>
      </c>
      <c r="G85" s="699">
        <v>-5.81</v>
      </c>
      <c r="H85" s="601"/>
      <c r="I85" s="1857"/>
      <c r="J85" s="1852"/>
      <c r="K85" s="1864"/>
      <c r="L85" s="1865"/>
      <c r="M85" s="758"/>
      <c r="N85" s="758"/>
      <c r="O85" s="758"/>
    </row>
    <row r="86" spans="1:15" ht="16.5" customHeight="1">
      <c r="A86" s="601">
        <v>45244</v>
      </c>
      <c r="B86" s="601" t="s">
        <v>4133</v>
      </c>
      <c r="C86" s="601" t="s">
        <v>4019</v>
      </c>
      <c r="D86" s="602" t="s">
        <v>6575</v>
      </c>
      <c r="E86" s="603">
        <v>-4.17</v>
      </c>
      <c r="F86" s="644">
        <v>0</v>
      </c>
      <c r="G86" s="699">
        <v>-4.17</v>
      </c>
      <c r="H86" s="601"/>
      <c r="I86" s="1857"/>
      <c r="J86" s="1852"/>
      <c r="K86" s="1864"/>
      <c r="L86" s="1865"/>
      <c r="M86" s="758"/>
      <c r="N86" s="758"/>
      <c r="O86" s="758"/>
    </row>
    <row r="87" spans="1:15" ht="16.5" customHeight="1">
      <c r="A87" s="601">
        <v>45244</v>
      </c>
      <c r="B87" s="601" t="s">
        <v>4133</v>
      </c>
      <c r="C87" s="601" t="s">
        <v>4019</v>
      </c>
      <c r="D87" s="602" t="s">
        <v>6576</v>
      </c>
      <c r="E87" s="603">
        <v>-32.6</v>
      </c>
      <c r="F87" s="644">
        <v>0</v>
      </c>
      <c r="G87" s="699">
        <v>-32.6</v>
      </c>
      <c r="H87" s="601"/>
      <c r="I87" s="1857"/>
      <c r="J87" s="1852"/>
      <c r="K87" s="1864"/>
      <c r="L87" s="1865"/>
      <c r="M87" s="758"/>
      <c r="N87" s="758"/>
      <c r="O87" s="758"/>
    </row>
    <row r="88" spans="1:15" ht="16.5" customHeight="1">
      <c r="A88" s="601">
        <v>45244</v>
      </c>
      <c r="B88" s="601" t="s">
        <v>4133</v>
      </c>
      <c r="C88" s="601" t="s">
        <v>4019</v>
      </c>
      <c r="D88" s="602" t="s">
        <v>6577</v>
      </c>
      <c r="E88" s="603">
        <v>-3.47</v>
      </c>
      <c r="F88" s="644">
        <v>0</v>
      </c>
      <c r="G88" s="699">
        <v>-3.47</v>
      </c>
      <c r="H88" s="601"/>
      <c r="I88" s="1857"/>
      <c r="J88" s="1852"/>
      <c r="K88" s="1864"/>
      <c r="L88" s="1865"/>
      <c r="M88" s="758"/>
      <c r="N88" s="758"/>
      <c r="O88" s="758"/>
    </row>
    <row r="89" spans="1:15" ht="16.5" customHeight="1">
      <c r="A89" s="601">
        <v>45244</v>
      </c>
      <c r="B89" s="601" t="s">
        <v>4133</v>
      </c>
      <c r="C89" s="601" t="s">
        <v>4019</v>
      </c>
      <c r="D89" s="602" t="s">
        <v>6578</v>
      </c>
      <c r="E89" s="603">
        <v>-686.37</v>
      </c>
      <c r="F89" s="644">
        <v>0</v>
      </c>
      <c r="G89" s="699">
        <v>-686.37</v>
      </c>
      <c r="H89" s="601"/>
      <c r="I89" s="1857"/>
      <c r="J89" s="1852"/>
      <c r="K89" s="1864"/>
      <c r="L89" s="1865"/>
      <c r="M89" s="758"/>
      <c r="N89" s="758"/>
      <c r="O89" s="758"/>
    </row>
    <row r="90" spans="1:15" ht="16.5" customHeight="1">
      <c r="A90" s="601">
        <v>45244</v>
      </c>
      <c r="B90" s="601" t="s">
        <v>4133</v>
      </c>
      <c r="C90" s="601" t="s">
        <v>4019</v>
      </c>
      <c r="D90" s="602" t="s">
        <v>6579</v>
      </c>
      <c r="E90" s="603">
        <v>-258.82</v>
      </c>
      <c r="F90" s="644">
        <v>0</v>
      </c>
      <c r="G90" s="699">
        <v>-258.82</v>
      </c>
      <c r="H90" s="601"/>
      <c r="I90" s="1857"/>
      <c r="J90" s="1852"/>
      <c r="K90" s="1864"/>
      <c r="L90" s="1865"/>
      <c r="M90" s="758"/>
      <c r="N90" s="758"/>
      <c r="O90" s="758"/>
    </row>
    <row r="91" spans="1:15" ht="16.5" customHeight="1">
      <c r="A91" s="601">
        <v>45244</v>
      </c>
      <c r="B91" s="601" t="s">
        <v>4133</v>
      </c>
      <c r="C91" s="601" t="s">
        <v>4019</v>
      </c>
      <c r="D91" s="602" t="s">
        <v>6580</v>
      </c>
      <c r="E91" s="603">
        <v>-831.51</v>
      </c>
      <c r="F91" s="644">
        <v>0</v>
      </c>
      <c r="G91" s="699">
        <v>-831.51</v>
      </c>
      <c r="H91" s="601"/>
      <c r="I91" s="1857"/>
      <c r="J91" s="1852"/>
      <c r="K91" s="1864"/>
      <c r="L91" s="1865"/>
      <c r="M91" s="758"/>
      <c r="N91" s="758"/>
      <c r="O91" s="758"/>
    </row>
    <row r="92" spans="1:15" ht="16.5" customHeight="1">
      <c r="A92" s="601">
        <v>45244</v>
      </c>
      <c r="B92" s="601" t="s">
        <v>4133</v>
      </c>
      <c r="C92" s="601" t="s">
        <v>4019</v>
      </c>
      <c r="D92" s="602" t="s">
        <v>6581</v>
      </c>
      <c r="E92" s="603">
        <v>-334.23</v>
      </c>
      <c r="F92" s="644">
        <v>0</v>
      </c>
      <c r="G92" s="699">
        <v>-334.23</v>
      </c>
      <c r="H92" s="601"/>
      <c r="I92" s="1857"/>
      <c r="J92" s="1852"/>
      <c r="K92" s="1864"/>
      <c r="L92" s="1865"/>
      <c r="M92" s="758"/>
      <c r="N92" s="758"/>
      <c r="O92" s="758"/>
    </row>
    <row r="93" spans="1:15" ht="16.5" customHeight="1">
      <c r="A93" s="601">
        <v>45244</v>
      </c>
      <c r="B93" s="601" t="s">
        <v>4133</v>
      </c>
      <c r="C93" s="601" t="s">
        <v>4019</v>
      </c>
      <c r="D93" s="602" t="s">
        <v>6582</v>
      </c>
      <c r="E93" s="603">
        <v>-210.63</v>
      </c>
      <c r="F93" s="644">
        <v>0</v>
      </c>
      <c r="G93" s="699">
        <v>-210.63</v>
      </c>
      <c r="H93" s="601"/>
      <c r="I93" s="1857"/>
      <c r="J93" s="1852"/>
      <c r="K93" s="1864"/>
      <c r="L93" s="1865"/>
      <c r="M93" s="758"/>
      <c r="N93" s="758"/>
      <c r="O93" s="758"/>
    </row>
    <row r="94" spans="1:15" ht="16.5" customHeight="1">
      <c r="A94" s="601">
        <v>45244</v>
      </c>
      <c r="B94" s="601" t="s">
        <v>4133</v>
      </c>
      <c r="C94" s="601" t="s">
        <v>4019</v>
      </c>
      <c r="D94" s="602" t="s">
        <v>6583</v>
      </c>
      <c r="E94" s="603">
        <v>-650.13</v>
      </c>
      <c r="F94" s="644">
        <v>0</v>
      </c>
      <c r="G94" s="699">
        <v>-650.13</v>
      </c>
      <c r="H94" s="601"/>
      <c r="I94" s="1857"/>
      <c r="J94" s="1852"/>
      <c r="K94" s="1864"/>
      <c r="L94" s="1865"/>
      <c r="M94" s="758"/>
      <c r="N94" s="758"/>
      <c r="O94" s="758"/>
    </row>
    <row r="95" spans="1:15" ht="16.5" customHeight="1">
      <c r="A95" s="601">
        <v>45244</v>
      </c>
      <c r="B95" s="601" t="s">
        <v>4133</v>
      </c>
      <c r="C95" s="601" t="s">
        <v>4019</v>
      </c>
      <c r="D95" s="602" t="s">
        <v>6584</v>
      </c>
      <c r="E95" s="603">
        <v>-252.27</v>
      </c>
      <c r="F95" s="644">
        <v>0</v>
      </c>
      <c r="G95" s="699">
        <v>-252.27</v>
      </c>
      <c r="H95" s="601"/>
      <c r="I95" s="1857"/>
      <c r="J95" s="1852"/>
      <c r="K95" s="1864"/>
      <c r="L95" s="1865"/>
      <c r="M95" s="758"/>
      <c r="N95" s="758"/>
      <c r="O95" s="758"/>
    </row>
    <row r="96" spans="1:15" ht="16.5" customHeight="1">
      <c r="A96" s="601">
        <v>45244</v>
      </c>
      <c r="B96" s="601" t="s">
        <v>4133</v>
      </c>
      <c r="C96" s="601" t="s">
        <v>4019</v>
      </c>
      <c r="D96" s="602" t="s">
        <v>6585</v>
      </c>
      <c r="E96" s="603">
        <v>-204.82</v>
      </c>
      <c r="F96" s="644">
        <v>0</v>
      </c>
      <c r="G96" s="699">
        <v>-204.82</v>
      </c>
      <c r="H96" s="601"/>
      <c r="I96" s="1857"/>
      <c r="J96" s="1852"/>
      <c r="K96" s="1864"/>
      <c r="L96" s="1865"/>
      <c r="M96" s="758"/>
      <c r="N96" s="758"/>
      <c r="O96" s="758"/>
    </row>
    <row r="97" spans="1:15" ht="16.5" customHeight="1">
      <c r="A97" s="601">
        <v>45244</v>
      </c>
      <c r="B97" s="601" t="s">
        <v>4133</v>
      </c>
      <c r="C97" s="601" t="s">
        <v>4019</v>
      </c>
      <c r="D97" s="602" t="s">
        <v>6586</v>
      </c>
      <c r="E97" s="603">
        <v>-201.44</v>
      </c>
      <c r="F97" s="644">
        <v>0</v>
      </c>
      <c r="G97" s="699">
        <v>-201.44</v>
      </c>
      <c r="H97" s="601"/>
      <c r="I97" s="1857"/>
      <c r="J97" s="1852"/>
      <c r="K97" s="1864"/>
      <c r="L97" s="1865"/>
      <c r="M97" s="758"/>
      <c r="N97" s="758"/>
      <c r="O97" s="758"/>
    </row>
    <row r="98" spans="1:15" ht="16.5" customHeight="1">
      <c r="A98" s="601">
        <v>45244</v>
      </c>
      <c r="B98" s="601" t="s">
        <v>4133</v>
      </c>
      <c r="C98" s="601" t="s">
        <v>4019</v>
      </c>
      <c r="D98" s="602" t="s">
        <v>6587</v>
      </c>
      <c r="E98" s="603">
        <v>-62.5</v>
      </c>
      <c r="F98" s="644">
        <v>0</v>
      </c>
      <c r="G98" s="699">
        <v>-62.5</v>
      </c>
      <c r="H98" s="601"/>
      <c r="I98" s="1857"/>
      <c r="J98" s="1852"/>
      <c r="K98" s="1864"/>
      <c r="L98" s="1865"/>
      <c r="M98" s="758"/>
      <c r="N98" s="758"/>
      <c r="O98" s="758"/>
    </row>
    <row r="99" spans="1:15" ht="16.5" customHeight="1">
      <c r="A99" s="601">
        <v>45244</v>
      </c>
      <c r="B99" s="601" t="s">
        <v>4133</v>
      </c>
      <c r="C99" s="601" t="s">
        <v>4019</v>
      </c>
      <c r="D99" s="602" t="s">
        <v>6588</v>
      </c>
      <c r="E99" s="603">
        <v>-561.5</v>
      </c>
      <c r="F99" s="644">
        <v>0</v>
      </c>
      <c r="G99" s="699">
        <v>-561.5</v>
      </c>
      <c r="H99" s="601"/>
      <c r="I99" s="1857"/>
      <c r="J99" s="1852"/>
      <c r="K99" s="1864"/>
      <c r="L99" s="1865"/>
      <c r="M99" s="758"/>
      <c r="N99" s="758"/>
      <c r="O99" s="758"/>
    </row>
    <row r="100" spans="1:15" ht="16.5" customHeight="1">
      <c r="A100" s="601">
        <v>45244</v>
      </c>
      <c r="B100" s="601" t="s">
        <v>4133</v>
      </c>
      <c r="C100" s="601" t="s">
        <v>4019</v>
      </c>
      <c r="D100" s="602" t="s">
        <v>6589</v>
      </c>
      <c r="E100" s="603">
        <v>-634.47</v>
      </c>
      <c r="F100" s="644">
        <v>0</v>
      </c>
      <c r="G100" s="699">
        <v>-634.47</v>
      </c>
      <c r="H100" s="601"/>
      <c r="I100" s="1857"/>
      <c r="J100" s="1852"/>
      <c r="K100" s="1864"/>
      <c r="L100" s="1865"/>
      <c r="M100" s="758"/>
      <c r="N100" s="758"/>
      <c r="O100" s="758"/>
    </row>
    <row r="101" spans="1:15" ht="16.5" customHeight="1">
      <c r="A101" s="601">
        <v>45244</v>
      </c>
      <c r="B101" s="601" t="s">
        <v>4133</v>
      </c>
      <c r="C101" s="601" t="s">
        <v>4019</v>
      </c>
      <c r="D101" s="602" t="s">
        <v>6590</v>
      </c>
      <c r="E101" s="603">
        <v>-572.49</v>
      </c>
      <c r="F101" s="644">
        <v>0</v>
      </c>
      <c r="G101" s="699">
        <v>-572.49</v>
      </c>
      <c r="H101" s="601"/>
      <c r="I101" s="1857"/>
      <c r="J101" s="1852"/>
      <c r="K101" s="1864"/>
      <c r="L101" s="1865"/>
      <c r="M101" s="758"/>
      <c r="N101" s="758"/>
      <c r="O101" s="758"/>
    </row>
    <row r="102" spans="1:15" ht="16.5" customHeight="1">
      <c r="A102" s="601">
        <v>45244</v>
      </c>
      <c r="B102" s="601" t="s">
        <v>4133</v>
      </c>
      <c r="C102" s="601" t="s">
        <v>4019</v>
      </c>
      <c r="D102" s="602" t="s">
        <v>6591</v>
      </c>
      <c r="E102" s="603">
        <v>-881.37</v>
      </c>
      <c r="F102" s="644">
        <v>0</v>
      </c>
      <c r="G102" s="699">
        <v>-881.37</v>
      </c>
      <c r="H102" s="601"/>
      <c r="I102" s="1857"/>
      <c r="J102" s="1852"/>
      <c r="K102" s="1864"/>
      <c r="L102" s="1865"/>
      <c r="M102" s="758"/>
      <c r="N102" s="758"/>
      <c r="O102" s="758"/>
    </row>
    <row r="103" spans="1:15" ht="16.5" customHeight="1">
      <c r="A103" s="601">
        <v>45244</v>
      </c>
      <c r="B103" s="601" t="s">
        <v>4133</v>
      </c>
      <c r="C103" s="601" t="s">
        <v>4019</v>
      </c>
      <c r="D103" s="602" t="s">
        <v>6592</v>
      </c>
      <c r="E103" s="603">
        <v>-351.07</v>
      </c>
      <c r="F103" s="644">
        <v>0</v>
      </c>
      <c r="G103" s="699">
        <v>-351.07</v>
      </c>
      <c r="H103" s="601"/>
      <c r="I103" s="1857"/>
      <c r="J103" s="1852"/>
      <c r="K103" s="1864"/>
      <c r="L103" s="1865"/>
      <c r="M103" s="758"/>
      <c r="N103" s="758"/>
      <c r="O103" s="758"/>
    </row>
    <row r="104" spans="1:15" ht="16.5" customHeight="1">
      <c r="A104" s="601">
        <v>45244</v>
      </c>
      <c r="B104" s="601" t="s">
        <v>4133</v>
      </c>
      <c r="C104" s="601" t="s">
        <v>4019</v>
      </c>
      <c r="D104" s="602" t="s">
        <v>6593</v>
      </c>
      <c r="E104" s="603">
        <v>-713.34</v>
      </c>
      <c r="F104" s="644">
        <v>0</v>
      </c>
      <c r="G104" s="699">
        <v>-713.34</v>
      </c>
      <c r="H104" s="601"/>
      <c r="I104" s="1857"/>
      <c r="J104" s="1852"/>
      <c r="K104" s="1864"/>
      <c r="L104" s="1865"/>
      <c r="M104" s="758"/>
      <c r="N104" s="758"/>
      <c r="O104" s="758"/>
    </row>
    <row r="105" spans="1:15" ht="16.5" customHeight="1">
      <c r="A105" s="601">
        <v>45245</v>
      </c>
      <c r="B105" s="601" t="s">
        <v>4133</v>
      </c>
      <c r="C105" s="601" t="s">
        <v>4019</v>
      </c>
      <c r="D105" s="602" t="s">
        <v>6594</v>
      </c>
      <c r="E105" s="603">
        <v>-734.18</v>
      </c>
      <c r="F105" s="644">
        <v>0</v>
      </c>
      <c r="G105" s="699">
        <v>-734.18</v>
      </c>
      <c r="H105" s="601"/>
      <c r="I105" s="1857"/>
      <c r="J105" s="1852"/>
      <c r="K105" s="1864"/>
      <c r="L105" s="1865"/>
      <c r="M105" s="758"/>
      <c r="N105" s="758"/>
      <c r="O105" s="758"/>
    </row>
    <row r="106" spans="1:15" ht="16.5" customHeight="1">
      <c r="A106" s="601">
        <v>45247</v>
      </c>
      <c r="B106" s="601" t="s">
        <v>4133</v>
      </c>
      <c r="C106" s="601" t="s">
        <v>4019</v>
      </c>
      <c r="D106" s="602" t="s">
        <v>6595</v>
      </c>
      <c r="E106" s="603">
        <v>-107.38</v>
      </c>
      <c r="F106" s="644">
        <v>0</v>
      </c>
      <c r="G106" s="699">
        <v>-107.38</v>
      </c>
      <c r="H106" s="601"/>
      <c r="I106" s="1857"/>
      <c r="J106" s="1852"/>
      <c r="K106" s="1864"/>
      <c r="L106" s="1865"/>
      <c r="M106" s="758"/>
      <c r="N106" s="758"/>
      <c r="O106" s="758"/>
    </row>
    <row r="107" spans="1:15" ht="16.5" customHeight="1">
      <c r="A107" s="601">
        <v>45247</v>
      </c>
      <c r="B107" s="601" t="s">
        <v>4133</v>
      </c>
      <c r="C107" s="601" t="s">
        <v>4019</v>
      </c>
      <c r="D107" s="602" t="s">
        <v>6596</v>
      </c>
      <c r="E107" s="603">
        <v>-119.39</v>
      </c>
      <c r="F107" s="644">
        <v>0</v>
      </c>
      <c r="G107" s="699">
        <v>-119.39</v>
      </c>
      <c r="H107" s="601"/>
      <c r="I107" s="1857"/>
      <c r="J107" s="1852"/>
      <c r="K107" s="1864"/>
      <c r="L107" s="1865"/>
      <c r="M107" s="758"/>
      <c r="N107" s="758"/>
      <c r="O107" s="758"/>
    </row>
    <row r="108" spans="1:15" ht="16.5" customHeight="1">
      <c r="A108" s="601">
        <v>45247</v>
      </c>
      <c r="B108" s="601" t="s">
        <v>4133</v>
      </c>
      <c r="C108" s="601" t="s">
        <v>4019</v>
      </c>
      <c r="D108" s="602" t="s">
        <v>6597</v>
      </c>
      <c r="E108" s="603">
        <v>-374.21</v>
      </c>
      <c r="F108" s="644">
        <v>0</v>
      </c>
      <c r="G108" s="699">
        <v>-374.21</v>
      </c>
      <c r="H108" s="601"/>
      <c r="I108" s="1857"/>
      <c r="J108" s="1852"/>
      <c r="K108" s="1864"/>
      <c r="L108" s="1865"/>
      <c r="M108" s="758"/>
      <c r="N108" s="758"/>
      <c r="O108" s="758"/>
    </row>
    <row r="109" spans="1:15" ht="16.5" customHeight="1">
      <c r="A109" s="601">
        <v>45247</v>
      </c>
      <c r="B109" s="601" t="s">
        <v>4133</v>
      </c>
      <c r="C109" s="601" t="s">
        <v>4019</v>
      </c>
      <c r="D109" s="602" t="s">
        <v>6598</v>
      </c>
      <c r="E109" s="603">
        <v>-159.51</v>
      </c>
      <c r="F109" s="644">
        <v>0</v>
      </c>
      <c r="G109" s="699">
        <v>-159.51</v>
      </c>
      <c r="H109" s="601"/>
      <c r="I109" s="1857"/>
      <c r="J109" s="1852"/>
      <c r="K109" s="1864"/>
      <c r="L109" s="1865"/>
      <c r="M109" s="758"/>
      <c r="N109" s="758"/>
      <c r="O109" s="758"/>
    </row>
    <row r="110" spans="1:15" ht="16.5" customHeight="1">
      <c r="A110" s="601">
        <v>45247</v>
      </c>
      <c r="B110" s="601" t="s">
        <v>4133</v>
      </c>
      <c r="C110" s="601" t="s">
        <v>4019</v>
      </c>
      <c r="D110" s="602" t="s">
        <v>6599</v>
      </c>
      <c r="E110" s="603">
        <v>-68.02</v>
      </c>
      <c r="F110" s="644">
        <v>0</v>
      </c>
      <c r="G110" s="699">
        <v>-68.02</v>
      </c>
      <c r="H110" s="601"/>
      <c r="I110" s="1857"/>
      <c r="J110" s="1852"/>
      <c r="K110" s="1864"/>
      <c r="L110" s="1865"/>
      <c r="M110" s="758"/>
      <c r="N110" s="758"/>
      <c r="O110" s="758"/>
    </row>
    <row r="111" spans="1:15" ht="16.5" customHeight="1">
      <c r="A111" s="601">
        <v>45247</v>
      </c>
      <c r="B111" s="601" t="s">
        <v>4133</v>
      </c>
      <c r="C111" s="601" t="s">
        <v>4019</v>
      </c>
      <c r="D111" s="602" t="s">
        <v>6600</v>
      </c>
      <c r="E111" s="603">
        <v>-184.67</v>
      </c>
      <c r="F111" s="644">
        <v>0</v>
      </c>
      <c r="G111" s="699">
        <v>-184.67</v>
      </c>
      <c r="H111" s="601"/>
      <c r="I111" s="1857"/>
      <c r="J111" s="1852"/>
      <c r="K111" s="1864"/>
      <c r="L111" s="1865"/>
      <c r="M111" s="758"/>
      <c r="N111" s="758"/>
      <c r="O111" s="758"/>
    </row>
    <row r="112" spans="1:15" ht="16.5" customHeight="1">
      <c r="A112" s="601">
        <v>45247</v>
      </c>
      <c r="B112" s="601" t="s">
        <v>4133</v>
      </c>
      <c r="C112" s="601" t="s">
        <v>4019</v>
      </c>
      <c r="D112" s="602" t="s">
        <v>6601</v>
      </c>
      <c r="E112" s="603">
        <v>-126.62</v>
      </c>
      <c r="F112" s="644">
        <v>0</v>
      </c>
      <c r="G112" s="699">
        <v>-126.62</v>
      </c>
      <c r="H112" s="601"/>
      <c r="I112" s="1857"/>
      <c r="J112" s="1852"/>
      <c r="K112" s="1864"/>
      <c r="L112" s="1865"/>
      <c r="M112" s="758"/>
      <c r="N112" s="758"/>
      <c r="O112" s="758"/>
    </row>
    <row r="113" spans="1:15" ht="16.5" customHeight="1">
      <c r="A113" s="601">
        <v>45247</v>
      </c>
      <c r="B113" s="601" t="s">
        <v>4133</v>
      </c>
      <c r="C113" s="601" t="s">
        <v>4019</v>
      </c>
      <c r="D113" s="602" t="s">
        <v>6602</v>
      </c>
      <c r="E113" s="603">
        <v>-247.06</v>
      </c>
      <c r="F113" s="644">
        <v>0</v>
      </c>
      <c r="G113" s="699">
        <v>-247.07</v>
      </c>
      <c r="H113" s="601"/>
      <c r="I113" s="1857"/>
      <c r="J113" s="1852"/>
      <c r="K113" s="1864"/>
      <c r="L113" s="1865"/>
      <c r="M113" s="758"/>
      <c r="N113" s="758"/>
      <c r="O113" s="758"/>
    </row>
    <row r="114" spans="1:15" ht="16.5" customHeight="1">
      <c r="A114" s="601">
        <v>45247</v>
      </c>
      <c r="B114" s="601" t="s">
        <v>4133</v>
      </c>
      <c r="C114" s="601" t="s">
        <v>4019</v>
      </c>
      <c r="D114" s="602" t="s">
        <v>6603</v>
      </c>
      <c r="E114" s="603">
        <v>-350.29</v>
      </c>
      <c r="F114" s="644">
        <v>0</v>
      </c>
      <c r="G114" s="699">
        <v>-350.29</v>
      </c>
      <c r="H114" s="601"/>
      <c r="I114" s="1857"/>
      <c r="J114" s="1852"/>
      <c r="K114" s="1864"/>
      <c r="L114" s="1865"/>
      <c r="M114" s="758"/>
      <c r="N114" s="758"/>
      <c r="O114" s="758"/>
    </row>
    <row r="115" spans="1:15" ht="16.5" customHeight="1">
      <c r="A115" s="601">
        <v>45247</v>
      </c>
      <c r="B115" s="601" t="s">
        <v>4133</v>
      </c>
      <c r="C115" s="601" t="s">
        <v>4019</v>
      </c>
      <c r="D115" s="602" t="s">
        <v>6604</v>
      </c>
      <c r="E115" s="603">
        <v>-667.61</v>
      </c>
      <c r="F115" s="644">
        <v>0</v>
      </c>
      <c r="G115" s="699">
        <v>-667.62</v>
      </c>
      <c r="H115" s="601"/>
      <c r="I115" s="1340"/>
      <c r="J115" s="1336"/>
      <c r="K115" s="1346"/>
      <c r="L115" s="1347"/>
      <c r="M115" s="758"/>
      <c r="N115" s="758"/>
      <c r="O115" s="758"/>
    </row>
    <row r="116" spans="1:15" ht="16.5" customHeight="1">
      <c r="A116" s="601"/>
      <c r="B116" s="601"/>
      <c r="C116" s="601"/>
      <c r="D116" s="602"/>
      <c r="E116" s="603"/>
      <c r="F116" s="644"/>
      <c r="G116" s="699"/>
      <c r="H116" s="601"/>
      <c r="I116" s="1340"/>
      <c r="J116" s="1336"/>
      <c r="K116" s="1346"/>
      <c r="L116" s="1347"/>
      <c r="M116" s="758"/>
      <c r="N116" s="758"/>
      <c r="O116" s="758"/>
    </row>
    <row r="117" spans="1:15" ht="16.5" customHeight="1">
      <c r="A117" s="601"/>
      <c r="B117" s="601"/>
      <c r="C117" s="601"/>
      <c r="D117" s="602"/>
      <c r="E117" s="603"/>
      <c r="F117" s="644"/>
      <c r="G117" s="699"/>
      <c r="H117" s="601"/>
      <c r="I117" s="1340"/>
      <c r="J117" s="1336"/>
      <c r="K117" s="1346"/>
      <c r="L117" s="1347"/>
      <c r="M117" s="758"/>
      <c r="N117" s="758"/>
      <c r="O117" s="758"/>
    </row>
    <row r="118" spans="1:15" ht="16.5" customHeight="1">
      <c r="A118" s="601"/>
      <c r="B118" s="601"/>
      <c r="C118" s="601"/>
      <c r="D118" s="602"/>
      <c r="E118" s="603"/>
      <c r="F118" s="644"/>
      <c r="G118" s="699"/>
      <c r="H118" s="601"/>
      <c r="I118" s="1004"/>
      <c r="J118" s="1001"/>
      <c r="K118" s="1007"/>
      <c r="L118" s="1008"/>
      <c r="M118" s="758"/>
      <c r="N118" s="758"/>
      <c r="O118" s="758"/>
    </row>
    <row r="119" spans="1:15" ht="16.5" customHeight="1">
      <c r="A119" s="601" t="s">
        <v>1892</v>
      </c>
      <c r="B119" s="601"/>
      <c r="C119" s="601"/>
      <c r="D119" s="602"/>
      <c r="E119" s="603"/>
      <c r="F119" s="644"/>
      <c r="G119" s="699"/>
      <c r="H119" s="601"/>
      <c r="I119" s="757"/>
      <c r="J119" s="736"/>
      <c r="K119" s="330"/>
      <c r="L119" s="185"/>
      <c r="M119" s="758"/>
      <c r="N119" s="758"/>
      <c r="O119" s="758"/>
    </row>
    <row r="120" spans="1:15" ht="16.5" customHeight="1">
      <c r="A120" s="701"/>
      <c r="B120" s="1138"/>
      <c r="C120" s="1138"/>
      <c r="D120" s="701"/>
      <c r="E120" s="703"/>
      <c r="F120" s="1144" t="s">
        <v>545</v>
      </c>
      <c r="G120" s="729">
        <f>SUM(G51:G119)-SUM(I51:I119)</f>
        <v>5206.5100000000093</v>
      </c>
      <c r="H120" s="706"/>
      <c r="I120" s="696"/>
      <c r="J120" s="701"/>
      <c r="K120" s="594"/>
      <c r="L120" s="185"/>
      <c r="M120" s="758"/>
      <c r="N120" s="758"/>
      <c r="O120" s="758"/>
    </row>
  </sheetData>
  <mergeCells count="66">
    <mergeCell ref="I66:I68"/>
    <mergeCell ref="F65:F66"/>
    <mergeCell ref="E65:E66"/>
    <mergeCell ref="B74:B75"/>
    <mergeCell ref="C74:C75"/>
    <mergeCell ref="F74:F75"/>
    <mergeCell ref="E74:E75"/>
    <mergeCell ref="D74:D75"/>
    <mergeCell ref="A74:A75"/>
    <mergeCell ref="K73:K74"/>
    <mergeCell ref="J73:J74"/>
    <mergeCell ref="I73:I74"/>
    <mergeCell ref="A72:A73"/>
    <mergeCell ref="K69:K72"/>
    <mergeCell ref="J69:J72"/>
    <mergeCell ref="F72:F73"/>
    <mergeCell ref="E72:E73"/>
    <mergeCell ref="D72:D73"/>
    <mergeCell ref="I69:I72"/>
    <mergeCell ref="K75:K76"/>
    <mergeCell ref="J75:J76"/>
    <mergeCell ref="I75:I76"/>
    <mergeCell ref="B72:B73"/>
    <mergeCell ref="C72:C73"/>
    <mergeCell ref="K5:K7"/>
    <mergeCell ref="K8:K13"/>
    <mergeCell ref="J8:J13"/>
    <mergeCell ref="J14:J19"/>
    <mergeCell ref="I25:I44"/>
    <mergeCell ref="K20:K24"/>
    <mergeCell ref="I14:I19"/>
    <mergeCell ref="I20:I24"/>
    <mergeCell ref="J20:J24"/>
    <mergeCell ref="I5:I7"/>
    <mergeCell ref="I8:I13"/>
    <mergeCell ref="J5:J7"/>
    <mergeCell ref="P18:P21"/>
    <mergeCell ref="K48:K49"/>
    <mergeCell ref="K14:K19"/>
    <mergeCell ref="J25:J44"/>
    <mergeCell ref="J48:J49"/>
    <mergeCell ref="A65:A66"/>
    <mergeCell ref="K66:K68"/>
    <mergeCell ref="L16:L17"/>
    <mergeCell ref="A16:A17"/>
    <mergeCell ref="I48:I49"/>
    <mergeCell ref="K52:K53"/>
    <mergeCell ref="J52:J53"/>
    <mergeCell ref="L52:L53"/>
    <mergeCell ref="D65:D66"/>
    <mergeCell ref="I55:I64"/>
    <mergeCell ref="J55:J64"/>
    <mergeCell ref="I52:I53"/>
    <mergeCell ref="K55:K64"/>
    <mergeCell ref="J66:J68"/>
    <mergeCell ref="C65:C66"/>
    <mergeCell ref="B65:B66"/>
    <mergeCell ref="A79:A80"/>
    <mergeCell ref="K78:K79"/>
    <mergeCell ref="I78:I79"/>
    <mergeCell ref="J78:J79"/>
    <mergeCell ref="F79:F80"/>
    <mergeCell ref="E79:E80"/>
    <mergeCell ref="D79:D80"/>
    <mergeCell ref="C79:C80"/>
    <mergeCell ref="B79:B80"/>
  </mergeCells>
  <phoneticPr fontId="15" type="noConversion"/>
  <hyperlinks>
    <hyperlink ref="F120" location="汇总!A1" display="剩余欠款"/>
  </hyperlinks>
  <pageMargins left="0.75" right="0.75" top="1" bottom="1" header="0.5" footer="0.5"/>
  <pageSetup paperSize="9" orientation="portrait" horizontalDpi="0" verticalDpi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L94"/>
  <sheetViews>
    <sheetView zoomScaleSheetLayoutView="100" workbookViewId="0">
      <pane ySplit="1" topLeftCell="A65" activePane="bottomLeft" state="frozen"/>
      <selection activeCell="C33" sqref="C33"/>
      <selection pane="bottomLeft" activeCell="F93" sqref="F93"/>
    </sheetView>
  </sheetViews>
  <sheetFormatPr defaultRowHeight="13.5"/>
  <cols>
    <col min="1" max="1" width="11.625" style="965" bestFit="1" customWidth="1"/>
    <col min="2" max="2" width="9" style="965" bestFit="1" customWidth="1"/>
    <col min="3" max="3" width="27.75" style="965" bestFit="1" customWidth="1"/>
    <col min="4" max="4" width="17" style="965" bestFit="1" customWidth="1"/>
    <col min="5" max="5" width="17" style="518" customWidth="1"/>
    <col min="6" max="6" width="13" style="975" bestFit="1" customWidth="1"/>
    <col min="7" max="7" width="15.375" style="965" bestFit="1" customWidth="1"/>
    <col min="8" max="8" width="20.625" style="965" bestFit="1" customWidth="1"/>
    <col min="9" max="9" width="18" style="965" bestFit="1" customWidth="1"/>
    <col min="10" max="10" width="16.125" style="965" bestFit="1" customWidth="1"/>
    <col min="11" max="11" width="17.375" style="328" customWidth="1"/>
    <col min="12" max="12" width="35.625" style="327" customWidth="1"/>
    <col min="13" max="16384" width="9" style="965"/>
  </cols>
  <sheetData>
    <row r="1" spans="1:12" s="96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7" t="s">
        <v>2721</v>
      </c>
      <c r="H1" s="257" t="s">
        <v>4099</v>
      </c>
      <c r="I1" s="257" t="s">
        <v>3043</v>
      </c>
      <c r="J1" s="257" t="s">
        <v>4100</v>
      </c>
      <c r="K1" s="257" t="s">
        <v>541</v>
      </c>
      <c r="L1" s="531" t="s">
        <v>542</v>
      </c>
    </row>
    <row r="2" spans="1:12" ht="15" hidden="1">
      <c r="A2" s="942">
        <v>43560</v>
      </c>
      <c r="B2" s="1137"/>
      <c r="C2" s="1137"/>
      <c r="D2" s="2270" t="s">
        <v>274</v>
      </c>
      <c r="E2" s="517"/>
      <c r="F2" s="516"/>
      <c r="G2" s="2281">
        <v>10695.47</v>
      </c>
      <c r="H2" s="326"/>
      <c r="I2" s="953">
        <v>2397.21</v>
      </c>
      <c r="J2" s="954">
        <v>43636</v>
      </c>
      <c r="K2" s="946" t="s">
        <v>1378</v>
      </c>
      <c r="L2" s="964"/>
    </row>
    <row r="3" spans="1:12" ht="14.25" hidden="1">
      <c r="A3" s="942"/>
      <c r="B3" s="1137"/>
      <c r="C3" s="1137"/>
      <c r="D3" s="2280"/>
      <c r="E3" s="966"/>
      <c r="F3" s="967"/>
      <c r="G3" s="2281"/>
      <c r="H3" s="968"/>
      <c r="I3" s="953">
        <v>5000</v>
      </c>
      <c r="J3" s="954">
        <v>43675</v>
      </c>
      <c r="K3" s="946" t="s">
        <v>485</v>
      </c>
      <c r="L3" s="948"/>
    </row>
    <row r="4" spans="1:12" ht="15" hidden="1">
      <c r="A4" s="942"/>
      <c r="B4" s="1137"/>
      <c r="C4" s="1137"/>
      <c r="D4" s="946"/>
      <c r="E4" s="517"/>
      <c r="F4" s="946" t="s">
        <v>545</v>
      </c>
      <c r="G4" s="969">
        <f>SUM(G2:G3)-I2-I3</f>
        <v>3298.2599999999984</v>
      </c>
      <c r="H4" s="952"/>
      <c r="I4" s="2282">
        <v>5000</v>
      </c>
      <c r="J4" s="2284">
        <v>43744</v>
      </c>
      <c r="K4" s="2279" t="s">
        <v>458</v>
      </c>
      <c r="L4" s="948"/>
    </row>
    <row r="5" spans="1:12" ht="15" hidden="1">
      <c r="A5" s="942">
        <v>43560</v>
      </c>
      <c r="B5" s="1137"/>
      <c r="C5" s="1137"/>
      <c r="D5" s="946" t="s">
        <v>275</v>
      </c>
      <c r="E5" s="970"/>
      <c r="F5" s="516"/>
      <c r="G5" s="969">
        <v>94.5</v>
      </c>
      <c r="H5" s="952"/>
      <c r="I5" s="2282"/>
      <c r="J5" s="2284"/>
      <c r="K5" s="2279"/>
      <c r="L5" s="948"/>
    </row>
    <row r="6" spans="1:12" ht="15" hidden="1">
      <c r="A6" s="942">
        <v>43566</v>
      </c>
      <c r="B6" s="1137"/>
      <c r="C6" s="1137"/>
      <c r="D6" s="946" t="s">
        <v>276</v>
      </c>
      <c r="E6" s="970"/>
      <c r="F6" s="516"/>
      <c r="G6" s="969">
        <v>-1969.56</v>
      </c>
      <c r="H6" s="952"/>
      <c r="I6" s="2282"/>
      <c r="J6" s="2284"/>
      <c r="K6" s="2279"/>
      <c r="L6" s="948" t="s">
        <v>1379</v>
      </c>
    </row>
    <row r="7" spans="1:12" ht="15" hidden="1">
      <c r="A7" s="942"/>
      <c r="B7" s="1137"/>
      <c r="C7" s="1137"/>
      <c r="D7" s="946" t="s">
        <v>278</v>
      </c>
      <c r="E7" s="970"/>
      <c r="F7" s="516"/>
      <c r="G7" s="969">
        <v>1828.88</v>
      </c>
      <c r="H7" s="952"/>
      <c r="I7" s="2282"/>
      <c r="J7" s="2284"/>
      <c r="K7" s="2279"/>
      <c r="L7" s="948"/>
    </row>
    <row r="8" spans="1:12" ht="15" hidden="1">
      <c r="A8" s="942" t="s">
        <v>283</v>
      </c>
      <c r="B8" s="1137"/>
      <c r="C8" s="1137"/>
      <c r="D8" s="946" t="s">
        <v>2728</v>
      </c>
      <c r="E8" s="970">
        <v>4393</v>
      </c>
      <c r="F8" s="516">
        <v>0</v>
      </c>
      <c r="G8" s="969">
        <v>4393</v>
      </c>
      <c r="H8" s="952"/>
      <c r="I8" s="2282"/>
      <c r="J8" s="2284"/>
      <c r="K8" s="2279"/>
      <c r="L8" s="948" t="s">
        <v>1761</v>
      </c>
    </row>
    <row r="9" spans="1:12" s="193" customFormat="1" ht="15" hidden="1">
      <c r="A9" s="942"/>
      <c r="B9" s="1137"/>
      <c r="C9" s="1137"/>
      <c r="D9" s="946"/>
      <c r="E9" s="970"/>
      <c r="F9" s="946" t="s">
        <v>545</v>
      </c>
      <c r="G9" s="969">
        <f>SUM(G4:G8)-I4</f>
        <v>2645.0799999999981</v>
      </c>
      <c r="H9" s="952"/>
      <c r="I9" s="2282">
        <v>8000</v>
      </c>
      <c r="J9" s="2284">
        <v>43998</v>
      </c>
      <c r="K9" s="2279" t="s">
        <v>1380</v>
      </c>
      <c r="L9" s="948"/>
    </row>
    <row r="10" spans="1:12" s="193" customFormat="1" ht="15" hidden="1">
      <c r="A10" s="942">
        <v>43718</v>
      </c>
      <c r="B10" s="1137"/>
      <c r="C10" s="1137"/>
      <c r="D10" s="946" t="s">
        <v>2727</v>
      </c>
      <c r="E10" s="970">
        <v>1357.84</v>
      </c>
      <c r="F10" s="516">
        <v>0</v>
      </c>
      <c r="G10" s="969">
        <v>1357.84</v>
      </c>
      <c r="H10" s="952"/>
      <c r="I10" s="2282"/>
      <c r="J10" s="2284"/>
      <c r="K10" s="2279"/>
      <c r="L10" s="948" t="s">
        <v>1761</v>
      </c>
    </row>
    <row r="11" spans="1:12" s="193" customFormat="1" ht="15" hidden="1">
      <c r="A11" s="942">
        <v>43741</v>
      </c>
      <c r="B11" s="1137"/>
      <c r="C11" s="1137"/>
      <c r="D11" s="946" t="s">
        <v>2726</v>
      </c>
      <c r="E11" s="970">
        <v>2778.88</v>
      </c>
      <c r="F11" s="516">
        <v>0</v>
      </c>
      <c r="G11" s="969">
        <v>2778.88</v>
      </c>
      <c r="H11" s="952"/>
      <c r="I11" s="2282"/>
      <c r="J11" s="2284"/>
      <c r="K11" s="2279"/>
      <c r="L11" s="948" t="s">
        <v>1761</v>
      </c>
    </row>
    <row r="12" spans="1:12" s="193" customFormat="1" ht="14.25" hidden="1">
      <c r="A12" s="942">
        <v>43882</v>
      </c>
      <c r="B12" s="1137"/>
      <c r="C12" s="1137"/>
      <c r="D12" s="946" t="s">
        <v>1381</v>
      </c>
      <c r="E12" s="970">
        <v>7235.4</v>
      </c>
      <c r="F12" s="516">
        <v>0</v>
      </c>
      <c r="G12" s="969">
        <v>7235.4</v>
      </c>
      <c r="H12" s="942"/>
      <c r="I12" s="2282"/>
      <c r="J12" s="2284"/>
      <c r="K12" s="2279"/>
      <c r="L12" s="948" t="s">
        <v>400</v>
      </c>
    </row>
    <row r="13" spans="1:12" s="193" customFormat="1" ht="14.25" hidden="1">
      <c r="A13" s="942">
        <v>43902</v>
      </c>
      <c r="B13" s="1137"/>
      <c r="C13" s="1137"/>
      <c r="D13" s="946" t="s">
        <v>1382</v>
      </c>
      <c r="E13" s="970">
        <v>-410.3</v>
      </c>
      <c r="F13" s="516">
        <v>0</v>
      </c>
      <c r="G13" s="969">
        <v>-410.3</v>
      </c>
      <c r="H13" s="942"/>
      <c r="I13" s="2282"/>
      <c r="J13" s="2284"/>
      <c r="K13" s="2279"/>
      <c r="L13" s="948" t="s">
        <v>389</v>
      </c>
    </row>
    <row r="14" spans="1:12" s="193" customFormat="1" ht="14.25" hidden="1">
      <c r="A14" s="942">
        <v>43902</v>
      </c>
      <c r="B14" s="1137"/>
      <c r="C14" s="1137"/>
      <c r="D14" s="946" t="s">
        <v>1383</v>
      </c>
      <c r="E14" s="970">
        <v>-589.02</v>
      </c>
      <c r="F14" s="516">
        <v>0</v>
      </c>
      <c r="G14" s="969">
        <v>-589.02</v>
      </c>
      <c r="H14" s="942"/>
      <c r="I14" s="2282"/>
      <c r="J14" s="2284"/>
      <c r="K14" s="2279"/>
      <c r="L14" s="948" t="s">
        <v>389</v>
      </c>
    </row>
    <row r="15" spans="1:12" ht="14.25" hidden="1">
      <c r="A15" s="942"/>
      <c r="B15" s="1137"/>
      <c r="C15" s="1137"/>
      <c r="D15" s="946"/>
      <c r="E15" s="970"/>
      <c r="F15" s="946" t="s">
        <v>545</v>
      </c>
      <c r="G15" s="969">
        <v>5017.88</v>
      </c>
      <c r="H15" s="942"/>
      <c r="I15" s="2282">
        <v>10000</v>
      </c>
      <c r="J15" s="2284">
        <v>44092</v>
      </c>
      <c r="K15" s="2279" t="s">
        <v>1380</v>
      </c>
      <c r="L15" s="948"/>
    </row>
    <row r="16" spans="1:12" ht="15" hidden="1">
      <c r="A16" s="942">
        <v>44048</v>
      </c>
      <c r="B16" s="1137"/>
      <c r="C16" s="1137"/>
      <c r="D16" s="946" t="s">
        <v>1384</v>
      </c>
      <c r="E16" s="970">
        <v>3722.75</v>
      </c>
      <c r="F16" s="516">
        <v>0</v>
      </c>
      <c r="G16" s="971">
        <v>3722.75</v>
      </c>
      <c r="H16" s="952"/>
      <c r="I16" s="2282"/>
      <c r="J16" s="2284"/>
      <c r="K16" s="2279"/>
      <c r="L16" s="948" t="s">
        <v>400</v>
      </c>
    </row>
    <row r="17" spans="1:12" ht="14.25" hidden="1">
      <c r="A17" s="942">
        <v>43994</v>
      </c>
      <c r="B17" s="1137"/>
      <c r="C17" s="1137"/>
      <c r="D17" s="946" t="s">
        <v>1385</v>
      </c>
      <c r="E17" s="970">
        <v>3657.5</v>
      </c>
      <c r="F17" s="516">
        <v>0</v>
      </c>
      <c r="G17" s="969">
        <v>3657.5</v>
      </c>
      <c r="H17" s="942">
        <v>44024</v>
      </c>
      <c r="I17" s="2282"/>
      <c r="J17" s="2284"/>
      <c r="K17" s="2279"/>
      <c r="L17" s="948"/>
    </row>
    <row r="18" spans="1:12" ht="14.25" hidden="1">
      <c r="A18" s="942"/>
      <c r="B18" s="1137"/>
      <c r="C18" s="1137"/>
      <c r="D18" s="946"/>
      <c r="E18" s="970"/>
      <c r="F18" s="946" t="s">
        <v>545</v>
      </c>
      <c r="G18" s="969">
        <f>SUM(G15:G17)-I15</f>
        <v>2398.130000000001</v>
      </c>
      <c r="H18" s="942"/>
      <c r="I18" s="2282">
        <v>5000</v>
      </c>
      <c r="J18" s="2284">
        <v>44158</v>
      </c>
      <c r="K18" s="2279" t="s">
        <v>1317</v>
      </c>
      <c r="L18" s="948"/>
    </row>
    <row r="19" spans="1:12" ht="14.25" hidden="1">
      <c r="A19" s="942">
        <v>44012</v>
      </c>
      <c r="B19" s="1137"/>
      <c r="C19" s="1137"/>
      <c r="D19" s="946" t="s">
        <v>1386</v>
      </c>
      <c r="E19" s="970">
        <v>1020.71</v>
      </c>
      <c r="F19" s="516">
        <v>0</v>
      </c>
      <c r="G19" s="969">
        <v>1020.7</v>
      </c>
      <c r="H19" s="942">
        <v>44042</v>
      </c>
      <c r="I19" s="2282"/>
      <c r="J19" s="2284"/>
      <c r="K19" s="2279"/>
      <c r="L19" s="948"/>
    </row>
    <row r="20" spans="1:12" ht="14.25" hidden="1">
      <c r="A20" s="942">
        <v>44054</v>
      </c>
      <c r="B20" s="1137"/>
      <c r="C20" s="1137"/>
      <c r="D20" s="946" t="s">
        <v>1387</v>
      </c>
      <c r="E20" s="970">
        <v>37.22</v>
      </c>
      <c r="F20" s="516">
        <v>0</v>
      </c>
      <c r="G20" s="969">
        <v>37.22</v>
      </c>
      <c r="H20" s="942">
        <v>44084</v>
      </c>
      <c r="I20" s="2282"/>
      <c r="J20" s="2284"/>
      <c r="K20" s="2279"/>
      <c r="L20" s="948" t="s">
        <v>1762</v>
      </c>
    </row>
    <row r="21" spans="1:12" ht="14.25" hidden="1">
      <c r="A21" s="942">
        <v>44057</v>
      </c>
      <c r="B21" s="1137"/>
      <c r="C21" s="1137"/>
      <c r="D21" s="946" t="s">
        <v>1388</v>
      </c>
      <c r="E21" s="970">
        <v>567.16</v>
      </c>
      <c r="F21" s="516">
        <v>0</v>
      </c>
      <c r="G21" s="969">
        <v>567.16</v>
      </c>
      <c r="H21" s="942">
        <v>44087</v>
      </c>
      <c r="I21" s="2282"/>
      <c r="J21" s="2284"/>
      <c r="K21" s="2279"/>
      <c r="L21" s="948" t="s">
        <v>386</v>
      </c>
    </row>
    <row r="22" spans="1:12" ht="14.25" hidden="1">
      <c r="A22" s="942">
        <v>44081</v>
      </c>
      <c r="B22" s="1137"/>
      <c r="C22" s="1137"/>
      <c r="D22" s="946" t="s">
        <v>1389</v>
      </c>
      <c r="E22" s="970">
        <v>-119.7</v>
      </c>
      <c r="F22" s="516">
        <v>0</v>
      </c>
      <c r="G22" s="969">
        <v>-119.7</v>
      </c>
      <c r="H22" s="942" t="s">
        <v>1529</v>
      </c>
      <c r="I22" s="2282"/>
      <c r="J22" s="2284"/>
      <c r="K22" s="2279"/>
      <c r="L22" s="948" t="s">
        <v>389</v>
      </c>
    </row>
    <row r="23" spans="1:12" ht="14.25" hidden="1">
      <c r="A23" s="942">
        <v>44081</v>
      </c>
      <c r="B23" s="1137"/>
      <c r="C23" s="1137"/>
      <c r="D23" s="946" t="s">
        <v>1390</v>
      </c>
      <c r="E23" s="970">
        <v>-4.0999999999999996</v>
      </c>
      <c r="F23" s="516">
        <v>0</v>
      </c>
      <c r="G23" s="969">
        <v>-4.0999999999999996</v>
      </c>
      <c r="H23" s="942" t="s">
        <v>1529</v>
      </c>
      <c r="I23" s="2282"/>
      <c r="J23" s="2284"/>
      <c r="K23" s="2279"/>
      <c r="L23" s="948" t="s">
        <v>389</v>
      </c>
    </row>
    <row r="24" spans="1:12" ht="14.25" hidden="1">
      <c r="A24" s="942">
        <v>44081</v>
      </c>
      <c r="B24" s="1137"/>
      <c r="C24" s="1137"/>
      <c r="D24" s="946" t="s">
        <v>1391</v>
      </c>
      <c r="E24" s="970">
        <v>-459.87</v>
      </c>
      <c r="F24" s="516">
        <v>0</v>
      </c>
      <c r="G24" s="969">
        <v>-459.87</v>
      </c>
      <c r="H24" s="942" t="s">
        <v>1529</v>
      </c>
      <c r="I24" s="2282"/>
      <c r="J24" s="2284"/>
      <c r="K24" s="2279"/>
      <c r="L24" s="948" t="s">
        <v>389</v>
      </c>
    </row>
    <row r="25" spans="1:12" ht="15" hidden="1">
      <c r="A25" s="942">
        <v>44113</v>
      </c>
      <c r="B25" s="1137"/>
      <c r="C25" s="1137"/>
      <c r="D25" s="946" t="s">
        <v>1392</v>
      </c>
      <c r="E25" s="970">
        <v>2985.86</v>
      </c>
      <c r="F25" s="516">
        <v>0</v>
      </c>
      <c r="G25" s="969">
        <v>2985.86</v>
      </c>
      <c r="H25" s="942">
        <v>44143</v>
      </c>
      <c r="I25" s="2282"/>
      <c r="J25" s="2284"/>
      <c r="K25" s="2279"/>
      <c r="L25" s="948" t="s">
        <v>1763</v>
      </c>
    </row>
    <row r="26" spans="1:12" ht="14.25" hidden="1">
      <c r="A26" s="942"/>
      <c r="B26" s="1137"/>
      <c r="C26" s="1137"/>
      <c r="D26" s="946"/>
      <c r="E26" s="970"/>
      <c r="F26" s="946" t="s">
        <v>545</v>
      </c>
      <c r="G26" s="969">
        <f>SUM(G18:G25)-I18</f>
        <v>1425.4000000000015</v>
      </c>
      <c r="H26" s="942"/>
      <c r="I26" s="2282">
        <v>8000</v>
      </c>
      <c r="J26" s="2284">
        <v>44369</v>
      </c>
      <c r="K26" s="2279" t="s">
        <v>2081</v>
      </c>
      <c r="L26" s="948"/>
    </row>
    <row r="27" spans="1:12" s="972" customFormat="1" ht="15" hidden="1">
      <c r="A27" s="942">
        <v>44160</v>
      </c>
      <c r="B27" s="1137"/>
      <c r="C27" s="1137"/>
      <c r="D27" s="946" t="s">
        <v>1393</v>
      </c>
      <c r="E27" s="970">
        <v>1219.3800000000001</v>
      </c>
      <c r="F27" s="516">
        <v>0</v>
      </c>
      <c r="G27" s="969">
        <v>1219.3800000000001</v>
      </c>
      <c r="H27" s="942">
        <v>44190</v>
      </c>
      <c r="I27" s="2282"/>
      <c r="J27" s="2284"/>
      <c r="K27" s="2279"/>
      <c r="L27" s="948" t="s">
        <v>1763</v>
      </c>
    </row>
    <row r="28" spans="1:12" s="194" customFormat="1" ht="14.25" hidden="1">
      <c r="A28" s="942">
        <v>44166</v>
      </c>
      <c r="B28" s="1137"/>
      <c r="C28" s="1137"/>
      <c r="D28" s="946" t="s">
        <v>1394</v>
      </c>
      <c r="E28" s="970">
        <v>-91.87</v>
      </c>
      <c r="F28" s="516">
        <v>0</v>
      </c>
      <c r="G28" s="969">
        <v>-91.87</v>
      </c>
      <c r="H28" s="942" t="s">
        <v>1529</v>
      </c>
      <c r="I28" s="2282"/>
      <c r="J28" s="2284"/>
      <c r="K28" s="2279"/>
      <c r="L28" s="948" t="s">
        <v>389</v>
      </c>
    </row>
    <row r="29" spans="1:12" s="194" customFormat="1" ht="14.25" hidden="1">
      <c r="A29" s="942">
        <v>44166</v>
      </c>
      <c r="B29" s="1137"/>
      <c r="C29" s="1137"/>
      <c r="D29" s="946" t="s">
        <v>1395</v>
      </c>
      <c r="E29" s="970">
        <v>-433.06</v>
      </c>
      <c r="F29" s="516">
        <v>0</v>
      </c>
      <c r="G29" s="969">
        <v>-433.05</v>
      </c>
      <c r="H29" s="942" t="s">
        <v>1529</v>
      </c>
      <c r="I29" s="2282"/>
      <c r="J29" s="2284"/>
      <c r="K29" s="2279"/>
      <c r="L29" s="948" t="s">
        <v>389</v>
      </c>
    </row>
    <row r="30" spans="1:12" s="194" customFormat="1" ht="14.25" hidden="1">
      <c r="A30" s="942">
        <v>44166</v>
      </c>
      <c r="B30" s="1137"/>
      <c r="C30" s="1137"/>
      <c r="D30" s="946" t="s">
        <v>1396</v>
      </c>
      <c r="E30" s="970">
        <v>-24.85</v>
      </c>
      <c r="F30" s="516">
        <v>0</v>
      </c>
      <c r="G30" s="969">
        <v>-24.85</v>
      </c>
      <c r="H30" s="942" t="s">
        <v>1529</v>
      </c>
      <c r="I30" s="2282"/>
      <c r="J30" s="2284"/>
      <c r="K30" s="2279"/>
      <c r="L30" s="948" t="s">
        <v>389</v>
      </c>
    </row>
    <row r="31" spans="1:12" s="194" customFormat="1" ht="14.25" hidden="1">
      <c r="A31" s="942">
        <v>44166</v>
      </c>
      <c r="B31" s="1137"/>
      <c r="C31" s="1137"/>
      <c r="D31" s="946" t="s">
        <v>1397</v>
      </c>
      <c r="E31" s="970">
        <v>-7.35</v>
      </c>
      <c r="F31" s="516">
        <v>0</v>
      </c>
      <c r="G31" s="969">
        <v>-7.35</v>
      </c>
      <c r="H31" s="942" t="s">
        <v>1529</v>
      </c>
      <c r="I31" s="2282"/>
      <c r="J31" s="2284"/>
      <c r="K31" s="2279"/>
      <c r="L31" s="948" t="s">
        <v>389</v>
      </c>
    </row>
    <row r="32" spans="1:12" s="194" customFormat="1" ht="14.25" hidden="1">
      <c r="A32" s="942">
        <v>44166</v>
      </c>
      <c r="B32" s="1137"/>
      <c r="C32" s="1137"/>
      <c r="D32" s="946" t="s">
        <v>1398</v>
      </c>
      <c r="E32" s="970">
        <v>-7.35</v>
      </c>
      <c r="F32" s="516">
        <v>0</v>
      </c>
      <c r="G32" s="969">
        <v>-7.35</v>
      </c>
      <c r="H32" s="942" t="s">
        <v>1529</v>
      </c>
      <c r="I32" s="2282"/>
      <c r="J32" s="2284"/>
      <c r="K32" s="2279"/>
      <c r="L32" s="948" t="s">
        <v>389</v>
      </c>
    </row>
    <row r="33" spans="1:12" s="194" customFormat="1" ht="14.25" hidden="1">
      <c r="A33" s="942">
        <v>44166</v>
      </c>
      <c r="B33" s="1137"/>
      <c r="C33" s="1137"/>
      <c r="D33" s="946" t="s">
        <v>1399</v>
      </c>
      <c r="E33" s="970">
        <v>-107.8</v>
      </c>
      <c r="F33" s="516">
        <v>0</v>
      </c>
      <c r="G33" s="969">
        <v>-107.8</v>
      </c>
      <c r="H33" s="942" t="s">
        <v>1529</v>
      </c>
      <c r="I33" s="2282"/>
      <c r="J33" s="2284"/>
      <c r="K33" s="2279"/>
      <c r="L33" s="948" t="s">
        <v>389</v>
      </c>
    </row>
    <row r="34" spans="1:12" s="194" customFormat="1" ht="14.25" hidden="1">
      <c r="A34" s="942">
        <v>44166</v>
      </c>
      <c r="B34" s="1137"/>
      <c r="C34" s="1137"/>
      <c r="D34" s="946" t="s">
        <v>1400</v>
      </c>
      <c r="E34" s="970">
        <v>-23.52</v>
      </c>
      <c r="F34" s="516">
        <v>0</v>
      </c>
      <c r="G34" s="969">
        <v>-23.52</v>
      </c>
      <c r="H34" s="942" t="s">
        <v>1529</v>
      </c>
      <c r="I34" s="2282"/>
      <c r="J34" s="2284"/>
      <c r="K34" s="2279"/>
      <c r="L34" s="948" t="s">
        <v>389</v>
      </c>
    </row>
    <row r="35" spans="1:12" s="194" customFormat="1" ht="14.25" hidden="1">
      <c r="A35" s="942">
        <v>44167</v>
      </c>
      <c r="B35" s="1137"/>
      <c r="C35" s="1137"/>
      <c r="D35" s="946" t="s">
        <v>1401</v>
      </c>
      <c r="E35" s="970">
        <v>-48.51</v>
      </c>
      <c r="F35" s="516">
        <v>0</v>
      </c>
      <c r="G35" s="969">
        <v>-48.51</v>
      </c>
      <c r="H35" s="942" t="s">
        <v>1529</v>
      </c>
      <c r="I35" s="2282"/>
      <c r="J35" s="2284"/>
      <c r="K35" s="2279"/>
      <c r="L35" s="948" t="s">
        <v>389</v>
      </c>
    </row>
    <row r="36" spans="1:12" ht="14.25" hidden="1">
      <c r="A36" s="942">
        <v>44218</v>
      </c>
      <c r="B36" s="1137"/>
      <c r="C36" s="1137"/>
      <c r="D36" s="946" t="s">
        <v>1402</v>
      </c>
      <c r="E36" s="970">
        <v>958.15</v>
      </c>
      <c r="F36" s="516">
        <v>0</v>
      </c>
      <c r="G36" s="969">
        <v>0</v>
      </c>
      <c r="H36" s="942">
        <v>44248</v>
      </c>
      <c r="I36" s="2282"/>
      <c r="J36" s="2284"/>
      <c r="K36" s="2279"/>
      <c r="L36" s="948" t="s">
        <v>2096</v>
      </c>
    </row>
    <row r="37" spans="1:12" ht="14.25" hidden="1">
      <c r="A37" s="942">
        <v>44278</v>
      </c>
      <c r="B37" s="1137"/>
      <c r="C37" s="1137"/>
      <c r="D37" s="946" t="s">
        <v>1403</v>
      </c>
      <c r="E37" s="970">
        <v>6314.62</v>
      </c>
      <c r="F37" s="516">
        <v>0</v>
      </c>
      <c r="G37" s="969">
        <v>6314.62</v>
      </c>
      <c r="H37" s="942">
        <v>44308</v>
      </c>
      <c r="I37" s="2282"/>
      <c r="J37" s="2284"/>
      <c r="K37" s="2279"/>
      <c r="L37" s="948" t="s">
        <v>1404</v>
      </c>
    </row>
    <row r="38" spans="1:12" ht="14.25" hidden="1">
      <c r="A38" s="942"/>
      <c r="B38" s="1137"/>
      <c r="C38" s="1137"/>
      <c r="D38" s="946"/>
      <c r="E38" s="970"/>
      <c r="F38" s="946" t="s">
        <v>545</v>
      </c>
      <c r="G38" s="969">
        <f>G26+G27+G28+G29+G30+G31+G32+G33+G34+G35+G37-I26</f>
        <v>215.10000000000218</v>
      </c>
      <c r="H38" s="942"/>
      <c r="I38" s="2282">
        <v>3100</v>
      </c>
      <c r="J38" s="2284">
        <v>44469</v>
      </c>
      <c r="K38" s="2279" t="s">
        <v>2097</v>
      </c>
      <c r="L38" s="948"/>
    </row>
    <row r="39" spans="1:12" ht="14.25" hidden="1">
      <c r="A39" s="942">
        <v>44366</v>
      </c>
      <c r="B39" s="1137"/>
      <c r="C39" s="1137"/>
      <c r="D39" s="946" t="s">
        <v>1405</v>
      </c>
      <c r="E39" s="970">
        <v>2856.15</v>
      </c>
      <c r="F39" s="516">
        <v>0</v>
      </c>
      <c r="G39" s="969">
        <v>2856.15</v>
      </c>
      <c r="H39" s="942">
        <v>44396</v>
      </c>
      <c r="I39" s="2282"/>
      <c r="J39" s="2284"/>
      <c r="K39" s="2279"/>
      <c r="L39" s="948"/>
    </row>
    <row r="40" spans="1:12" ht="14.25" hidden="1">
      <c r="A40" s="942">
        <v>44376</v>
      </c>
      <c r="B40" s="1137"/>
      <c r="C40" s="1137"/>
      <c r="D40" s="946" t="s">
        <v>1406</v>
      </c>
      <c r="E40" s="970">
        <v>-2809.8</v>
      </c>
      <c r="F40" s="516">
        <v>0</v>
      </c>
      <c r="G40" s="969">
        <v>-2809.8</v>
      </c>
      <c r="H40" s="942" t="s">
        <v>1529</v>
      </c>
      <c r="I40" s="2282"/>
      <c r="J40" s="2284"/>
      <c r="K40" s="2279"/>
      <c r="L40" s="948"/>
    </row>
    <row r="41" spans="1:12" ht="14.25" hidden="1">
      <c r="A41" s="942">
        <v>44376</v>
      </c>
      <c r="B41" s="1137"/>
      <c r="C41" s="1137"/>
      <c r="D41" s="946" t="s">
        <v>1407</v>
      </c>
      <c r="E41" s="970">
        <v>-3315.79</v>
      </c>
      <c r="F41" s="516">
        <v>0</v>
      </c>
      <c r="G41" s="969">
        <v>-3315.79</v>
      </c>
      <c r="H41" s="942" t="s">
        <v>1529</v>
      </c>
      <c r="I41" s="2282"/>
      <c r="J41" s="2284"/>
      <c r="K41" s="2279"/>
      <c r="L41" s="948"/>
    </row>
    <row r="42" spans="1:12" ht="14.25" hidden="1">
      <c r="A42" s="942">
        <v>44376</v>
      </c>
      <c r="B42" s="1137"/>
      <c r="C42" s="1137"/>
      <c r="D42" s="946" t="s">
        <v>1408</v>
      </c>
      <c r="E42" s="970">
        <v>-389.24</v>
      </c>
      <c r="F42" s="516">
        <v>0</v>
      </c>
      <c r="G42" s="969">
        <v>-389.24</v>
      </c>
      <c r="H42" s="942" t="s">
        <v>1529</v>
      </c>
      <c r="I42" s="2282"/>
      <c r="J42" s="2284"/>
      <c r="K42" s="2279"/>
      <c r="L42" s="948"/>
    </row>
    <row r="43" spans="1:12" ht="14.25" hidden="1">
      <c r="A43" s="942">
        <v>44376</v>
      </c>
      <c r="B43" s="1137"/>
      <c r="C43" s="1137"/>
      <c r="D43" s="946" t="s">
        <v>1409</v>
      </c>
      <c r="E43" s="970">
        <v>-278.18</v>
      </c>
      <c r="F43" s="516">
        <v>0</v>
      </c>
      <c r="G43" s="969">
        <v>-278.18</v>
      </c>
      <c r="H43" s="942" t="s">
        <v>1529</v>
      </c>
      <c r="I43" s="2282"/>
      <c r="J43" s="2284"/>
      <c r="K43" s="2279"/>
      <c r="L43" s="948"/>
    </row>
    <row r="44" spans="1:12" ht="14.25" hidden="1">
      <c r="A44" s="942">
        <v>44439</v>
      </c>
      <c r="B44" s="1137"/>
      <c r="C44" s="1137"/>
      <c r="D44" s="946" t="s">
        <v>1410</v>
      </c>
      <c r="E44" s="970">
        <v>6307.16</v>
      </c>
      <c r="F44" s="516">
        <v>0</v>
      </c>
      <c r="G44" s="969">
        <v>6307.16</v>
      </c>
      <c r="H44" s="942">
        <v>44440</v>
      </c>
      <c r="I44" s="2282"/>
      <c r="J44" s="2284"/>
      <c r="K44" s="2279"/>
      <c r="L44" s="948"/>
    </row>
    <row r="45" spans="1:12" ht="14.25" hidden="1">
      <c r="A45" s="942">
        <v>44446</v>
      </c>
      <c r="B45" s="1137"/>
      <c r="C45" s="1137"/>
      <c r="D45" s="946" t="s">
        <v>1411</v>
      </c>
      <c r="E45" s="970">
        <v>555</v>
      </c>
      <c r="F45" s="516">
        <v>0</v>
      </c>
      <c r="G45" s="969">
        <v>555</v>
      </c>
      <c r="H45" s="942">
        <v>44447</v>
      </c>
      <c r="I45" s="2282"/>
      <c r="J45" s="2284"/>
      <c r="K45" s="2279"/>
      <c r="L45" s="948"/>
    </row>
    <row r="46" spans="1:12" ht="14.25" hidden="1">
      <c r="A46" s="942"/>
      <c r="B46" s="1137"/>
      <c r="C46" s="1137"/>
      <c r="D46" s="946"/>
      <c r="E46" s="970"/>
      <c r="F46" s="946" t="s">
        <v>545</v>
      </c>
      <c r="G46" s="969">
        <f>G38+G39+G40+G41+G42+G43+G44+G45-I38</f>
        <v>40.40000000000191</v>
      </c>
      <c r="H46" s="942"/>
      <c r="I46" s="2291">
        <v>4626.25</v>
      </c>
      <c r="J46" s="2283">
        <v>44605</v>
      </c>
      <c r="K46" s="2270" t="s">
        <v>544</v>
      </c>
      <c r="L46" s="948"/>
    </row>
    <row r="47" spans="1:12" ht="14.25" hidden="1">
      <c r="A47" s="942">
        <v>44469</v>
      </c>
      <c r="B47" s="1137"/>
      <c r="C47" s="1137"/>
      <c r="D47" s="946" t="s">
        <v>1412</v>
      </c>
      <c r="E47" s="970">
        <v>1154.95</v>
      </c>
      <c r="F47" s="516">
        <v>0</v>
      </c>
      <c r="G47" s="969">
        <v>1154.96</v>
      </c>
      <c r="H47" s="942">
        <v>44470</v>
      </c>
      <c r="I47" s="2291"/>
      <c r="J47" s="2283"/>
      <c r="K47" s="2270"/>
      <c r="L47" s="948"/>
    </row>
    <row r="48" spans="1:12" ht="14.25" hidden="1">
      <c r="A48" s="942">
        <v>44503</v>
      </c>
      <c r="B48" s="1137"/>
      <c r="C48" s="1137"/>
      <c r="D48" s="946" t="s">
        <v>1413</v>
      </c>
      <c r="E48" s="970">
        <v>3471.3</v>
      </c>
      <c r="F48" s="516">
        <v>0</v>
      </c>
      <c r="G48" s="969">
        <v>3471.3</v>
      </c>
      <c r="H48" s="942">
        <v>44504</v>
      </c>
      <c r="I48" s="2291"/>
      <c r="J48" s="2283"/>
      <c r="K48" s="2270"/>
      <c r="L48" s="948"/>
    </row>
    <row r="49" spans="1:12" ht="14.25" hidden="1">
      <c r="A49" s="942"/>
      <c r="B49" s="1137"/>
      <c r="C49" s="1137"/>
      <c r="D49" s="946"/>
      <c r="E49" s="970"/>
      <c r="F49" s="946" t="s">
        <v>545</v>
      </c>
      <c r="G49" s="969">
        <f>SUM(G46:G48)-I46</f>
        <v>40.410000000001673</v>
      </c>
      <c r="H49" s="942"/>
      <c r="I49" s="2282">
        <v>3416.22</v>
      </c>
      <c r="J49" s="2283">
        <v>44648</v>
      </c>
      <c r="K49" s="2279" t="s">
        <v>1893</v>
      </c>
      <c r="L49" s="948"/>
    </row>
    <row r="50" spans="1:12" ht="14.25" hidden="1">
      <c r="A50" s="942">
        <v>44539</v>
      </c>
      <c r="B50" s="1137"/>
      <c r="C50" s="1137"/>
      <c r="D50" s="946" t="s">
        <v>1414</v>
      </c>
      <c r="E50" s="970">
        <v>1222.72</v>
      </c>
      <c r="F50" s="516">
        <v>0</v>
      </c>
      <c r="G50" s="969">
        <v>1222.72</v>
      </c>
      <c r="H50" s="942">
        <v>44560</v>
      </c>
      <c r="I50" s="2282"/>
      <c r="J50" s="2283"/>
      <c r="K50" s="2279"/>
      <c r="L50" s="948"/>
    </row>
    <row r="51" spans="1:12" ht="14.25" hidden="1">
      <c r="A51" s="942">
        <v>44585</v>
      </c>
      <c r="B51" s="1137"/>
      <c r="C51" s="1137"/>
      <c r="D51" s="946" t="s">
        <v>2729</v>
      </c>
      <c r="E51" s="970">
        <v>1530.15</v>
      </c>
      <c r="F51" s="516">
        <v>0</v>
      </c>
      <c r="G51" s="969">
        <v>1530.15</v>
      </c>
      <c r="H51" s="942"/>
      <c r="I51" s="2282"/>
      <c r="J51" s="2283"/>
      <c r="K51" s="2279"/>
      <c r="L51" s="948"/>
    </row>
    <row r="52" spans="1:12" ht="14.25" hidden="1">
      <c r="A52" s="942">
        <v>44608</v>
      </c>
      <c r="B52" s="1137"/>
      <c r="C52" s="1137"/>
      <c r="D52" s="946" t="s">
        <v>1415</v>
      </c>
      <c r="E52" s="970">
        <v>622.95000000000005</v>
      </c>
      <c r="F52" s="516">
        <v>0</v>
      </c>
      <c r="G52" s="969">
        <v>622.94000000000005</v>
      </c>
      <c r="H52" s="942">
        <v>44609</v>
      </c>
      <c r="I52" s="2282"/>
      <c r="J52" s="2283"/>
      <c r="K52" s="2279"/>
      <c r="L52" s="948"/>
    </row>
    <row r="53" spans="1:12" ht="15">
      <c r="A53" s="949"/>
      <c r="B53" s="1124"/>
      <c r="C53" s="1124"/>
      <c r="D53" s="944"/>
      <c r="E53" s="944" t="s">
        <v>3112</v>
      </c>
      <c r="F53" s="944" t="s">
        <v>3098</v>
      </c>
      <c r="G53" s="718">
        <f>SUM(G49:G52)-I49</f>
        <v>0</v>
      </c>
      <c r="H53" s="949"/>
      <c r="I53" s="718"/>
      <c r="J53" s="949"/>
      <c r="K53" s="952"/>
      <c r="L53" s="948"/>
    </row>
    <row r="54" spans="1:12" ht="15.75" customHeight="1">
      <c r="A54" s="949">
        <v>44642</v>
      </c>
      <c r="B54" s="1124" t="s">
        <v>521</v>
      </c>
      <c r="C54" s="1124" t="s">
        <v>4020</v>
      </c>
      <c r="D54" s="944" t="s">
        <v>1790</v>
      </c>
      <c r="E54" s="945">
        <v>1877.12</v>
      </c>
      <c r="F54" s="694">
        <v>0</v>
      </c>
      <c r="G54" s="718">
        <v>1877.12</v>
      </c>
      <c r="H54" s="949">
        <v>44643</v>
      </c>
      <c r="I54" s="2288">
        <v>0</v>
      </c>
      <c r="J54" s="2243">
        <v>44652</v>
      </c>
      <c r="K54" s="2289" t="s">
        <v>2406</v>
      </c>
      <c r="L54" s="948"/>
    </row>
    <row r="55" spans="1:12" ht="15.75" customHeight="1">
      <c r="A55" s="949">
        <v>44642</v>
      </c>
      <c r="B55" s="1124" t="s">
        <v>521</v>
      </c>
      <c r="C55" s="1124" t="s">
        <v>4020</v>
      </c>
      <c r="D55" s="944" t="s">
        <v>1791</v>
      </c>
      <c r="E55" s="945">
        <v>-1877.12</v>
      </c>
      <c r="F55" s="694">
        <v>0</v>
      </c>
      <c r="G55" s="718">
        <v>-1877.12</v>
      </c>
      <c r="H55" s="949" t="s">
        <v>1529</v>
      </c>
      <c r="I55" s="2288"/>
      <c r="J55" s="2243"/>
      <c r="K55" s="2290"/>
      <c r="L55" s="948"/>
    </row>
    <row r="56" spans="1:12" ht="15">
      <c r="A56" s="949">
        <v>44645</v>
      </c>
      <c r="B56" s="1124" t="s">
        <v>521</v>
      </c>
      <c r="C56" s="1124" t="s">
        <v>4020</v>
      </c>
      <c r="D56" s="944" t="s">
        <v>1792</v>
      </c>
      <c r="E56" s="945">
        <v>4446.8500000000004</v>
      </c>
      <c r="F56" s="694">
        <v>0</v>
      </c>
      <c r="G56" s="718">
        <v>4446.8500000000004</v>
      </c>
      <c r="H56" s="949">
        <v>44646</v>
      </c>
      <c r="I56" s="718">
        <v>4446.8500000000004</v>
      </c>
      <c r="J56" s="949">
        <v>44694</v>
      </c>
      <c r="K56" s="951" t="s">
        <v>2081</v>
      </c>
      <c r="L56" s="948" t="s">
        <v>2098</v>
      </c>
    </row>
    <row r="57" spans="1:12" ht="15">
      <c r="A57" s="2193">
        <v>44697</v>
      </c>
      <c r="B57" s="1918" t="s">
        <v>521</v>
      </c>
      <c r="C57" s="1918" t="s">
        <v>4020</v>
      </c>
      <c r="D57" s="2199" t="s">
        <v>2137</v>
      </c>
      <c r="E57" s="2081">
        <v>4950.6899999999996</v>
      </c>
      <c r="F57" s="2117">
        <v>0</v>
      </c>
      <c r="G57" s="718">
        <v>4000</v>
      </c>
      <c r="H57" s="956">
        <v>44698</v>
      </c>
      <c r="I57" s="718">
        <v>4000</v>
      </c>
      <c r="J57" s="956">
        <v>44746</v>
      </c>
      <c r="K57" s="951" t="s">
        <v>1752</v>
      </c>
      <c r="L57" s="963" t="s">
        <v>2421</v>
      </c>
    </row>
    <row r="58" spans="1:12" ht="15.75" customHeight="1">
      <c r="A58" s="2194"/>
      <c r="B58" s="1920"/>
      <c r="C58" s="1920"/>
      <c r="D58" s="2200"/>
      <c r="E58" s="2082"/>
      <c r="F58" s="2118"/>
      <c r="G58" s="718">
        <f>4950.69-4000</f>
        <v>950.6899999999996</v>
      </c>
      <c r="H58" s="956">
        <v>44698</v>
      </c>
      <c r="I58" s="1923">
        <v>3019.79</v>
      </c>
      <c r="J58" s="2193">
        <v>44783</v>
      </c>
      <c r="K58" s="2285" t="s">
        <v>2720</v>
      </c>
      <c r="L58" s="761"/>
    </row>
    <row r="59" spans="1:12" ht="15.75" customHeight="1">
      <c r="A59" s="956">
        <v>44701</v>
      </c>
      <c r="B59" s="1124" t="s">
        <v>521</v>
      </c>
      <c r="C59" s="1124" t="s">
        <v>4020</v>
      </c>
      <c r="D59" s="608" t="s">
        <v>2138</v>
      </c>
      <c r="E59" s="957">
        <v>1125.82</v>
      </c>
      <c r="F59" s="722">
        <v>0</v>
      </c>
      <c r="G59" s="718">
        <v>1125.82</v>
      </c>
      <c r="H59" s="956">
        <v>44702</v>
      </c>
      <c r="I59" s="1961"/>
      <c r="J59" s="2196"/>
      <c r="K59" s="2286"/>
      <c r="L59" s="963"/>
    </row>
    <row r="60" spans="1:12" ht="15.75" customHeight="1">
      <c r="A60" s="956">
        <v>44748.000497685185</v>
      </c>
      <c r="B60" s="1124" t="s">
        <v>521</v>
      </c>
      <c r="C60" s="1124" t="s">
        <v>4020</v>
      </c>
      <c r="D60" s="608" t="s">
        <v>2404</v>
      </c>
      <c r="E60" s="957">
        <v>-206.83</v>
      </c>
      <c r="F60" s="722">
        <v>0</v>
      </c>
      <c r="G60" s="718">
        <v>-206.83</v>
      </c>
      <c r="H60" s="956">
        <v>44749.000497685185</v>
      </c>
      <c r="I60" s="1961"/>
      <c r="J60" s="2196"/>
      <c r="K60" s="2286"/>
      <c r="L60" s="963" t="s">
        <v>2405</v>
      </c>
    </row>
    <row r="61" spans="1:12" ht="15.75" customHeight="1">
      <c r="A61" s="956">
        <v>44753.000497685185</v>
      </c>
      <c r="B61" s="1124" t="s">
        <v>521</v>
      </c>
      <c r="C61" s="1124" t="s">
        <v>4020</v>
      </c>
      <c r="D61" s="608" t="s">
        <v>2442</v>
      </c>
      <c r="E61" s="957">
        <v>1150.1099999999999</v>
      </c>
      <c r="F61" s="722">
        <v>0</v>
      </c>
      <c r="G61" s="718">
        <v>1150.1099999999999</v>
      </c>
      <c r="H61" s="956">
        <v>44754.000497685185</v>
      </c>
      <c r="I61" s="1924"/>
      <c r="J61" s="2194"/>
      <c r="K61" s="2287"/>
      <c r="L61" s="963"/>
    </row>
    <row r="62" spans="1:12" ht="15">
      <c r="A62" s="956">
        <v>44778</v>
      </c>
      <c r="B62" s="1124" t="s">
        <v>4132</v>
      </c>
      <c r="C62" s="1124" t="s">
        <v>4020</v>
      </c>
      <c r="D62" s="608" t="s">
        <v>2612</v>
      </c>
      <c r="E62" s="957">
        <v>407.2</v>
      </c>
      <c r="F62" s="722">
        <v>0</v>
      </c>
      <c r="G62" s="718">
        <v>407.2</v>
      </c>
      <c r="H62" s="956">
        <v>44779</v>
      </c>
      <c r="I62" s="1923">
        <v>5573.17</v>
      </c>
      <c r="J62" s="2193">
        <v>44830</v>
      </c>
      <c r="K62" s="2285" t="s">
        <v>3207</v>
      </c>
      <c r="L62" s="963"/>
    </row>
    <row r="63" spans="1:12" ht="15">
      <c r="A63" s="956">
        <v>44781.000497685185</v>
      </c>
      <c r="B63" s="1124" t="s">
        <v>4132</v>
      </c>
      <c r="C63" s="1124" t="s">
        <v>4020</v>
      </c>
      <c r="D63" s="608" t="s">
        <v>2695</v>
      </c>
      <c r="E63" s="957">
        <v>3982.38</v>
      </c>
      <c r="F63" s="722">
        <v>0</v>
      </c>
      <c r="G63" s="718">
        <v>3982.38</v>
      </c>
      <c r="H63" s="956">
        <v>44782.000497685185</v>
      </c>
      <c r="I63" s="1961"/>
      <c r="J63" s="2196"/>
      <c r="K63" s="2293"/>
      <c r="L63" s="963"/>
    </row>
    <row r="64" spans="1:12" ht="15">
      <c r="A64" s="956">
        <v>44799</v>
      </c>
      <c r="B64" s="1124" t="s">
        <v>521</v>
      </c>
      <c r="C64" s="1124" t="s">
        <v>4020</v>
      </c>
      <c r="D64" s="608" t="s">
        <v>2859</v>
      </c>
      <c r="E64" s="957">
        <v>1183.5899999999999</v>
      </c>
      <c r="F64" s="722">
        <v>0</v>
      </c>
      <c r="G64" s="718">
        <v>1183.5899999999999</v>
      </c>
      <c r="H64" s="956">
        <v>44800</v>
      </c>
      <c r="I64" s="1924"/>
      <c r="J64" s="2194"/>
      <c r="K64" s="2294"/>
      <c r="L64" s="963"/>
    </row>
    <row r="65" spans="1:12" ht="15">
      <c r="A65" s="956">
        <v>44806</v>
      </c>
      <c r="B65" s="1124" t="s">
        <v>521</v>
      </c>
      <c r="C65" s="1124" t="s">
        <v>4020</v>
      </c>
      <c r="D65" s="608" t="s">
        <v>2927</v>
      </c>
      <c r="E65" s="957">
        <v>0.01</v>
      </c>
      <c r="F65" s="722">
        <v>0</v>
      </c>
      <c r="G65" s="718">
        <v>0.01</v>
      </c>
      <c r="H65" s="956">
        <v>44807</v>
      </c>
      <c r="I65" s="1923">
        <v>0.02</v>
      </c>
      <c r="J65" s="2193">
        <v>44837</v>
      </c>
      <c r="K65" s="2285" t="s">
        <v>3208</v>
      </c>
      <c r="L65" s="963" t="s">
        <v>2897</v>
      </c>
    </row>
    <row r="66" spans="1:12" ht="15">
      <c r="A66" s="956">
        <v>44810</v>
      </c>
      <c r="B66" s="1124" t="s">
        <v>521</v>
      </c>
      <c r="C66" s="1124" t="s">
        <v>4020</v>
      </c>
      <c r="D66" s="608" t="s">
        <v>2962</v>
      </c>
      <c r="E66" s="957">
        <v>0.01</v>
      </c>
      <c r="F66" s="722">
        <v>0</v>
      </c>
      <c r="G66" s="718">
        <v>0.01</v>
      </c>
      <c r="H66" s="956">
        <v>44811</v>
      </c>
      <c r="I66" s="1924"/>
      <c r="J66" s="2194"/>
      <c r="K66" s="2294"/>
      <c r="L66" s="963" t="s">
        <v>2963</v>
      </c>
    </row>
    <row r="67" spans="1:12" ht="15">
      <c r="A67" s="956">
        <v>44825</v>
      </c>
      <c r="B67" s="1124" t="s">
        <v>521</v>
      </c>
      <c r="C67" s="1124" t="s">
        <v>4020</v>
      </c>
      <c r="D67" s="608" t="s">
        <v>3068</v>
      </c>
      <c r="E67" s="957">
        <v>4172.88</v>
      </c>
      <c r="F67" s="722">
        <v>0</v>
      </c>
      <c r="G67" s="718">
        <v>4172.88</v>
      </c>
      <c r="H67" s="956">
        <v>44826</v>
      </c>
      <c r="I67" s="1923">
        <v>8227.98</v>
      </c>
      <c r="J67" s="2193">
        <v>44896</v>
      </c>
      <c r="K67" s="2285" t="s">
        <v>3639</v>
      </c>
      <c r="L67" s="963"/>
    </row>
    <row r="68" spans="1:12" ht="15">
      <c r="A68" s="956">
        <v>44862</v>
      </c>
      <c r="B68" s="1124" t="s">
        <v>521</v>
      </c>
      <c r="C68" s="1124" t="s">
        <v>4020</v>
      </c>
      <c r="D68" s="608" t="s">
        <v>3371</v>
      </c>
      <c r="E68" s="957">
        <v>4055.1</v>
      </c>
      <c r="F68" s="722">
        <v>0</v>
      </c>
      <c r="G68" s="718">
        <v>4055.1</v>
      </c>
      <c r="H68" s="956">
        <v>44863</v>
      </c>
      <c r="I68" s="1924"/>
      <c r="J68" s="2194"/>
      <c r="K68" s="2294"/>
      <c r="L68" s="963"/>
    </row>
    <row r="69" spans="1:12" ht="15">
      <c r="A69" s="1206">
        <v>44900.000497685185</v>
      </c>
      <c r="B69" s="1201" t="s">
        <v>521</v>
      </c>
      <c r="C69" s="1201" t="s">
        <v>4020</v>
      </c>
      <c r="D69" s="608" t="s">
        <v>3666</v>
      </c>
      <c r="E69" s="1207">
        <v>2119.0100000000002</v>
      </c>
      <c r="F69" s="722">
        <v>0</v>
      </c>
      <c r="G69" s="718">
        <v>2119.0100000000002</v>
      </c>
      <c r="H69" s="1206">
        <v>44945</v>
      </c>
      <c r="I69" s="718">
        <v>2119.0100000000002</v>
      </c>
      <c r="J69" s="1206">
        <v>44984</v>
      </c>
      <c r="K69" s="1205" t="s">
        <v>550</v>
      </c>
      <c r="L69" s="963"/>
    </row>
    <row r="70" spans="1:12" ht="27">
      <c r="A70" s="1279">
        <v>44949</v>
      </c>
      <c r="B70" s="1274" t="s">
        <v>2518</v>
      </c>
      <c r="C70" s="1274" t="s">
        <v>4020</v>
      </c>
      <c r="D70" s="608" t="s">
        <v>3978</v>
      </c>
      <c r="E70" s="1280">
        <v>3868.35</v>
      </c>
      <c r="F70" s="722">
        <v>0</v>
      </c>
      <c r="G70" s="718">
        <v>3868.35</v>
      </c>
      <c r="H70" s="1279">
        <v>45009</v>
      </c>
      <c r="I70" s="718">
        <v>3868.35</v>
      </c>
      <c r="J70" s="1279">
        <v>45013</v>
      </c>
      <c r="K70" s="1287" t="s">
        <v>4938</v>
      </c>
      <c r="L70" s="963"/>
    </row>
    <row r="71" spans="1:12" ht="27">
      <c r="A71" s="1370">
        <v>44984</v>
      </c>
      <c r="B71" s="1370" t="s">
        <v>2518</v>
      </c>
      <c r="C71" s="1370" t="s">
        <v>4020</v>
      </c>
      <c r="D71" s="608" t="s">
        <v>4377</v>
      </c>
      <c r="E71" s="1371">
        <v>3123.18</v>
      </c>
      <c r="F71" s="722">
        <v>0</v>
      </c>
      <c r="G71" s="718">
        <v>3123.18</v>
      </c>
      <c r="H71" s="1370">
        <v>45044</v>
      </c>
      <c r="I71" s="718">
        <v>3123.18</v>
      </c>
      <c r="J71" s="1370">
        <v>45049</v>
      </c>
      <c r="K71" s="1287" t="s">
        <v>5240</v>
      </c>
      <c r="L71" s="963"/>
    </row>
    <row r="72" spans="1:12" ht="15">
      <c r="A72" s="1701">
        <v>45008</v>
      </c>
      <c r="B72" s="1701" t="s">
        <v>2518</v>
      </c>
      <c r="C72" s="1701" t="s">
        <v>4020</v>
      </c>
      <c r="D72" s="608" t="s">
        <v>4563</v>
      </c>
      <c r="E72" s="1702">
        <v>1655.21</v>
      </c>
      <c r="F72" s="722">
        <v>0</v>
      </c>
      <c r="G72" s="718">
        <v>1655.21</v>
      </c>
      <c r="H72" s="1701">
        <v>45068</v>
      </c>
      <c r="I72" s="2143">
        <v>824.47</v>
      </c>
      <c r="J72" s="2193">
        <v>45072</v>
      </c>
      <c r="K72" s="2292" t="s">
        <v>5241</v>
      </c>
      <c r="L72" s="963"/>
    </row>
    <row r="73" spans="1:12" ht="15">
      <c r="A73" s="1701">
        <v>45050</v>
      </c>
      <c r="B73" s="1701" t="s">
        <v>2518</v>
      </c>
      <c r="C73" s="1701" t="s">
        <v>4020</v>
      </c>
      <c r="D73" s="608" t="s">
        <v>4921</v>
      </c>
      <c r="E73" s="1702">
        <v>-74.06</v>
      </c>
      <c r="F73" s="722">
        <v>0</v>
      </c>
      <c r="G73" s="718">
        <v>-74.06</v>
      </c>
      <c r="H73" s="1701"/>
      <c r="I73" s="2145"/>
      <c r="J73" s="2196"/>
      <c r="K73" s="2293"/>
      <c r="L73" s="963"/>
    </row>
    <row r="74" spans="1:12" ht="15">
      <c r="A74" s="1701">
        <v>45050</v>
      </c>
      <c r="B74" s="1701" t="s">
        <v>2518</v>
      </c>
      <c r="C74" s="1701" t="s">
        <v>4020</v>
      </c>
      <c r="D74" s="608" t="s">
        <v>4922</v>
      </c>
      <c r="E74" s="1702">
        <v>-22.58</v>
      </c>
      <c r="F74" s="722">
        <v>0</v>
      </c>
      <c r="G74" s="718">
        <v>-22.58</v>
      </c>
      <c r="H74" s="1701"/>
      <c r="I74" s="2145"/>
      <c r="J74" s="2196"/>
      <c r="K74" s="2293"/>
      <c r="L74" s="963"/>
    </row>
    <row r="75" spans="1:12" ht="15">
      <c r="A75" s="1701">
        <v>45050</v>
      </c>
      <c r="B75" s="1701" t="s">
        <v>2518</v>
      </c>
      <c r="C75" s="1701" t="s">
        <v>4020</v>
      </c>
      <c r="D75" s="608" t="s">
        <v>4923</v>
      </c>
      <c r="E75" s="1702">
        <v>-267.27999999999997</v>
      </c>
      <c r="F75" s="722">
        <v>0</v>
      </c>
      <c r="G75" s="718">
        <v>-267.27999999999997</v>
      </c>
      <c r="H75" s="1701"/>
      <c r="I75" s="2145"/>
      <c r="J75" s="2196"/>
      <c r="K75" s="2293"/>
      <c r="L75" s="963"/>
    </row>
    <row r="76" spans="1:12" ht="15">
      <c r="A76" s="1701">
        <v>45050</v>
      </c>
      <c r="B76" s="1701" t="s">
        <v>2518</v>
      </c>
      <c r="C76" s="1701" t="s">
        <v>4020</v>
      </c>
      <c r="D76" s="608" t="s">
        <v>4924</v>
      </c>
      <c r="E76" s="1702">
        <v>-129.75</v>
      </c>
      <c r="F76" s="722">
        <v>0</v>
      </c>
      <c r="G76" s="718">
        <v>-129.75</v>
      </c>
      <c r="H76" s="1701"/>
      <c r="I76" s="2145"/>
      <c r="J76" s="2196"/>
      <c r="K76" s="2293"/>
      <c r="L76" s="963"/>
    </row>
    <row r="77" spans="1:12" ht="15">
      <c r="A77" s="1701">
        <v>45050</v>
      </c>
      <c r="B77" s="1701" t="s">
        <v>2518</v>
      </c>
      <c r="C77" s="1701" t="s">
        <v>4020</v>
      </c>
      <c r="D77" s="608" t="s">
        <v>4925</v>
      </c>
      <c r="E77" s="1702">
        <v>-42.5</v>
      </c>
      <c r="F77" s="722">
        <v>0</v>
      </c>
      <c r="G77" s="718">
        <v>-42.5</v>
      </c>
      <c r="H77" s="1701"/>
      <c r="I77" s="2145"/>
      <c r="J77" s="2196"/>
      <c r="K77" s="2293"/>
      <c r="L77" s="963"/>
    </row>
    <row r="78" spans="1:12" ht="15">
      <c r="A78" s="1701">
        <v>45050</v>
      </c>
      <c r="B78" s="1701" t="s">
        <v>2518</v>
      </c>
      <c r="C78" s="1701" t="s">
        <v>4020</v>
      </c>
      <c r="D78" s="608" t="s">
        <v>4926</v>
      </c>
      <c r="E78" s="1702">
        <v>-72.73</v>
      </c>
      <c r="F78" s="722">
        <v>0</v>
      </c>
      <c r="G78" s="718">
        <v>-72.73</v>
      </c>
      <c r="H78" s="1701"/>
      <c r="I78" s="2145"/>
      <c r="J78" s="2196"/>
      <c r="K78" s="2293"/>
      <c r="L78" s="963"/>
    </row>
    <row r="79" spans="1:12" ht="15">
      <c r="A79" s="1701">
        <v>45050</v>
      </c>
      <c r="B79" s="1701" t="s">
        <v>2518</v>
      </c>
      <c r="C79" s="1701" t="s">
        <v>4020</v>
      </c>
      <c r="D79" s="608" t="s">
        <v>4927</v>
      </c>
      <c r="E79" s="1702">
        <v>-98.74</v>
      </c>
      <c r="F79" s="722">
        <v>0</v>
      </c>
      <c r="G79" s="718">
        <v>-98.74</v>
      </c>
      <c r="H79" s="1701"/>
      <c r="I79" s="2145"/>
      <c r="J79" s="2196"/>
      <c r="K79" s="2293"/>
      <c r="L79" s="963"/>
    </row>
    <row r="80" spans="1:12" ht="15">
      <c r="A80" s="1701">
        <v>45050</v>
      </c>
      <c r="B80" s="1701" t="s">
        <v>2518</v>
      </c>
      <c r="C80" s="1701" t="s">
        <v>4020</v>
      </c>
      <c r="D80" s="608" t="s">
        <v>4928</v>
      </c>
      <c r="E80" s="1702">
        <v>-123.09</v>
      </c>
      <c r="F80" s="722">
        <v>0</v>
      </c>
      <c r="G80" s="718">
        <v>-123.1</v>
      </c>
      <c r="H80" s="1701"/>
      <c r="I80" s="2144"/>
      <c r="J80" s="2194"/>
      <c r="K80" s="2294"/>
      <c r="L80" s="963"/>
    </row>
    <row r="81" spans="1:12" ht="15">
      <c r="A81" s="1701">
        <v>45044</v>
      </c>
      <c r="B81" s="1701" t="s">
        <v>2518</v>
      </c>
      <c r="C81" s="1701" t="s">
        <v>4020</v>
      </c>
      <c r="D81" s="608" t="s">
        <v>4881</v>
      </c>
      <c r="E81" s="1702">
        <v>3330.11</v>
      </c>
      <c r="F81" s="722">
        <v>0</v>
      </c>
      <c r="G81" s="718">
        <v>3330.11</v>
      </c>
      <c r="H81" s="1701">
        <v>45104</v>
      </c>
      <c r="I81" s="718">
        <v>3330.11</v>
      </c>
      <c r="J81" s="1701">
        <v>45180</v>
      </c>
      <c r="K81" s="1704" t="s">
        <v>6067</v>
      </c>
      <c r="L81" s="963"/>
    </row>
    <row r="82" spans="1:12" ht="15">
      <c r="A82" s="1701">
        <v>45071</v>
      </c>
      <c r="B82" s="1701" t="s">
        <v>2518</v>
      </c>
      <c r="C82" s="1701" t="s">
        <v>4020</v>
      </c>
      <c r="D82" s="608" t="s">
        <v>5219</v>
      </c>
      <c r="E82" s="1702">
        <v>2950.58</v>
      </c>
      <c r="F82" s="722">
        <v>0</v>
      </c>
      <c r="G82" s="718">
        <v>2950.58</v>
      </c>
      <c r="H82" s="1701">
        <v>45131</v>
      </c>
      <c r="I82" s="718">
        <v>2950.58</v>
      </c>
      <c r="J82" s="1701">
        <v>45180</v>
      </c>
      <c r="K82" s="1704" t="s">
        <v>6067</v>
      </c>
      <c r="L82" s="963"/>
    </row>
    <row r="83" spans="1:12" ht="15">
      <c r="A83" s="601">
        <v>45110</v>
      </c>
      <c r="B83" s="1576" t="s">
        <v>5678</v>
      </c>
      <c r="C83" s="601" t="s">
        <v>4020</v>
      </c>
      <c r="D83" s="602" t="s">
        <v>5551</v>
      </c>
      <c r="E83" s="699">
        <v>3416.68</v>
      </c>
      <c r="F83" s="700">
        <v>0</v>
      </c>
      <c r="G83" s="720">
        <v>3416.68</v>
      </c>
      <c r="H83" s="601">
        <v>45170</v>
      </c>
      <c r="I83" s="720"/>
      <c r="J83" s="601"/>
      <c r="K83" s="973"/>
      <c r="L83" s="963"/>
    </row>
    <row r="84" spans="1:12" ht="15">
      <c r="A84" s="601">
        <v>45176</v>
      </c>
      <c r="B84" s="601" t="s">
        <v>4133</v>
      </c>
      <c r="C84" s="601" t="s">
        <v>4020</v>
      </c>
      <c r="D84" s="602" t="s">
        <v>6005</v>
      </c>
      <c r="E84" s="699">
        <v>7296.27</v>
      </c>
      <c r="F84" s="700">
        <v>0</v>
      </c>
      <c r="G84" s="720">
        <v>7296.27</v>
      </c>
      <c r="H84" s="601">
        <v>45235</v>
      </c>
      <c r="I84" s="720"/>
      <c r="J84" s="601"/>
      <c r="K84" s="973"/>
      <c r="L84" s="963"/>
    </row>
    <row r="85" spans="1:12" ht="15">
      <c r="A85" s="601"/>
      <c r="B85" s="601"/>
      <c r="C85" s="601"/>
      <c r="D85" s="602"/>
      <c r="E85" s="699"/>
      <c r="F85" s="700"/>
      <c r="G85" s="720"/>
      <c r="H85" s="601"/>
      <c r="I85" s="720"/>
      <c r="J85" s="601"/>
      <c r="K85" s="973"/>
      <c r="L85" s="963"/>
    </row>
    <row r="86" spans="1:12" ht="15">
      <c r="A86" s="601"/>
      <c r="B86" s="601"/>
      <c r="C86" s="601"/>
      <c r="D86" s="602"/>
      <c r="E86" s="699"/>
      <c r="F86" s="700"/>
      <c r="G86" s="720"/>
      <c r="H86" s="601"/>
      <c r="I86" s="720"/>
      <c r="J86" s="601"/>
      <c r="K86" s="973"/>
      <c r="L86" s="963"/>
    </row>
    <row r="87" spans="1:12" ht="15">
      <c r="A87" s="601"/>
      <c r="B87" s="601"/>
      <c r="C87" s="601"/>
      <c r="D87" s="602"/>
      <c r="E87" s="699"/>
      <c r="F87" s="700"/>
      <c r="G87" s="720"/>
      <c r="H87" s="601"/>
      <c r="I87" s="720"/>
      <c r="J87" s="601"/>
      <c r="K87" s="973"/>
      <c r="L87" s="963"/>
    </row>
    <row r="88" spans="1:12" ht="15">
      <c r="A88" s="601"/>
      <c r="B88" s="601"/>
      <c r="C88" s="601"/>
      <c r="D88" s="602"/>
      <c r="E88" s="699"/>
      <c r="F88" s="700"/>
      <c r="G88" s="720"/>
      <c r="H88" s="601"/>
      <c r="I88" s="720"/>
      <c r="J88" s="601"/>
      <c r="K88" s="973"/>
      <c r="L88" s="963"/>
    </row>
    <row r="89" spans="1:12" ht="15">
      <c r="A89" s="601"/>
      <c r="B89" s="601"/>
      <c r="C89" s="601"/>
      <c r="D89" s="602"/>
      <c r="E89" s="699"/>
      <c r="F89" s="700"/>
      <c r="G89" s="720"/>
      <c r="H89" s="601"/>
      <c r="I89" s="720"/>
      <c r="J89" s="601"/>
      <c r="K89" s="973"/>
      <c r="L89" s="963"/>
    </row>
    <row r="90" spans="1:12" ht="15">
      <c r="A90" s="601"/>
      <c r="B90" s="601"/>
      <c r="C90" s="601"/>
      <c r="D90" s="602"/>
      <c r="E90" s="699"/>
      <c r="F90" s="700"/>
      <c r="G90" s="720"/>
      <c r="H90" s="601"/>
      <c r="I90" s="720"/>
      <c r="J90" s="601"/>
      <c r="K90" s="973"/>
      <c r="L90" s="963"/>
    </row>
    <row r="91" spans="1:12" ht="15">
      <c r="A91" s="601"/>
      <c r="B91" s="601"/>
      <c r="C91" s="601"/>
      <c r="D91" s="602"/>
      <c r="E91" s="699"/>
      <c r="F91" s="700"/>
      <c r="G91" s="720"/>
      <c r="H91" s="601"/>
      <c r="I91" s="720"/>
      <c r="J91" s="601"/>
      <c r="K91" s="973"/>
      <c r="L91" s="963"/>
    </row>
    <row r="92" spans="1:12" ht="15">
      <c r="A92" s="601"/>
      <c r="B92" s="601"/>
      <c r="C92" s="601"/>
      <c r="D92" s="602"/>
      <c r="E92" s="699"/>
      <c r="F92" s="700"/>
      <c r="G92" s="720"/>
      <c r="H92" s="601"/>
      <c r="I92" s="720"/>
      <c r="J92" s="601"/>
      <c r="K92" s="973"/>
      <c r="L92" s="963"/>
    </row>
    <row r="93" spans="1:12" ht="15">
      <c r="A93" s="944"/>
      <c r="B93" s="1138"/>
      <c r="C93" s="1138"/>
      <c r="D93" s="703"/>
      <c r="E93" s="703"/>
      <c r="F93" s="1144" t="s">
        <v>545</v>
      </c>
      <c r="G93" s="755">
        <f>SUM(G53:G92)-SUM(I53:I92)</f>
        <v>10712.950000000004</v>
      </c>
      <c r="H93" s="944"/>
      <c r="I93" s="718"/>
      <c r="J93" s="949"/>
      <c r="K93" s="973"/>
      <c r="L93" s="946"/>
    </row>
    <row r="94" spans="1:12" ht="14.25">
      <c r="A94" s="974" t="s">
        <v>1416</v>
      </c>
      <c r="B94" s="974"/>
      <c r="C94" s="974"/>
      <c r="D94" s="974"/>
      <c r="E94" s="974"/>
      <c r="F94" s="974"/>
      <c r="G94" s="974"/>
      <c r="H94" s="974"/>
      <c r="I94" s="974"/>
      <c r="J94" s="974"/>
      <c r="K94" s="974"/>
      <c r="L94" s="974"/>
    </row>
  </sheetData>
  <mergeCells count="50">
    <mergeCell ref="K72:K80"/>
    <mergeCell ref="J72:J80"/>
    <mergeCell ref="I72:I80"/>
    <mergeCell ref="C57:C58"/>
    <mergeCell ref="B57:B58"/>
    <mergeCell ref="K67:K68"/>
    <mergeCell ref="J67:J68"/>
    <mergeCell ref="I67:I68"/>
    <mergeCell ref="I65:I66"/>
    <mergeCell ref="K65:K66"/>
    <mergeCell ref="J65:J66"/>
    <mergeCell ref="D57:D58"/>
    <mergeCell ref="I62:I64"/>
    <mergeCell ref="K62:K64"/>
    <mergeCell ref="J62:J64"/>
    <mergeCell ref="E57:E58"/>
    <mergeCell ref="I58:I61"/>
    <mergeCell ref="K58:K61"/>
    <mergeCell ref="J58:J61"/>
    <mergeCell ref="J26:J37"/>
    <mergeCell ref="I54:I55"/>
    <mergeCell ref="K54:K55"/>
    <mergeCell ref="J54:J55"/>
    <mergeCell ref="K46:K48"/>
    <mergeCell ref="I38:I45"/>
    <mergeCell ref="I46:I48"/>
    <mergeCell ref="J38:J45"/>
    <mergeCell ref="J46:J48"/>
    <mergeCell ref="K38:K45"/>
    <mergeCell ref="K18:K25"/>
    <mergeCell ref="J4:J8"/>
    <mergeCell ref="J9:J14"/>
    <mergeCell ref="J15:J17"/>
    <mergeCell ref="J18:J25"/>
    <mergeCell ref="A57:A58"/>
    <mergeCell ref="K26:K37"/>
    <mergeCell ref="D2:D3"/>
    <mergeCell ref="G2:G3"/>
    <mergeCell ref="I4:I8"/>
    <mergeCell ref="I9:I14"/>
    <mergeCell ref="I15:I17"/>
    <mergeCell ref="I18:I25"/>
    <mergeCell ref="I26:I37"/>
    <mergeCell ref="I49:I52"/>
    <mergeCell ref="J49:J52"/>
    <mergeCell ref="K49:K52"/>
    <mergeCell ref="K4:K8"/>
    <mergeCell ref="K9:K14"/>
    <mergeCell ref="K15:K17"/>
    <mergeCell ref="F57:F58"/>
  </mergeCells>
  <phoneticPr fontId="15" type="noConversion"/>
  <hyperlinks>
    <hyperlink ref="F93" location="汇总!A1" display="剩余欠款"/>
  </hyperlinks>
  <pageMargins left="0.75" right="0.75" top="1" bottom="1" header="0.5" footer="0.5"/>
  <pageSetup paperSize="9" orientation="portrait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L256"/>
  <sheetViews>
    <sheetView workbookViewId="0">
      <pane ySplit="1" topLeftCell="A226" activePane="bottomLeft" state="frozen"/>
      <selection activeCell="C33" sqref="C33"/>
      <selection pane="bottomLeft" activeCell="F254" sqref="F254"/>
    </sheetView>
  </sheetViews>
  <sheetFormatPr defaultRowHeight="14.25"/>
  <cols>
    <col min="1" max="1" width="12.625" style="467" customWidth="1"/>
    <col min="2" max="2" width="9" style="467" bestFit="1" customWidth="1"/>
    <col min="3" max="3" width="33.125" style="467" bestFit="1" customWidth="1"/>
    <col min="4" max="4" width="16.375" style="468" customWidth="1"/>
    <col min="5" max="5" width="11.375" style="468" bestFit="1" customWidth="1"/>
    <col min="6" max="6" width="10.75" style="468" customWidth="1"/>
    <col min="7" max="7" width="11.625" style="467" customWidth="1"/>
    <col min="8" max="8" width="18.125" style="467" customWidth="1"/>
    <col min="9" max="9" width="15.25" style="470" customWidth="1"/>
    <col min="10" max="10" width="16.375" style="468" customWidth="1"/>
    <col min="11" max="11" width="12.375" style="467" customWidth="1"/>
    <col min="12" max="12" width="49.625" style="467" customWidth="1"/>
    <col min="13" max="13" width="13.875" style="1" bestFit="1" customWidth="1"/>
    <col min="14" max="16384" width="9" style="1"/>
  </cols>
  <sheetData>
    <row r="1" spans="1:12" s="96" customFormat="1" ht="18.75">
      <c r="A1" s="255" t="s">
        <v>536</v>
      </c>
      <c r="B1" s="255" t="s">
        <v>516</v>
      </c>
      <c r="C1" s="255" t="s">
        <v>515</v>
      </c>
      <c r="D1" s="462" t="s">
        <v>2150</v>
      </c>
      <c r="E1" s="257" t="s">
        <v>2718</v>
      </c>
      <c r="F1" s="510" t="s">
        <v>2719</v>
      </c>
      <c r="G1" s="256" t="s">
        <v>2721</v>
      </c>
      <c r="H1" s="463" t="s">
        <v>4099</v>
      </c>
      <c r="I1" s="374" t="s">
        <v>3043</v>
      </c>
      <c r="J1" s="462" t="s">
        <v>4100</v>
      </c>
      <c r="K1" s="462" t="s">
        <v>541</v>
      </c>
      <c r="L1" s="463" t="s">
        <v>542</v>
      </c>
    </row>
    <row r="2" spans="1:12" ht="15">
      <c r="A2" s="607">
        <v>44306</v>
      </c>
      <c r="B2" s="1124" t="s">
        <v>522</v>
      </c>
      <c r="C2" s="1124" t="s">
        <v>3731</v>
      </c>
      <c r="D2" s="764" t="s">
        <v>1417</v>
      </c>
      <c r="E2" s="697">
        <v>2545.5</v>
      </c>
      <c r="F2" s="697">
        <v>534.54999999999995</v>
      </c>
      <c r="G2" s="697">
        <v>3080.06</v>
      </c>
      <c r="H2" s="607">
        <v>44307</v>
      </c>
      <c r="I2" s="697">
        <v>3080.06</v>
      </c>
      <c r="J2" s="607">
        <v>44319</v>
      </c>
      <c r="K2" s="464" t="s">
        <v>544</v>
      </c>
      <c r="L2" s="465"/>
    </row>
    <row r="3" spans="1:12" ht="15">
      <c r="A3" s="607">
        <v>44364</v>
      </c>
      <c r="B3" s="1124" t="s">
        <v>522</v>
      </c>
      <c r="C3" s="1124" t="s">
        <v>3731</v>
      </c>
      <c r="D3" s="764" t="s">
        <v>1418</v>
      </c>
      <c r="E3" s="697">
        <v>134.37</v>
      </c>
      <c r="F3" s="697">
        <v>28.22</v>
      </c>
      <c r="G3" s="697">
        <v>162.58000000000001</v>
      </c>
      <c r="H3" s="607">
        <v>44365</v>
      </c>
      <c r="I3" s="2303">
        <v>345.46</v>
      </c>
      <c r="J3" s="2193">
        <v>44396</v>
      </c>
      <c r="K3" s="2304" t="s">
        <v>544</v>
      </c>
      <c r="L3" s="465"/>
    </row>
    <row r="4" spans="1:12" ht="15">
      <c r="A4" s="607">
        <v>44369</v>
      </c>
      <c r="B4" s="1124" t="s">
        <v>522</v>
      </c>
      <c r="C4" s="1124" t="s">
        <v>3731</v>
      </c>
      <c r="D4" s="764" t="s">
        <v>1419</v>
      </c>
      <c r="E4" s="697">
        <v>285.5</v>
      </c>
      <c r="F4" s="697">
        <v>59.96</v>
      </c>
      <c r="G4" s="697">
        <v>345.46</v>
      </c>
      <c r="H4" s="607">
        <v>44370</v>
      </c>
      <c r="I4" s="2303"/>
      <c r="J4" s="2196"/>
      <c r="K4" s="2304"/>
      <c r="L4" s="465"/>
    </row>
    <row r="5" spans="1:12" ht="15">
      <c r="A5" s="607">
        <v>44369</v>
      </c>
      <c r="B5" s="1124" t="s">
        <v>522</v>
      </c>
      <c r="C5" s="1124" t="s">
        <v>3731</v>
      </c>
      <c r="D5" s="764" t="s">
        <v>1420</v>
      </c>
      <c r="E5" s="697">
        <v>-134.36000000000001</v>
      </c>
      <c r="F5" s="697">
        <v>-28.22</v>
      </c>
      <c r="G5" s="697">
        <v>-162.58000000000001</v>
      </c>
      <c r="H5" s="607" t="s">
        <v>1529</v>
      </c>
      <c r="I5" s="2303"/>
      <c r="J5" s="2194"/>
      <c r="K5" s="2304"/>
      <c r="L5" s="465"/>
    </row>
    <row r="6" spans="1:12" ht="15">
      <c r="A6" s="607">
        <v>44405</v>
      </c>
      <c r="B6" s="1124" t="s">
        <v>522</v>
      </c>
      <c r="C6" s="1124" t="s">
        <v>3731</v>
      </c>
      <c r="D6" s="764" t="s">
        <v>1421</v>
      </c>
      <c r="E6" s="697">
        <v>1012</v>
      </c>
      <c r="F6" s="697">
        <v>212.52</v>
      </c>
      <c r="G6" s="697">
        <v>1224.52</v>
      </c>
      <c r="H6" s="607">
        <v>44406</v>
      </c>
      <c r="I6" s="697">
        <v>1224.52</v>
      </c>
      <c r="J6" s="607">
        <v>44460</v>
      </c>
      <c r="K6" s="464" t="s">
        <v>544</v>
      </c>
      <c r="L6" s="465"/>
    </row>
    <row r="7" spans="1:12" ht="15">
      <c r="A7" s="607">
        <v>44433</v>
      </c>
      <c r="B7" s="1124" t="s">
        <v>522</v>
      </c>
      <c r="C7" s="1124" t="s">
        <v>3731</v>
      </c>
      <c r="D7" s="764" t="s">
        <v>1422</v>
      </c>
      <c r="E7" s="697">
        <v>9664.75</v>
      </c>
      <c r="F7" s="697">
        <v>2029.6</v>
      </c>
      <c r="G7" s="697">
        <v>11694.35</v>
      </c>
      <c r="H7" s="607">
        <v>44434</v>
      </c>
      <c r="I7" s="697">
        <v>11694.35</v>
      </c>
      <c r="J7" s="607">
        <v>44467</v>
      </c>
      <c r="K7" s="464" t="s">
        <v>544</v>
      </c>
      <c r="L7" s="465"/>
    </row>
    <row r="8" spans="1:12" ht="15">
      <c r="A8" s="607">
        <v>44439</v>
      </c>
      <c r="B8" s="1124" t="s">
        <v>522</v>
      </c>
      <c r="C8" s="1124" t="s">
        <v>3731</v>
      </c>
      <c r="D8" s="764" t="s">
        <v>1424</v>
      </c>
      <c r="E8" s="697">
        <v>7.61</v>
      </c>
      <c r="F8" s="697">
        <v>1.6</v>
      </c>
      <c r="G8" s="697">
        <v>9.2100000000000009</v>
      </c>
      <c r="H8" s="607">
        <v>44440</v>
      </c>
      <c r="I8" s="2241">
        <v>517.07000000000005</v>
      </c>
      <c r="J8" s="2240">
        <v>44683</v>
      </c>
      <c r="K8" s="2304" t="s">
        <v>544</v>
      </c>
      <c r="L8" s="465" t="s">
        <v>1425</v>
      </c>
    </row>
    <row r="9" spans="1:12" ht="15">
      <c r="A9" s="607">
        <v>44456</v>
      </c>
      <c r="B9" s="1124" t="s">
        <v>522</v>
      </c>
      <c r="C9" s="1124" t="s">
        <v>3731</v>
      </c>
      <c r="D9" s="764" t="s">
        <v>1426</v>
      </c>
      <c r="E9" s="697">
        <v>20.309999999999999</v>
      </c>
      <c r="F9" s="697">
        <v>4.2699999999999996</v>
      </c>
      <c r="G9" s="697">
        <v>24.58</v>
      </c>
      <c r="H9" s="607">
        <v>44457</v>
      </c>
      <c r="I9" s="2241"/>
      <c r="J9" s="2240"/>
      <c r="K9" s="2304"/>
      <c r="L9" s="465" t="s">
        <v>1427</v>
      </c>
    </row>
    <row r="10" spans="1:12" ht="15">
      <c r="A10" s="607">
        <v>44628</v>
      </c>
      <c r="B10" s="1124" t="s">
        <v>521</v>
      </c>
      <c r="C10" s="1124" t="s">
        <v>3731</v>
      </c>
      <c r="D10" s="764" t="s">
        <v>1443</v>
      </c>
      <c r="E10" s="697">
        <v>87.9</v>
      </c>
      <c r="F10" s="697">
        <v>18.46</v>
      </c>
      <c r="G10" s="697">
        <v>106.36</v>
      </c>
      <c r="H10" s="607">
        <v>44629</v>
      </c>
      <c r="I10" s="2241"/>
      <c r="J10" s="2240"/>
      <c r="K10" s="2304"/>
      <c r="L10" s="465"/>
    </row>
    <row r="11" spans="1:12" ht="15">
      <c r="A11" s="607">
        <v>44650</v>
      </c>
      <c r="B11" s="1124" t="s">
        <v>521</v>
      </c>
      <c r="C11" s="1124" t="s">
        <v>3731</v>
      </c>
      <c r="D11" s="764" t="s">
        <v>1812</v>
      </c>
      <c r="E11" s="697">
        <v>311.5</v>
      </c>
      <c r="F11" s="697">
        <v>65.42</v>
      </c>
      <c r="G11" s="697">
        <v>376.92</v>
      </c>
      <c r="H11" s="607">
        <v>44651</v>
      </c>
      <c r="I11" s="2241"/>
      <c r="J11" s="2240"/>
      <c r="K11" s="2304"/>
      <c r="L11" s="465"/>
    </row>
    <row r="12" spans="1:12" ht="15">
      <c r="A12" s="607">
        <v>44484</v>
      </c>
      <c r="B12" s="1124" t="s">
        <v>522</v>
      </c>
      <c r="C12" s="1124" t="s">
        <v>3731</v>
      </c>
      <c r="D12" s="764" t="s">
        <v>1434</v>
      </c>
      <c r="E12" s="697">
        <v>77.94</v>
      </c>
      <c r="F12" s="697">
        <v>0</v>
      </c>
      <c r="G12" s="697">
        <v>77.94</v>
      </c>
      <c r="H12" s="607">
        <v>44484</v>
      </c>
      <c r="I12" s="697">
        <v>77.94</v>
      </c>
      <c r="J12" s="607">
        <v>44686.000497685185</v>
      </c>
      <c r="K12" s="464" t="s">
        <v>2430</v>
      </c>
      <c r="L12" s="465" t="s">
        <v>2432</v>
      </c>
    </row>
    <row r="13" spans="1:12" ht="15">
      <c r="A13" s="607">
        <v>44433</v>
      </c>
      <c r="B13" s="1124" t="s">
        <v>522</v>
      </c>
      <c r="C13" s="1124" t="s">
        <v>3731</v>
      </c>
      <c r="D13" s="764" t="s">
        <v>1423</v>
      </c>
      <c r="E13" s="697">
        <v>185.25</v>
      </c>
      <c r="F13" s="697">
        <v>38.9</v>
      </c>
      <c r="G13" s="697">
        <v>224.15</v>
      </c>
      <c r="H13" s="607">
        <v>44434</v>
      </c>
      <c r="I13" s="2074">
        <v>4508.28</v>
      </c>
      <c r="J13" s="2193">
        <v>44509</v>
      </c>
      <c r="K13" s="2295" t="s">
        <v>544</v>
      </c>
      <c r="L13" s="465"/>
    </row>
    <row r="14" spans="1:12" ht="15">
      <c r="A14" s="607">
        <v>44459</v>
      </c>
      <c r="B14" s="1124" t="s">
        <v>522</v>
      </c>
      <c r="C14" s="1124" t="s">
        <v>3731</v>
      </c>
      <c r="D14" s="764" t="s">
        <v>1428</v>
      </c>
      <c r="E14" s="697">
        <v>405</v>
      </c>
      <c r="F14" s="697">
        <v>85.05</v>
      </c>
      <c r="G14" s="697">
        <v>490.05</v>
      </c>
      <c r="H14" s="607">
        <v>44460</v>
      </c>
      <c r="I14" s="2116"/>
      <c r="J14" s="2196"/>
      <c r="K14" s="2296"/>
      <c r="L14" s="465"/>
    </row>
    <row r="15" spans="1:12" ht="15">
      <c r="A15" s="607">
        <v>44466</v>
      </c>
      <c r="B15" s="1124" t="s">
        <v>522</v>
      </c>
      <c r="C15" s="1124" t="s">
        <v>3731</v>
      </c>
      <c r="D15" s="764" t="s">
        <v>1429</v>
      </c>
      <c r="E15" s="697">
        <v>3135.6</v>
      </c>
      <c r="F15" s="697">
        <v>658.48</v>
      </c>
      <c r="G15" s="697">
        <v>3794.08</v>
      </c>
      <c r="H15" s="607">
        <v>44467</v>
      </c>
      <c r="I15" s="2075"/>
      <c r="J15" s="2194"/>
      <c r="K15" s="2297"/>
      <c r="L15" s="465"/>
    </row>
    <row r="16" spans="1:12" ht="15">
      <c r="A16" s="607">
        <v>44476</v>
      </c>
      <c r="B16" s="1124" t="s">
        <v>522</v>
      </c>
      <c r="C16" s="1124" t="s">
        <v>3731</v>
      </c>
      <c r="D16" s="764" t="s">
        <v>1433</v>
      </c>
      <c r="E16" s="697">
        <v>65.599999999999994</v>
      </c>
      <c r="F16" s="697">
        <v>13.78</v>
      </c>
      <c r="G16" s="697">
        <v>79.38</v>
      </c>
      <c r="H16" s="607">
        <v>44477</v>
      </c>
      <c r="I16" s="697">
        <v>79.38</v>
      </c>
      <c r="J16" s="607">
        <v>44620</v>
      </c>
      <c r="K16" s="491" t="s">
        <v>544</v>
      </c>
      <c r="L16" s="465"/>
    </row>
    <row r="17" spans="1:12" ht="15">
      <c r="A17" s="607">
        <v>44505</v>
      </c>
      <c r="B17" s="1124" t="s">
        <v>522</v>
      </c>
      <c r="C17" s="1124" t="s">
        <v>3731</v>
      </c>
      <c r="D17" s="764" t="s">
        <v>1435</v>
      </c>
      <c r="E17" s="697">
        <v>63.73</v>
      </c>
      <c r="F17" s="697">
        <v>13.38</v>
      </c>
      <c r="G17" s="697">
        <v>77.12</v>
      </c>
      <c r="H17" s="607">
        <v>44506</v>
      </c>
      <c r="I17" s="697">
        <v>77.12</v>
      </c>
      <c r="J17" s="607">
        <v>44774</v>
      </c>
      <c r="K17" s="491" t="s">
        <v>2633</v>
      </c>
      <c r="L17" s="465" t="s">
        <v>2634</v>
      </c>
    </row>
    <row r="18" spans="1:12" ht="15">
      <c r="A18" s="607">
        <v>44512</v>
      </c>
      <c r="B18" s="1124" t="s">
        <v>522</v>
      </c>
      <c r="C18" s="1124" t="s">
        <v>3731</v>
      </c>
      <c r="D18" s="764" t="s">
        <v>1438</v>
      </c>
      <c r="E18" s="697">
        <v>8.19</v>
      </c>
      <c r="F18" s="697">
        <v>1.72</v>
      </c>
      <c r="G18" s="697">
        <v>9.91</v>
      </c>
      <c r="H18" s="607">
        <v>44513</v>
      </c>
      <c r="I18" s="697">
        <v>9.91</v>
      </c>
      <c r="J18" s="765">
        <v>44785</v>
      </c>
      <c r="K18" s="491" t="s">
        <v>2722</v>
      </c>
      <c r="L18" s="466"/>
    </row>
    <row r="19" spans="1:12" ht="15">
      <c r="A19" s="607">
        <v>44468</v>
      </c>
      <c r="B19" s="1124" t="s">
        <v>522</v>
      </c>
      <c r="C19" s="1124" t="s">
        <v>3731</v>
      </c>
      <c r="D19" s="764" t="s">
        <v>1430</v>
      </c>
      <c r="E19" s="697">
        <v>46.5</v>
      </c>
      <c r="F19" s="697">
        <v>9.77</v>
      </c>
      <c r="G19" s="697">
        <v>56.27</v>
      </c>
      <c r="H19" s="607">
        <v>44469</v>
      </c>
      <c r="I19" s="2074">
        <v>2778.29</v>
      </c>
      <c r="J19" s="2193">
        <v>44536</v>
      </c>
      <c r="K19" s="2295" t="s">
        <v>544</v>
      </c>
      <c r="L19" s="465"/>
    </row>
    <row r="20" spans="1:12" ht="15">
      <c r="A20" s="607">
        <v>44474</v>
      </c>
      <c r="B20" s="1124" t="s">
        <v>522</v>
      </c>
      <c r="C20" s="1124" t="s">
        <v>3731</v>
      </c>
      <c r="D20" s="764" t="s">
        <v>1431</v>
      </c>
      <c r="E20" s="697">
        <v>2069.6</v>
      </c>
      <c r="F20" s="697">
        <v>434.62</v>
      </c>
      <c r="G20" s="697">
        <v>2504.2199999999998</v>
      </c>
      <c r="H20" s="607">
        <v>44475</v>
      </c>
      <c r="I20" s="2116"/>
      <c r="J20" s="2196"/>
      <c r="K20" s="2296"/>
      <c r="L20" s="465" t="s">
        <v>1432</v>
      </c>
    </row>
    <row r="21" spans="1:12" ht="15">
      <c r="A21" s="607">
        <v>44495</v>
      </c>
      <c r="B21" s="1124" t="s">
        <v>522</v>
      </c>
      <c r="C21" s="1124" t="s">
        <v>3731</v>
      </c>
      <c r="D21" s="764" t="s">
        <v>1436</v>
      </c>
      <c r="E21" s="697">
        <v>180</v>
      </c>
      <c r="F21" s="697">
        <v>37.799999999999997</v>
      </c>
      <c r="G21" s="697">
        <v>217.8</v>
      </c>
      <c r="H21" s="607">
        <v>44496</v>
      </c>
      <c r="I21" s="2075"/>
      <c r="J21" s="2196"/>
      <c r="K21" s="2297"/>
      <c r="L21" s="465"/>
    </row>
    <row r="22" spans="1:12" ht="15">
      <c r="A22" s="607">
        <v>44508</v>
      </c>
      <c r="B22" s="1124" t="s">
        <v>522</v>
      </c>
      <c r="C22" s="1124" t="s">
        <v>3731</v>
      </c>
      <c r="D22" s="764" t="s">
        <v>1437</v>
      </c>
      <c r="E22" s="697">
        <v>90.68</v>
      </c>
      <c r="F22" s="697">
        <v>19.04</v>
      </c>
      <c r="G22" s="697">
        <v>109.72</v>
      </c>
      <c r="H22" s="607">
        <v>44509</v>
      </c>
      <c r="I22" s="2074">
        <v>1124.9100000000001</v>
      </c>
      <c r="J22" s="2193">
        <v>44550</v>
      </c>
      <c r="K22" s="2295" t="s">
        <v>544</v>
      </c>
      <c r="L22" s="465"/>
    </row>
    <row r="23" spans="1:12" ht="15">
      <c r="A23" s="607">
        <v>44515</v>
      </c>
      <c r="B23" s="1124" t="s">
        <v>522</v>
      </c>
      <c r="C23" s="1124" t="s">
        <v>3731</v>
      </c>
      <c r="D23" s="764" t="s">
        <v>1439</v>
      </c>
      <c r="E23" s="697">
        <v>109</v>
      </c>
      <c r="F23" s="697">
        <v>22.89</v>
      </c>
      <c r="G23" s="697">
        <v>131.88999999999999</v>
      </c>
      <c r="H23" s="607">
        <v>44516</v>
      </c>
      <c r="I23" s="2116"/>
      <c r="J23" s="2196"/>
      <c r="K23" s="2296"/>
      <c r="L23" s="465"/>
    </row>
    <row r="24" spans="1:12" ht="15">
      <c r="A24" s="607">
        <v>44517</v>
      </c>
      <c r="B24" s="1124" t="s">
        <v>522</v>
      </c>
      <c r="C24" s="1124" t="s">
        <v>3731</v>
      </c>
      <c r="D24" s="764" t="s">
        <v>1440</v>
      </c>
      <c r="E24" s="697">
        <v>730</v>
      </c>
      <c r="F24" s="697">
        <v>153.30000000000001</v>
      </c>
      <c r="G24" s="697">
        <v>883.3</v>
      </c>
      <c r="H24" s="607">
        <v>44518</v>
      </c>
      <c r="I24" s="2075"/>
      <c r="J24" s="2194"/>
      <c r="K24" s="2297"/>
      <c r="L24" s="465"/>
    </row>
    <row r="25" spans="1:12" ht="15">
      <c r="A25" s="607">
        <v>44522</v>
      </c>
      <c r="B25" s="1124" t="s">
        <v>522</v>
      </c>
      <c r="C25" s="1124" t="s">
        <v>3731</v>
      </c>
      <c r="D25" s="764" t="s">
        <v>1441</v>
      </c>
      <c r="E25" s="697">
        <v>95.68</v>
      </c>
      <c r="F25" s="697">
        <v>20.09</v>
      </c>
      <c r="G25" s="697">
        <v>115.77</v>
      </c>
      <c r="H25" s="607">
        <v>44523</v>
      </c>
      <c r="I25" s="697">
        <v>115.77</v>
      </c>
      <c r="J25" s="607">
        <v>44553</v>
      </c>
      <c r="K25" s="464" t="s">
        <v>550</v>
      </c>
      <c r="L25" s="465"/>
    </row>
    <row r="26" spans="1:12" ht="15">
      <c r="A26" s="607">
        <v>44553</v>
      </c>
      <c r="B26" s="1124" t="s">
        <v>522</v>
      </c>
      <c r="C26" s="1124" t="s">
        <v>3731</v>
      </c>
      <c r="D26" s="764" t="s">
        <v>2429</v>
      </c>
      <c r="E26" s="697">
        <v>0.01</v>
      </c>
      <c r="F26" s="697">
        <v>0</v>
      </c>
      <c r="G26" s="697">
        <v>0.01</v>
      </c>
      <c r="H26" s="607">
        <v>44554</v>
      </c>
      <c r="I26" s="766">
        <v>0.01</v>
      </c>
      <c r="J26" s="612">
        <v>44609</v>
      </c>
      <c r="K26" s="471" t="s">
        <v>809</v>
      </c>
      <c r="L26" s="465" t="s">
        <v>2431</v>
      </c>
    </row>
    <row r="27" spans="1:12" ht="15">
      <c r="A27" s="607">
        <v>44531</v>
      </c>
      <c r="B27" s="1124" t="s">
        <v>522</v>
      </c>
      <c r="C27" s="1124" t="s">
        <v>3731</v>
      </c>
      <c r="D27" s="764" t="s">
        <v>1442</v>
      </c>
      <c r="E27" s="697">
        <v>109</v>
      </c>
      <c r="F27" s="697">
        <v>22.89</v>
      </c>
      <c r="G27" s="697">
        <v>131.88999999999999</v>
      </c>
      <c r="H27" s="607">
        <v>44532</v>
      </c>
      <c r="I27" s="697">
        <v>131.88999999999999</v>
      </c>
      <c r="J27" s="607">
        <v>44578</v>
      </c>
      <c r="K27" s="464" t="s">
        <v>544</v>
      </c>
      <c r="L27" s="465"/>
    </row>
    <row r="28" spans="1:12" ht="15">
      <c r="A28" s="607">
        <v>44671</v>
      </c>
      <c r="B28" s="1124" t="s">
        <v>521</v>
      </c>
      <c r="C28" s="1124" t="s">
        <v>3731</v>
      </c>
      <c r="D28" s="764" t="s">
        <v>1975</v>
      </c>
      <c r="E28" s="697">
        <v>17.64</v>
      </c>
      <c r="F28" s="697">
        <v>3.7</v>
      </c>
      <c r="G28" s="697">
        <v>21.34</v>
      </c>
      <c r="H28" s="607">
        <v>44672</v>
      </c>
      <c r="I28" s="697">
        <v>21.34</v>
      </c>
      <c r="J28" s="607">
        <v>44706</v>
      </c>
      <c r="K28" s="464" t="s">
        <v>544</v>
      </c>
      <c r="L28" s="465"/>
    </row>
    <row r="29" spans="1:12" ht="15">
      <c r="A29" s="607">
        <v>44684</v>
      </c>
      <c r="B29" s="1124" t="s">
        <v>521</v>
      </c>
      <c r="C29" s="1124" t="s">
        <v>3731</v>
      </c>
      <c r="D29" s="764" t="s">
        <v>2056</v>
      </c>
      <c r="E29" s="697">
        <v>12.35</v>
      </c>
      <c r="F29" s="697">
        <v>2.59</v>
      </c>
      <c r="G29" s="697">
        <v>14.94</v>
      </c>
      <c r="H29" s="607">
        <v>44685</v>
      </c>
      <c r="I29" s="2114">
        <v>331.89</v>
      </c>
      <c r="J29" s="2193">
        <v>44725</v>
      </c>
      <c r="K29" s="2295" t="s">
        <v>544</v>
      </c>
      <c r="L29" s="465"/>
    </row>
    <row r="30" spans="1:12" ht="15">
      <c r="A30" s="607">
        <v>44685</v>
      </c>
      <c r="B30" s="1124" t="s">
        <v>521</v>
      </c>
      <c r="C30" s="1124" t="s">
        <v>3731</v>
      </c>
      <c r="D30" s="764" t="s">
        <v>2057</v>
      </c>
      <c r="E30" s="697">
        <v>15.44</v>
      </c>
      <c r="F30" s="697">
        <v>3.24</v>
      </c>
      <c r="G30" s="697">
        <v>18.68</v>
      </c>
      <c r="H30" s="607">
        <v>44686</v>
      </c>
      <c r="I30" s="2126"/>
      <c r="J30" s="2196"/>
      <c r="K30" s="2296"/>
      <c r="L30" s="465"/>
    </row>
    <row r="31" spans="1:12" ht="15">
      <c r="A31" s="607">
        <v>44686</v>
      </c>
      <c r="B31" s="1124" t="s">
        <v>521</v>
      </c>
      <c r="C31" s="1124" t="s">
        <v>3731</v>
      </c>
      <c r="D31" s="764" t="s">
        <v>2058</v>
      </c>
      <c r="E31" s="697">
        <v>246.5</v>
      </c>
      <c r="F31" s="697">
        <v>51.77</v>
      </c>
      <c r="G31" s="697">
        <v>298.27</v>
      </c>
      <c r="H31" s="607">
        <v>44687</v>
      </c>
      <c r="I31" s="2115"/>
      <c r="J31" s="2194"/>
      <c r="K31" s="2297"/>
      <c r="L31" s="465"/>
    </row>
    <row r="32" spans="1:12" ht="15">
      <c r="A32" s="607">
        <v>44697</v>
      </c>
      <c r="B32" s="1124" t="s">
        <v>521</v>
      </c>
      <c r="C32" s="1124" t="s">
        <v>3731</v>
      </c>
      <c r="D32" s="764" t="s">
        <v>2139</v>
      </c>
      <c r="E32" s="697">
        <v>1.24</v>
      </c>
      <c r="F32" s="697">
        <v>0.26</v>
      </c>
      <c r="G32" s="697">
        <v>1.49</v>
      </c>
      <c r="H32" s="607">
        <v>44698</v>
      </c>
      <c r="I32" s="2081">
        <v>111.16</v>
      </c>
      <c r="J32" s="2193">
        <v>44774</v>
      </c>
      <c r="K32" s="2295" t="s">
        <v>2633</v>
      </c>
      <c r="L32" s="2300" t="s">
        <v>2635</v>
      </c>
    </row>
    <row r="33" spans="1:12" ht="15">
      <c r="A33" s="607">
        <v>44697</v>
      </c>
      <c r="B33" s="1124" t="s">
        <v>521</v>
      </c>
      <c r="C33" s="1124" t="s">
        <v>3731</v>
      </c>
      <c r="D33" s="764" t="s">
        <v>2140</v>
      </c>
      <c r="E33" s="697">
        <v>79.2</v>
      </c>
      <c r="F33" s="697">
        <v>16.63</v>
      </c>
      <c r="G33" s="697">
        <v>95.83</v>
      </c>
      <c r="H33" s="607">
        <v>44698</v>
      </c>
      <c r="I33" s="2120"/>
      <c r="J33" s="2196"/>
      <c r="K33" s="2296"/>
      <c r="L33" s="2301"/>
    </row>
    <row r="34" spans="1:12" ht="15">
      <c r="A34" s="607">
        <v>44705</v>
      </c>
      <c r="B34" s="1124" t="s">
        <v>521</v>
      </c>
      <c r="C34" s="1124" t="s">
        <v>3731</v>
      </c>
      <c r="D34" s="764" t="s">
        <v>2188</v>
      </c>
      <c r="E34" s="697">
        <v>11.44</v>
      </c>
      <c r="F34" s="697">
        <v>2.4</v>
      </c>
      <c r="G34" s="697">
        <v>13.84</v>
      </c>
      <c r="H34" s="607">
        <v>44706</v>
      </c>
      <c r="I34" s="2082"/>
      <c r="J34" s="2194"/>
      <c r="K34" s="2297"/>
      <c r="L34" s="2302"/>
    </row>
    <row r="35" spans="1:12" s="388" customFormat="1" ht="15">
      <c r="A35" s="1162">
        <v>44950</v>
      </c>
      <c r="B35" s="1152" t="s">
        <v>2518</v>
      </c>
      <c r="C35" s="1152" t="s">
        <v>3731</v>
      </c>
      <c r="D35" s="764" t="s">
        <v>3983</v>
      </c>
      <c r="E35" s="1161">
        <v>18.239999999999998</v>
      </c>
      <c r="F35" s="1161">
        <v>3.83</v>
      </c>
      <c r="G35" s="1161">
        <v>22.07</v>
      </c>
      <c r="H35" s="1162">
        <v>44951</v>
      </c>
      <c r="I35" s="2138">
        <v>0</v>
      </c>
      <c r="J35" s="2193">
        <v>44973</v>
      </c>
      <c r="K35" s="2295" t="s">
        <v>4197</v>
      </c>
      <c r="L35" s="1160"/>
    </row>
    <row r="36" spans="1:12" s="388" customFormat="1" ht="15">
      <c r="A36" s="1162">
        <v>44950</v>
      </c>
      <c r="B36" s="1152" t="s">
        <v>2518</v>
      </c>
      <c r="C36" s="1152" t="s">
        <v>3731</v>
      </c>
      <c r="D36" s="764" t="s">
        <v>3985</v>
      </c>
      <c r="E36" s="1161">
        <v>-18.239999999999998</v>
      </c>
      <c r="F36" s="1161">
        <v>-3.83</v>
      </c>
      <c r="G36" s="1161">
        <v>-22.07</v>
      </c>
      <c r="H36" s="1162"/>
      <c r="I36" s="2139"/>
      <c r="J36" s="2194"/>
      <c r="K36" s="2297"/>
      <c r="L36" s="1160"/>
    </row>
    <row r="37" spans="1:12" ht="15">
      <c r="A37" s="1222">
        <v>44935</v>
      </c>
      <c r="B37" s="1215" t="s">
        <v>2518</v>
      </c>
      <c r="C37" s="1215" t="s">
        <v>3731</v>
      </c>
      <c r="D37" s="764" t="s">
        <v>3909</v>
      </c>
      <c r="E37" s="1221">
        <v>82.08</v>
      </c>
      <c r="F37" s="1221">
        <v>17.239999999999998</v>
      </c>
      <c r="G37" s="1221">
        <v>99.32</v>
      </c>
      <c r="H37" s="1222">
        <v>44936</v>
      </c>
      <c r="I37" s="2081">
        <v>3365.78</v>
      </c>
      <c r="J37" s="2193">
        <v>44991</v>
      </c>
      <c r="K37" s="2295" t="s">
        <v>4478</v>
      </c>
      <c r="L37" s="1042"/>
    </row>
    <row r="38" spans="1:12" ht="15">
      <c r="A38" s="1222">
        <v>44936</v>
      </c>
      <c r="B38" s="1215" t="s">
        <v>2518</v>
      </c>
      <c r="C38" s="1215" t="s">
        <v>3731</v>
      </c>
      <c r="D38" s="764" t="s">
        <v>3910</v>
      </c>
      <c r="E38" s="1221">
        <v>10.8</v>
      </c>
      <c r="F38" s="1221">
        <v>2.27</v>
      </c>
      <c r="G38" s="1221">
        <v>13.07</v>
      </c>
      <c r="H38" s="1222">
        <v>44937</v>
      </c>
      <c r="I38" s="2120"/>
      <c r="J38" s="2196"/>
      <c r="K38" s="2296"/>
      <c r="L38" s="1042"/>
    </row>
    <row r="39" spans="1:12" ht="15">
      <c r="A39" s="1222">
        <v>44937</v>
      </c>
      <c r="B39" s="1215" t="s">
        <v>2518</v>
      </c>
      <c r="C39" s="1215" t="s">
        <v>3731</v>
      </c>
      <c r="D39" s="764" t="s">
        <v>3911</v>
      </c>
      <c r="E39" s="1221">
        <v>758</v>
      </c>
      <c r="F39" s="1221">
        <v>159.18</v>
      </c>
      <c r="G39" s="1221">
        <v>917.18</v>
      </c>
      <c r="H39" s="1222">
        <v>44938</v>
      </c>
      <c r="I39" s="2120"/>
      <c r="J39" s="2196"/>
      <c r="K39" s="2296"/>
      <c r="L39" s="1042"/>
    </row>
    <row r="40" spans="1:12" ht="15">
      <c r="A40" s="1222">
        <v>44938</v>
      </c>
      <c r="B40" s="1215" t="s">
        <v>2518</v>
      </c>
      <c r="C40" s="1215" t="s">
        <v>3731</v>
      </c>
      <c r="D40" s="764" t="s">
        <v>3912</v>
      </c>
      <c r="E40" s="1221">
        <v>131.6</v>
      </c>
      <c r="F40" s="1221">
        <v>27.64</v>
      </c>
      <c r="G40" s="1221">
        <v>159.24</v>
      </c>
      <c r="H40" s="1222">
        <v>44939</v>
      </c>
      <c r="I40" s="2120"/>
      <c r="J40" s="2196"/>
      <c r="K40" s="2296"/>
      <c r="L40" s="1042"/>
    </row>
    <row r="41" spans="1:12" ht="15">
      <c r="A41" s="1222">
        <v>44938</v>
      </c>
      <c r="B41" s="1215" t="s">
        <v>2518</v>
      </c>
      <c r="C41" s="1215" t="s">
        <v>3731</v>
      </c>
      <c r="D41" s="764" t="s">
        <v>3913</v>
      </c>
      <c r="E41" s="1221">
        <v>79</v>
      </c>
      <c r="F41" s="1221">
        <v>16.59</v>
      </c>
      <c r="G41" s="1221">
        <v>95.59</v>
      </c>
      <c r="H41" s="1222">
        <v>44939</v>
      </c>
      <c r="I41" s="2120"/>
      <c r="J41" s="2196"/>
      <c r="K41" s="2296"/>
      <c r="L41" s="1042"/>
    </row>
    <row r="42" spans="1:12" ht="15">
      <c r="A42" s="1222">
        <v>44939</v>
      </c>
      <c r="B42" s="1215" t="s">
        <v>2518</v>
      </c>
      <c r="C42" s="1215" t="s">
        <v>3731</v>
      </c>
      <c r="D42" s="764" t="s">
        <v>3914</v>
      </c>
      <c r="E42" s="1221">
        <v>316</v>
      </c>
      <c r="F42" s="1221">
        <v>66.36</v>
      </c>
      <c r="G42" s="1221">
        <v>382.36</v>
      </c>
      <c r="H42" s="1222">
        <v>44940</v>
      </c>
      <c r="I42" s="2120"/>
      <c r="J42" s="2196"/>
      <c r="K42" s="2296"/>
      <c r="L42" s="1042"/>
    </row>
    <row r="43" spans="1:12" ht="15">
      <c r="A43" s="1222">
        <v>44939</v>
      </c>
      <c r="B43" s="1215" t="s">
        <v>2518</v>
      </c>
      <c r="C43" s="1215" t="s">
        <v>3731</v>
      </c>
      <c r="D43" s="764" t="s">
        <v>3915</v>
      </c>
      <c r="E43" s="1221">
        <v>38</v>
      </c>
      <c r="F43" s="1221">
        <v>7.98</v>
      </c>
      <c r="G43" s="1221">
        <v>45.98</v>
      </c>
      <c r="H43" s="1222">
        <v>44940</v>
      </c>
      <c r="I43" s="2120"/>
      <c r="J43" s="2196"/>
      <c r="K43" s="2296"/>
      <c r="L43" s="1042"/>
    </row>
    <row r="44" spans="1:12" ht="15">
      <c r="A44" s="1222">
        <v>44939</v>
      </c>
      <c r="B44" s="1215" t="s">
        <v>2518</v>
      </c>
      <c r="C44" s="1215" t="s">
        <v>3731</v>
      </c>
      <c r="D44" s="764" t="s">
        <v>3916</v>
      </c>
      <c r="E44" s="1221">
        <v>19.2</v>
      </c>
      <c r="F44" s="1221">
        <v>4.03</v>
      </c>
      <c r="G44" s="1221">
        <v>23.23</v>
      </c>
      <c r="H44" s="1222">
        <v>44940</v>
      </c>
      <c r="I44" s="2120"/>
      <c r="J44" s="2196"/>
      <c r="K44" s="2296"/>
      <c r="L44" s="1042"/>
    </row>
    <row r="45" spans="1:12" ht="15">
      <c r="A45" s="1222">
        <v>44939</v>
      </c>
      <c r="B45" s="1215" t="s">
        <v>2518</v>
      </c>
      <c r="C45" s="1215" t="s">
        <v>3731</v>
      </c>
      <c r="D45" s="764" t="s">
        <v>3917</v>
      </c>
      <c r="E45" s="1221">
        <v>218.16</v>
      </c>
      <c r="F45" s="1221">
        <v>45.81</v>
      </c>
      <c r="G45" s="1221">
        <v>263.97000000000003</v>
      </c>
      <c r="H45" s="1222">
        <v>44940</v>
      </c>
      <c r="I45" s="2120"/>
      <c r="J45" s="2196"/>
      <c r="K45" s="2296"/>
      <c r="L45" s="1042"/>
    </row>
    <row r="46" spans="1:12" ht="15">
      <c r="A46" s="1222">
        <v>44939</v>
      </c>
      <c r="B46" s="1215" t="s">
        <v>2518</v>
      </c>
      <c r="C46" s="1215" t="s">
        <v>3731</v>
      </c>
      <c r="D46" s="764" t="s">
        <v>3918</v>
      </c>
      <c r="E46" s="1221">
        <v>12.16</v>
      </c>
      <c r="F46" s="1221">
        <v>2.5499999999999998</v>
      </c>
      <c r="G46" s="1221">
        <v>14.71</v>
      </c>
      <c r="H46" s="1222">
        <v>44940</v>
      </c>
      <c r="I46" s="2120"/>
      <c r="J46" s="2196"/>
      <c r="K46" s="2296"/>
      <c r="L46" s="1042"/>
    </row>
    <row r="47" spans="1:12" ht="15">
      <c r="A47" s="1222">
        <v>44942</v>
      </c>
      <c r="B47" s="1215" t="s">
        <v>2518</v>
      </c>
      <c r="C47" s="1215" t="s">
        <v>3731</v>
      </c>
      <c r="D47" s="764" t="s">
        <v>3979</v>
      </c>
      <c r="E47" s="1221">
        <v>606.4</v>
      </c>
      <c r="F47" s="1221">
        <v>127.34</v>
      </c>
      <c r="G47" s="1221">
        <v>733.74</v>
      </c>
      <c r="H47" s="1222">
        <v>44943</v>
      </c>
      <c r="I47" s="2120"/>
      <c r="J47" s="2196"/>
      <c r="K47" s="2296"/>
      <c r="L47" s="1042"/>
    </row>
    <row r="48" spans="1:12" ht="15">
      <c r="A48" s="1222">
        <v>44944</v>
      </c>
      <c r="B48" s="1215" t="s">
        <v>2518</v>
      </c>
      <c r="C48" s="1215" t="s">
        <v>3731</v>
      </c>
      <c r="D48" s="764" t="s">
        <v>3980</v>
      </c>
      <c r="E48" s="1221">
        <v>38.68</v>
      </c>
      <c r="F48" s="1221">
        <v>8.1199999999999992</v>
      </c>
      <c r="G48" s="1221">
        <v>46.8</v>
      </c>
      <c r="H48" s="1222">
        <v>44945</v>
      </c>
      <c r="I48" s="2120"/>
      <c r="J48" s="2196"/>
      <c r="K48" s="2296"/>
      <c r="L48" s="1082"/>
    </row>
    <row r="49" spans="1:12" ht="15">
      <c r="A49" s="1222">
        <v>44945</v>
      </c>
      <c r="B49" s="1215" t="s">
        <v>2518</v>
      </c>
      <c r="C49" s="1215" t="s">
        <v>3731</v>
      </c>
      <c r="D49" s="764" t="s">
        <v>3981</v>
      </c>
      <c r="E49" s="1221">
        <v>10.56</v>
      </c>
      <c r="F49" s="1221">
        <v>2.2200000000000002</v>
      </c>
      <c r="G49" s="1221">
        <v>12.78</v>
      </c>
      <c r="H49" s="1222">
        <v>44946</v>
      </c>
      <c r="I49" s="2120"/>
      <c r="J49" s="2196"/>
      <c r="K49" s="2296"/>
      <c r="L49" s="1082"/>
    </row>
    <row r="50" spans="1:12" ht="15">
      <c r="A50" s="1222">
        <v>44949</v>
      </c>
      <c r="B50" s="1215" t="s">
        <v>2518</v>
      </c>
      <c r="C50" s="1215" t="s">
        <v>3731</v>
      </c>
      <c r="D50" s="764" t="s">
        <v>3982</v>
      </c>
      <c r="E50" s="1221">
        <v>12.16</v>
      </c>
      <c r="F50" s="1221">
        <v>2.5499999999999998</v>
      </c>
      <c r="G50" s="1221">
        <v>14.71</v>
      </c>
      <c r="H50" s="1222">
        <v>44950</v>
      </c>
      <c r="I50" s="2120"/>
      <c r="J50" s="2196"/>
      <c r="K50" s="2296"/>
      <c r="L50" s="1082"/>
    </row>
    <row r="51" spans="1:12" ht="15">
      <c r="A51" s="1222">
        <v>44950</v>
      </c>
      <c r="B51" s="1215" t="s">
        <v>2518</v>
      </c>
      <c r="C51" s="1215" t="s">
        <v>3731</v>
      </c>
      <c r="D51" s="764" t="s">
        <v>3984</v>
      </c>
      <c r="E51" s="1221">
        <v>64</v>
      </c>
      <c r="F51" s="1221">
        <v>13.44</v>
      </c>
      <c r="G51" s="1221">
        <v>77.44</v>
      </c>
      <c r="H51" s="1222">
        <v>44951</v>
      </c>
      <c r="I51" s="2120"/>
      <c r="J51" s="2196"/>
      <c r="K51" s="2296"/>
      <c r="L51" s="1082"/>
    </row>
    <row r="52" spans="1:12" ht="15">
      <c r="A52" s="1222">
        <v>44951</v>
      </c>
      <c r="B52" s="1215" t="s">
        <v>2518</v>
      </c>
      <c r="C52" s="1215" t="s">
        <v>3731</v>
      </c>
      <c r="D52" s="764" t="s">
        <v>3986</v>
      </c>
      <c r="E52" s="1221">
        <v>33.24</v>
      </c>
      <c r="F52" s="1221">
        <v>6.98</v>
      </c>
      <c r="G52" s="1221">
        <v>40.22</v>
      </c>
      <c r="H52" s="1222">
        <v>44952</v>
      </c>
      <c r="I52" s="2120"/>
      <c r="J52" s="2196"/>
      <c r="K52" s="2296"/>
      <c r="L52" s="1082"/>
    </row>
    <row r="53" spans="1:12" ht="15">
      <c r="A53" s="1222">
        <v>44952</v>
      </c>
      <c r="B53" s="1215" t="s">
        <v>2518</v>
      </c>
      <c r="C53" s="1215" t="s">
        <v>3731</v>
      </c>
      <c r="D53" s="764" t="s">
        <v>3987</v>
      </c>
      <c r="E53" s="1221">
        <v>156.80000000000001</v>
      </c>
      <c r="F53" s="1221">
        <v>32.93</v>
      </c>
      <c r="G53" s="1221">
        <v>189.73</v>
      </c>
      <c r="H53" s="1222">
        <v>44953</v>
      </c>
      <c r="I53" s="2120"/>
      <c r="J53" s="2196"/>
      <c r="K53" s="2296"/>
      <c r="L53" s="1082"/>
    </row>
    <row r="54" spans="1:12" ht="15">
      <c r="A54" s="1222">
        <v>44952</v>
      </c>
      <c r="B54" s="1215" t="s">
        <v>2518</v>
      </c>
      <c r="C54" s="1215" t="s">
        <v>3731</v>
      </c>
      <c r="D54" s="764" t="s">
        <v>3988</v>
      </c>
      <c r="E54" s="1221">
        <v>21.88</v>
      </c>
      <c r="F54" s="1221">
        <v>4.5999999999999996</v>
      </c>
      <c r="G54" s="1221">
        <v>26.47</v>
      </c>
      <c r="H54" s="1222">
        <v>44953</v>
      </c>
      <c r="I54" s="2120"/>
      <c r="J54" s="2196"/>
      <c r="K54" s="2296"/>
      <c r="L54" s="1042"/>
    </row>
    <row r="55" spans="1:12" ht="15">
      <c r="A55" s="1222">
        <v>44957.000497685185</v>
      </c>
      <c r="B55" s="1215" t="s">
        <v>2518</v>
      </c>
      <c r="C55" s="1215" t="s">
        <v>3731</v>
      </c>
      <c r="D55" s="764" t="s">
        <v>4034</v>
      </c>
      <c r="E55" s="1221">
        <v>6.36</v>
      </c>
      <c r="F55" s="1221">
        <v>1.34</v>
      </c>
      <c r="G55" s="1221">
        <v>7.7</v>
      </c>
      <c r="H55" s="1222">
        <v>44958</v>
      </c>
      <c r="I55" s="2120"/>
      <c r="J55" s="2196"/>
      <c r="K55" s="2296"/>
      <c r="L55" s="465"/>
    </row>
    <row r="56" spans="1:12" ht="15">
      <c r="A56" s="1222">
        <v>44958.000497685185</v>
      </c>
      <c r="B56" s="1215" t="s">
        <v>2518</v>
      </c>
      <c r="C56" s="1215" t="s">
        <v>3731</v>
      </c>
      <c r="D56" s="764" t="s">
        <v>4035</v>
      </c>
      <c r="E56" s="1221">
        <v>15.36</v>
      </c>
      <c r="F56" s="1221">
        <v>3.23</v>
      </c>
      <c r="G56" s="1221">
        <v>18.59</v>
      </c>
      <c r="H56" s="1222">
        <v>44958</v>
      </c>
      <c r="I56" s="2120"/>
      <c r="J56" s="2196"/>
      <c r="K56" s="2296"/>
      <c r="L56" s="465"/>
    </row>
    <row r="57" spans="1:12" ht="15">
      <c r="A57" s="1222">
        <v>44958.000497685185</v>
      </c>
      <c r="B57" s="1215" t="s">
        <v>2518</v>
      </c>
      <c r="C57" s="1215" t="s">
        <v>3731</v>
      </c>
      <c r="D57" s="764" t="s">
        <v>4036</v>
      </c>
      <c r="E57" s="1221">
        <v>151.19999999999999</v>
      </c>
      <c r="F57" s="1221">
        <v>31.75</v>
      </c>
      <c r="G57" s="1221">
        <v>182.95</v>
      </c>
      <c r="H57" s="1222">
        <v>44958</v>
      </c>
      <c r="I57" s="2082"/>
      <c r="J57" s="2194"/>
      <c r="K57" s="2297"/>
      <c r="L57" s="465"/>
    </row>
    <row r="58" spans="1:12" ht="15">
      <c r="A58" s="1266">
        <v>44960.000497685185</v>
      </c>
      <c r="B58" s="1258" t="s">
        <v>2518</v>
      </c>
      <c r="C58" s="1258" t="s">
        <v>3731</v>
      </c>
      <c r="D58" s="764" t="s">
        <v>4037</v>
      </c>
      <c r="E58" s="1265">
        <v>222.8</v>
      </c>
      <c r="F58" s="1265">
        <v>46.79</v>
      </c>
      <c r="G58" s="1265">
        <v>269.58999999999997</v>
      </c>
      <c r="H58" s="1266">
        <v>44958</v>
      </c>
      <c r="I58" s="2074">
        <v>1646.57</v>
      </c>
      <c r="J58" s="2193">
        <v>45008</v>
      </c>
      <c r="K58" s="2295" t="s">
        <v>4592</v>
      </c>
      <c r="L58" s="465"/>
    </row>
    <row r="59" spans="1:12" ht="15">
      <c r="A59" s="1266">
        <v>44960.000497685185</v>
      </c>
      <c r="B59" s="1258" t="s">
        <v>2518</v>
      </c>
      <c r="C59" s="1258" t="s">
        <v>3731</v>
      </c>
      <c r="D59" s="764" t="s">
        <v>4038</v>
      </c>
      <c r="E59" s="1265">
        <v>156.80000000000001</v>
      </c>
      <c r="F59" s="1265">
        <v>32.93</v>
      </c>
      <c r="G59" s="1265">
        <v>189.73</v>
      </c>
      <c r="H59" s="1266">
        <v>44958</v>
      </c>
      <c r="I59" s="2116"/>
      <c r="J59" s="2196"/>
      <c r="K59" s="2296"/>
      <c r="L59" s="465"/>
    </row>
    <row r="60" spans="1:12" ht="15">
      <c r="A60" s="1266">
        <v>44963.000497685185</v>
      </c>
      <c r="B60" s="1258" t="s">
        <v>2518</v>
      </c>
      <c r="C60" s="1258" t="s">
        <v>3731</v>
      </c>
      <c r="D60" s="764" t="s">
        <v>4084</v>
      </c>
      <c r="E60" s="1265">
        <v>64.16</v>
      </c>
      <c r="F60" s="1265">
        <v>13.47</v>
      </c>
      <c r="G60" s="1265">
        <v>77.63</v>
      </c>
      <c r="H60" s="1266">
        <v>44964.000497685185</v>
      </c>
      <c r="I60" s="2116"/>
      <c r="J60" s="2196"/>
      <c r="K60" s="2296"/>
      <c r="L60" s="465"/>
    </row>
    <row r="61" spans="1:12" ht="15">
      <c r="A61" s="1266">
        <v>44965.000497685185</v>
      </c>
      <c r="B61" s="1258" t="s">
        <v>2518</v>
      </c>
      <c r="C61" s="1258" t="s">
        <v>3731</v>
      </c>
      <c r="D61" s="764" t="s">
        <v>4061</v>
      </c>
      <c r="E61" s="1265">
        <v>119.76</v>
      </c>
      <c r="F61" s="1265">
        <v>25.15</v>
      </c>
      <c r="G61" s="1265">
        <v>144.91</v>
      </c>
      <c r="H61" s="1266">
        <v>44966.000497685185</v>
      </c>
      <c r="I61" s="2116"/>
      <c r="J61" s="2196"/>
      <c r="K61" s="2296"/>
      <c r="L61" s="465"/>
    </row>
    <row r="62" spans="1:12" ht="15">
      <c r="A62" s="1266">
        <v>44965.000497685185</v>
      </c>
      <c r="B62" s="1258" t="s">
        <v>2518</v>
      </c>
      <c r="C62" s="1258" t="s">
        <v>3731</v>
      </c>
      <c r="D62" s="764" t="s">
        <v>4062</v>
      </c>
      <c r="E62" s="1265">
        <v>66.8</v>
      </c>
      <c r="F62" s="1265">
        <v>14.03</v>
      </c>
      <c r="G62" s="1265">
        <v>80.83</v>
      </c>
      <c r="H62" s="1266">
        <v>44966.000497685185</v>
      </c>
      <c r="I62" s="2116"/>
      <c r="J62" s="2196"/>
      <c r="K62" s="2296"/>
      <c r="L62" s="465"/>
    </row>
    <row r="63" spans="1:12" ht="15">
      <c r="A63" s="1266">
        <v>44965.000497685185</v>
      </c>
      <c r="B63" s="1258" t="s">
        <v>2518</v>
      </c>
      <c r="C63" s="1258" t="s">
        <v>3731</v>
      </c>
      <c r="D63" s="764" t="s">
        <v>4063</v>
      </c>
      <c r="E63" s="1265">
        <v>177.48</v>
      </c>
      <c r="F63" s="1265">
        <v>37.270000000000003</v>
      </c>
      <c r="G63" s="1265">
        <v>214.75</v>
      </c>
      <c r="H63" s="1266">
        <v>44966.000497685185</v>
      </c>
      <c r="I63" s="2116"/>
      <c r="J63" s="2196"/>
      <c r="K63" s="2296"/>
      <c r="L63" s="465"/>
    </row>
    <row r="64" spans="1:12" ht="15">
      <c r="A64" s="1266">
        <v>44966.000497685185</v>
      </c>
      <c r="B64" s="1258" t="s">
        <v>2518</v>
      </c>
      <c r="C64" s="1258" t="s">
        <v>3731</v>
      </c>
      <c r="D64" s="764" t="s">
        <v>4064</v>
      </c>
      <c r="E64" s="1265">
        <v>316</v>
      </c>
      <c r="F64" s="1265">
        <v>66.36</v>
      </c>
      <c r="G64" s="1265">
        <v>382.36</v>
      </c>
      <c r="H64" s="1266">
        <v>44967.000497685185</v>
      </c>
      <c r="I64" s="2116"/>
      <c r="J64" s="2196"/>
      <c r="K64" s="2296"/>
      <c r="L64" s="465"/>
    </row>
    <row r="65" spans="1:12" ht="15">
      <c r="A65" s="1266">
        <v>44971</v>
      </c>
      <c r="B65" s="1258" t="s">
        <v>2518</v>
      </c>
      <c r="C65" s="1258" t="s">
        <v>3731</v>
      </c>
      <c r="D65" s="764" t="s">
        <v>4185</v>
      </c>
      <c r="E65" s="1265">
        <v>237</v>
      </c>
      <c r="F65" s="1265">
        <v>49.77</v>
      </c>
      <c r="G65" s="1265">
        <v>286.77</v>
      </c>
      <c r="H65" s="1266">
        <v>44972</v>
      </c>
      <c r="I65" s="2075"/>
      <c r="J65" s="2194"/>
      <c r="K65" s="2297"/>
      <c r="L65" s="465"/>
    </row>
    <row r="66" spans="1:12" ht="15">
      <c r="A66" s="1331">
        <v>45006</v>
      </c>
      <c r="B66" s="1321" t="s">
        <v>2518</v>
      </c>
      <c r="C66" s="1321" t="s">
        <v>3731</v>
      </c>
      <c r="D66" s="764" t="s">
        <v>4564</v>
      </c>
      <c r="E66" s="1330">
        <v>20.64</v>
      </c>
      <c r="F66" s="1330">
        <v>4.33</v>
      </c>
      <c r="G66" s="1330">
        <v>24.97</v>
      </c>
      <c r="H66" s="1331">
        <v>45007</v>
      </c>
      <c r="I66" s="2074">
        <v>891.58</v>
      </c>
      <c r="J66" s="2193">
        <v>45036</v>
      </c>
      <c r="K66" s="2295" t="s">
        <v>4843</v>
      </c>
      <c r="L66" s="465"/>
    </row>
    <row r="67" spans="1:12" ht="15">
      <c r="A67" s="1331">
        <v>45006</v>
      </c>
      <c r="B67" s="1321" t="s">
        <v>2518</v>
      </c>
      <c r="C67" s="1321" t="s">
        <v>3731</v>
      </c>
      <c r="D67" s="764" t="s">
        <v>4565</v>
      </c>
      <c r="E67" s="1330">
        <v>272</v>
      </c>
      <c r="F67" s="1330">
        <v>57.12</v>
      </c>
      <c r="G67" s="1330">
        <v>329.12</v>
      </c>
      <c r="H67" s="1331">
        <v>45007</v>
      </c>
      <c r="I67" s="2116"/>
      <c r="J67" s="2196"/>
      <c r="K67" s="2296"/>
      <c r="L67" s="465"/>
    </row>
    <row r="68" spans="1:12" ht="15">
      <c r="A68" s="1331">
        <v>45007</v>
      </c>
      <c r="B68" s="1321" t="s">
        <v>2518</v>
      </c>
      <c r="C68" s="1321" t="s">
        <v>3731</v>
      </c>
      <c r="D68" s="764" t="s">
        <v>4566</v>
      </c>
      <c r="E68" s="1330">
        <v>28.8</v>
      </c>
      <c r="F68" s="1330">
        <v>6.05</v>
      </c>
      <c r="G68" s="1330">
        <v>34.85</v>
      </c>
      <c r="H68" s="1331">
        <v>45008</v>
      </c>
      <c r="I68" s="2116"/>
      <c r="J68" s="2196"/>
      <c r="K68" s="2296"/>
      <c r="L68" s="465"/>
    </row>
    <row r="69" spans="1:12" ht="15">
      <c r="A69" s="1331">
        <v>45007</v>
      </c>
      <c r="B69" s="1321" t="s">
        <v>2518</v>
      </c>
      <c r="C69" s="1321" t="s">
        <v>3731</v>
      </c>
      <c r="D69" s="764" t="s">
        <v>4567</v>
      </c>
      <c r="E69" s="1330">
        <v>330</v>
      </c>
      <c r="F69" s="1330">
        <v>69.3</v>
      </c>
      <c r="G69" s="1330">
        <v>399.3</v>
      </c>
      <c r="H69" s="1331">
        <v>45008</v>
      </c>
      <c r="I69" s="2116"/>
      <c r="J69" s="2196"/>
      <c r="K69" s="2296"/>
      <c r="L69" s="465"/>
    </row>
    <row r="70" spans="1:12" ht="15">
      <c r="A70" s="1331">
        <v>45008</v>
      </c>
      <c r="B70" s="1321" t="s">
        <v>2518</v>
      </c>
      <c r="C70" s="1321" t="s">
        <v>3731</v>
      </c>
      <c r="D70" s="764" t="s">
        <v>4568</v>
      </c>
      <c r="E70" s="1330">
        <v>13.48</v>
      </c>
      <c r="F70" s="1330">
        <v>2.83</v>
      </c>
      <c r="G70" s="1330">
        <v>16.309999999999999</v>
      </c>
      <c r="H70" s="1331">
        <v>45009</v>
      </c>
      <c r="I70" s="2116"/>
      <c r="J70" s="2196"/>
      <c r="K70" s="2296"/>
      <c r="L70" s="465"/>
    </row>
    <row r="71" spans="1:12" ht="15">
      <c r="A71" s="1331">
        <v>45009</v>
      </c>
      <c r="B71" s="1321" t="s">
        <v>2518</v>
      </c>
      <c r="C71" s="1321" t="s">
        <v>3731</v>
      </c>
      <c r="D71" s="764" t="s">
        <v>4569</v>
      </c>
      <c r="E71" s="1330">
        <v>13.6</v>
      </c>
      <c r="F71" s="1330">
        <v>2.86</v>
      </c>
      <c r="G71" s="1330">
        <v>16.46</v>
      </c>
      <c r="H71" s="1331">
        <v>45010</v>
      </c>
      <c r="I71" s="2116"/>
      <c r="J71" s="2196"/>
      <c r="K71" s="2296"/>
      <c r="L71" s="465"/>
    </row>
    <row r="72" spans="1:12" ht="15">
      <c r="A72" s="1331">
        <v>45012</v>
      </c>
      <c r="B72" s="1321" t="s">
        <v>2518</v>
      </c>
      <c r="C72" s="1321" t="s">
        <v>3731</v>
      </c>
      <c r="D72" s="764" t="s">
        <v>4649</v>
      </c>
      <c r="E72" s="1330">
        <v>58.32</v>
      </c>
      <c r="F72" s="1330">
        <v>12.25</v>
      </c>
      <c r="G72" s="1330">
        <v>70.569999999999993</v>
      </c>
      <c r="H72" s="1331">
        <v>45013</v>
      </c>
      <c r="I72" s="2075"/>
      <c r="J72" s="2194"/>
      <c r="K72" s="2297"/>
      <c r="L72" s="465"/>
    </row>
    <row r="73" spans="1:12" ht="15">
      <c r="A73" s="1701">
        <v>44973</v>
      </c>
      <c r="B73" s="1697" t="s">
        <v>2518</v>
      </c>
      <c r="C73" s="1697" t="s">
        <v>3731</v>
      </c>
      <c r="D73" s="764" t="s">
        <v>4186</v>
      </c>
      <c r="E73" s="1705">
        <v>51.4</v>
      </c>
      <c r="F73" s="1705">
        <v>10.79</v>
      </c>
      <c r="G73" s="1705">
        <v>62.19</v>
      </c>
      <c r="H73" s="1701">
        <v>44974</v>
      </c>
      <c r="I73" s="2074">
        <v>1940.07</v>
      </c>
      <c r="J73" s="2193">
        <v>45184</v>
      </c>
      <c r="K73" s="2295" t="s">
        <v>6068</v>
      </c>
      <c r="L73" s="465"/>
    </row>
    <row r="74" spans="1:12" ht="15">
      <c r="A74" s="1701">
        <v>44977</v>
      </c>
      <c r="B74" s="1697" t="s">
        <v>2518</v>
      </c>
      <c r="C74" s="1697" t="s">
        <v>3731</v>
      </c>
      <c r="D74" s="764" t="s">
        <v>4235</v>
      </c>
      <c r="E74" s="1705">
        <v>61.56</v>
      </c>
      <c r="F74" s="1705">
        <v>12.93</v>
      </c>
      <c r="G74" s="1705">
        <v>74.489999999999995</v>
      </c>
      <c r="H74" s="1701">
        <v>44978</v>
      </c>
      <c r="I74" s="2116"/>
      <c r="J74" s="2196"/>
      <c r="K74" s="2296"/>
      <c r="L74" s="465"/>
    </row>
    <row r="75" spans="1:12" ht="15">
      <c r="A75" s="1701">
        <v>44986</v>
      </c>
      <c r="B75" s="1697" t="s">
        <v>2518</v>
      </c>
      <c r="C75" s="1697" t="s">
        <v>3731</v>
      </c>
      <c r="D75" s="764" t="s">
        <v>4378</v>
      </c>
      <c r="E75" s="1705">
        <v>6</v>
      </c>
      <c r="F75" s="1705">
        <v>1.26</v>
      </c>
      <c r="G75" s="1705">
        <v>7.26</v>
      </c>
      <c r="H75" s="1701">
        <v>44987</v>
      </c>
      <c r="I75" s="2116"/>
      <c r="J75" s="2196"/>
      <c r="K75" s="2296"/>
      <c r="L75" s="465"/>
    </row>
    <row r="76" spans="1:12" ht="15">
      <c r="A76" s="1701">
        <v>44988</v>
      </c>
      <c r="B76" s="1697" t="s">
        <v>2518</v>
      </c>
      <c r="C76" s="1697" t="s">
        <v>3731</v>
      </c>
      <c r="D76" s="764" t="s">
        <v>4379</v>
      </c>
      <c r="E76" s="1705">
        <v>22</v>
      </c>
      <c r="F76" s="1705">
        <v>4.62</v>
      </c>
      <c r="G76" s="1705">
        <v>26.62</v>
      </c>
      <c r="H76" s="1701">
        <v>44989</v>
      </c>
      <c r="I76" s="2116"/>
      <c r="J76" s="2196"/>
      <c r="K76" s="2296"/>
      <c r="L76" s="465"/>
    </row>
    <row r="77" spans="1:12" ht="15">
      <c r="A77" s="1701">
        <v>44993</v>
      </c>
      <c r="B77" s="1697" t="s">
        <v>2518</v>
      </c>
      <c r="C77" s="1697" t="s">
        <v>3731</v>
      </c>
      <c r="D77" s="764" t="s">
        <v>4452</v>
      </c>
      <c r="E77" s="1705">
        <v>10.039999999999999</v>
      </c>
      <c r="F77" s="1705">
        <v>2.11</v>
      </c>
      <c r="G77" s="1705">
        <v>12.15</v>
      </c>
      <c r="H77" s="1701">
        <v>44993</v>
      </c>
      <c r="I77" s="2116"/>
      <c r="J77" s="2196"/>
      <c r="K77" s="2296"/>
      <c r="L77" s="465"/>
    </row>
    <row r="78" spans="1:12" ht="15">
      <c r="A78" s="1701">
        <v>44993</v>
      </c>
      <c r="B78" s="1697" t="s">
        <v>2518</v>
      </c>
      <c r="C78" s="1697" t="s">
        <v>3731</v>
      </c>
      <c r="D78" s="764" t="s">
        <v>4453</v>
      </c>
      <c r="E78" s="1705">
        <v>56.88</v>
      </c>
      <c r="F78" s="1705">
        <v>11.95</v>
      </c>
      <c r="G78" s="1705">
        <v>68.819999999999993</v>
      </c>
      <c r="H78" s="1701">
        <v>44993</v>
      </c>
      <c r="I78" s="2116"/>
      <c r="J78" s="2196"/>
      <c r="K78" s="2296"/>
      <c r="L78" s="465"/>
    </row>
    <row r="79" spans="1:12" ht="15">
      <c r="A79" s="1701">
        <v>44993</v>
      </c>
      <c r="B79" s="1697" t="s">
        <v>2518</v>
      </c>
      <c r="C79" s="1697" t="s">
        <v>3731</v>
      </c>
      <c r="D79" s="764" t="s">
        <v>4454</v>
      </c>
      <c r="E79" s="1705">
        <v>99.68</v>
      </c>
      <c r="F79" s="1705">
        <v>20.93</v>
      </c>
      <c r="G79" s="1705">
        <v>120.61</v>
      </c>
      <c r="H79" s="1701">
        <v>44993</v>
      </c>
      <c r="I79" s="2116"/>
      <c r="J79" s="2196"/>
      <c r="K79" s="2296"/>
      <c r="L79" s="465"/>
    </row>
    <row r="80" spans="1:12" ht="15">
      <c r="A80" s="1701">
        <v>44994</v>
      </c>
      <c r="B80" s="1697" t="s">
        <v>2518</v>
      </c>
      <c r="C80" s="1697" t="s">
        <v>3731</v>
      </c>
      <c r="D80" s="764" t="s">
        <v>4455</v>
      </c>
      <c r="E80" s="1705">
        <v>79.680000000000007</v>
      </c>
      <c r="F80" s="1705">
        <v>16.73</v>
      </c>
      <c r="G80" s="1705">
        <v>96.41</v>
      </c>
      <c r="H80" s="1701">
        <v>44994</v>
      </c>
      <c r="I80" s="2116"/>
      <c r="J80" s="2196"/>
      <c r="K80" s="2296"/>
      <c r="L80" s="465"/>
    </row>
    <row r="81" spans="1:12" ht="15">
      <c r="A81" s="1701">
        <v>44999</v>
      </c>
      <c r="B81" s="1697" t="s">
        <v>2518</v>
      </c>
      <c r="C81" s="1697" t="s">
        <v>3731</v>
      </c>
      <c r="D81" s="764" t="s">
        <v>4509</v>
      </c>
      <c r="E81" s="1705">
        <v>132.52000000000001</v>
      </c>
      <c r="F81" s="1705">
        <v>27.83</v>
      </c>
      <c r="G81" s="1705">
        <v>160.35</v>
      </c>
      <c r="H81" s="1701">
        <v>45000</v>
      </c>
      <c r="I81" s="2116"/>
      <c r="J81" s="2196"/>
      <c r="K81" s="2296"/>
      <c r="L81" s="465"/>
    </row>
    <row r="82" spans="1:12" ht="15">
      <c r="A82" s="1701">
        <v>45000</v>
      </c>
      <c r="B82" s="1697" t="s">
        <v>2518</v>
      </c>
      <c r="C82" s="1697" t="s">
        <v>3731</v>
      </c>
      <c r="D82" s="764" t="s">
        <v>4510</v>
      </c>
      <c r="E82" s="1705">
        <v>10.88</v>
      </c>
      <c r="F82" s="1705">
        <v>2.29</v>
      </c>
      <c r="G82" s="1705">
        <v>13.16</v>
      </c>
      <c r="H82" s="1701">
        <v>45001</v>
      </c>
      <c r="I82" s="2116"/>
      <c r="J82" s="2196"/>
      <c r="K82" s="2296"/>
      <c r="L82" s="465"/>
    </row>
    <row r="83" spans="1:12" ht="15">
      <c r="A83" s="1701">
        <v>45000</v>
      </c>
      <c r="B83" s="1697" t="s">
        <v>2518</v>
      </c>
      <c r="C83" s="1697" t="s">
        <v>3731</v>
      </c>
      <c r="D83" s="764" t="s">
        <v>4511</v>
      </c>
      <c r="E83" s="1705">
        <v>58.4</v>
      </c>
      <c r="F83" s="1705">
        <v>12.26</v>
      </c>
      <c r="G83" s="1705">
        <v>70.66</v>
      </c>
      <c r="H83" s="1701">
        <v>45001</v>
      </c>
      <c r="I83" s="2116"/>
      <c r="J83" s="2196"/>
      <c r="K83" s="2296"/>
      <c r="L83" s="465"/>
    </row>
    <row r="84" spans="1:12" ht="15">
      <c r="A84" s="1701">
        <v>45000</v>
      </c>
      <c r="B84" s="1697" t="s">
        <v>2518</v>
      </c>
      <c r="C84" s="1697" t="s">
        <v>3731</v>
      </c>
      <c r="D84" s="764" t="s">
        <v>4512</v>
      </c>
      <c r="E84" s="1705">
        <v>109.2</v>
      </c>
      <c r="F84" s="1705">
        <v>22.93</v>
      </c>
      <c r="G84" s="1705">
        <v>132.13</v>
      </c>
      <c r="H84" s="1701">
        <v>45001</v>
      </c>
      <c r="I84" s="2116"/>
      <c r="J84" s="2196"/>
      <c r="K84" s="2296"/>
      <c r="L84" s="465"/>
    </row>
    <row r="85" spans="1:12" ht="15">
      <c r="A85" s="1701">
        <v>45000</v>
      </c>
      <c r="B85" s="1697" t="s">
        <v>2518</v>
      </c>
      <c r="C85" s="1697" t="s">
        <v>3731</v>
      </c>
      <c r="D85" s="764" t="s">
        <v>4513</v>
      </c>
      <c r="E85" s="1705">
        <v>126.92</v>
      </c>
      <c r="F85" s="1705">
        <v>26.65</v>
      </c>
      <c r="G85" s="1705">
        <v>153.57</v>
      </c>
      <c r="H85" s="1701">
        <v>45001</v>
      </c>
      <c r="I85" s="2116"/>
      <c r="J85" s="2196"/>
      <c r="K85" s="2296"/>
      <c r="L85" s="465"/>
    </row>
    <row r="86" spans="1:12" ht="15">
      <c r="A86" s="1701">
        <v>45014</v>
      </c>
      <c r="B86" s="1697" t="s">
        <v>2518</v>
      </c>
      <c r="C86" s="1697" t="s">
        <v>3731</v>
      </c>
      <c r="D86" s="764" t="s">
        <v>4650</v>
      </c>
      <c r="E86" s="1705">
        <v>76.319999999999993</v>
      </c>
      <c r="F86" s="1705">
        <v>16.03</v>
      </c>
      <c r="G86" s="1705">
        <v>92.35</v>
      </c>
      <c r="H86" s="1701">
        <v>45015</v>
      </c>
      <c r="I86" s="2116"/>
      <c r="J86" s="2196"/>
      <c r="K86" s="2296"/>
      <c r="L86" s="465"/>
    </row>
    <row r="87" spans="1:12" ht="15">
      <c r="A87" s="1701">
        <v>45026.000497685185</v>
      </c>
      <c r="B87" s="1697" t="s">
        <v>2518</v>
      </c>
      <c r="C87" s="1697" t="s">
        <v>3731</v>
      </c>
      <c r="D87" s="764" t="s">
        <v>4731</v>
      </c>
      <c r="E87" s="1705">
        <v>11.16</v>
      </c>
      <c r="F87" s="1705">
        <v>2.34</v>
      </c>
      <c r="G87" s="1705">
        <v>13.5</v>
      </c>
      <c r="H87" s="1701">
        <v>45027</v>
      </c>
      <c r="I87" s="2116"/>
      <c r="J87" s="2196"/>
      <c r="K87" s="2296"/>
      <c r="L87" s="465"/>
    </row>
    <row r="88" spans="1:12" ht="15">
      <c r="A88" s="1701">
        <v>45026.000497685185</v>
      </c>
      <c r="B88" s="1697" t="s">
        <v>2518</v>
      </c>
      <c r="C88" s="1697" t="s">
        <v>3731</v>
      </c>
      <c r="D88" s="764" t="s">
        <v>4732</v>
      </c>
      <c r="E88" s="1705">
        <v>307.2</v>
      </c>
      <c r="F88" s="1705">
        <v>64.510000000000005</v>
      </c>
      <c r="G88" s="1705">
        <v>371.71</v>
      </c>
      <c r="H88" s="1701">
        <v>45027</v>
      </c>
      <c r="I88" s="2116"/>
      <c r="J88" s="2196"/>
      <c r="K88" s="2296"/>
      <c r="L88" s="465"/>
    </row>
    <row r="89" spans="1:12" ht="15">
      <c r="A89" s="1701">
        <v>45027.000497685185</v>
      </c>
      <c r="B89" s="1697" t="s">
        <v>2518</v>
      </c>
      <c r="C89" s="1697" t="s">
        <v>3731</v>
      </c>
      <c r="D89" s="764" t="s">
        <v>4733</v>
      </c>
      <c r="E89" s="1705">
        <v>3991.2</v>
      </c>
      <c r="F89" s="1705">
        <v>838.15</v>
      </c>
      <c r="G89" s="1705">
        <v>4829.3500000000004</v>
      </c>
      <c r="H89" s="1701">
        <v>45028</v>
      </c>
      <c r="I89" s="2116"/>
      <c r="J89" s="2196"/>
      <c r="K89" s="2296"/>
      <c r="L89" s="465"/>
    </row>
    <row r="90" spans="1:12" ht="15">
      <c r="A90" s="1701">
        <v>45184</v>
      </c>
      <c r="B90" s="1697" t="s">
        <v>2518</v>
      </c>
      <c r="C90" s="1697" t="s">
        <v>3731</v>
      </c>
      <c r="D90" s="764" t="s">
        <v>6051</v>
      </c>
      <c r="E90" s="1705">
        <v>-3607.65</v>
      </c>
      <c r="F90" s="1705">
        <v>-757.61</v>
      </c>
      <c r="G90" s="1705">
        <v>-4365.26</v>
      </c>
      <c r="H90" s="1701">
        <v>45185.000497685185</v>
      </c>
      <c r="I90" s="2075"/>
      <c r="J90" s="2194"/>
      <c r="K90" s="2297"/>
      <c r="L90" s="465" t="s">
        <v>6053</v>
      </c>
    </row>
    <row r="91" spans="1:12" ht="15">
      <c r="A91" s="1701">
        <v>45034</v>
      </c>
      <c r="B91" s="1697" t="s">
        <v>2518</v>
      </c>
      <c r="C91" s="1697" t="s">
        <v>3731</v>
      </c>
      <c r="D91" s="764" t="s">
        <v>4829</v>
      </c>
      <c r="E91" s="1705">
        <v>476</v>
      </c>
      <c r="F91" s="1705">
        <v>99.96</v>
      </c>
      <c r="G91" s="1705">
        <v>575.96</v>
      </c>
      <c r="H91" s="1701">
        <v>45035</v>
      </c>
      <c r="I91" s="2081">
        <v>17256.34</v>
      </c>
      <c r="J91" s="2193">
        <v>45183</v>
      </c>
      <c r="K91" s="2295" t="s">
        <v>6068</v>
      </c>
      <c r="L91" s="465"/>
    </row>
    <row r="92" spans="1:12" ht="15">
      <c r="A92" s="1701">
        <v>45034</v>
      </c>
      <c r="B92" s="1697" t="s">
        <v>2518</v>
      </c>
      <c r="C92" s="1697" t="s">
        <v>3731</v>
      </c>
      <c r="D92" s="764" t="s">
        <v>4830</v>
      </c>
      <c r="E92" s="1705">
        <v>26.6</v>
      </c>
      <c r="F92" s="1705">
        <v>5.59</v>
      </c>
      <c r="G92" s="1705">
        <v>32.19</v>
      </c>
      <c r="H92" s="1701">
        <v>45035</v>
      </c>
      <c r="I92" s="2120"/>
      <c r="J92" s="2196"/>
      <c r="K92" s="2296"/>
      <c r="L92" s="465"/>
    </row>
    <row r="93" spans="1:12" ht="15">
      <c r="A93" s="1701">
        <v>45036</v>
      </c>
      <c r="B93" s="1697" t="s">
        <v>2518</v>
      </c>
      <c r="C93" s="1697" t="s">
        <v>3731</v>
      </c>
      <c r="D93" s="764" t="s">
        <v>4831</v>
      </c>
      <c r="E93" s="1705">
        <v>8.44</v>
      </c>
      <c r="F93" s="1705">
        <v>1.77</v>
      </c>
      <c r="G93" s="1705">
        <v>10.210000000000001</v>
      </c>
      <c r="H93" s="1701">
        <v>45037</v>
      </c>
      <c r="I93" s="2120"/>
      <c r="J93" s="2196"/>
      <c r="K93" s="2296"/>
      <c r="L93" s="465"/>
    </row>
    <row r="94" spans="1:12" ht="15">
      <c r="A94" s="1701">
        <v>45040</v>
      </c>
      <c r="B94" s="1697" t="s">
        <v>2518</v>
      </c>
      <c r="C94" s="1697" t="s">
        <v>3731</v>
      </c>
      <c r="D94" s="764" t="s">
        <v>4882</v>
      </c>
      <c r="E94" s="1705">
        <v>254.12</v>
      </c>
      <c r="F94" s="1705">
        <v>53.37</v>
      </c>
      <c r="G94" s="1705">
        <v>307.49</v>
      </c>
      <c r="H94" s="1701">
        <v>45041</v>
      </c>
      <c r="I94" s="2120"/>
      <c r="J94" s="2196"/>
      <c r="K94" s="2296"/>
      <c r="L94" s="465"/>
    </row>
    <row r="95" spans="1:12" ht="15">
      <c r="A95" s="1701">
        <v>45042</v>
      </c>
      <c r="B95" s="1697" t="s">
        <v>2518</v>
      </c>
      <c r="C95" s="1697" t="s">
        <v>3731</v>
      </c>
      <c r="D95" s="764" t="s">
        <v>4883</v>
      </c>
      <c r="E95" s="1705">
        <v>67.72</v>
      </c>
      <c r="F95" s="1705">
        <v>14.22</v>
      </c>
      <c r="G95" s="1705">
        <v>81.94</v>
      </c>
      <c r="H95" s="1701">
        <v>45043</v>
      </c>
      <c r="I95" s="2120"/>
      <c r="J95" s="2196"/>
      <c r="K95" s="2296"/>
      <c r="L95" s="465"/>
    </row>
    <row r="96" spans="1:12" ht="15">
      <c r="A96" s="1701">
        <v>45043</v>
      </c>
      <c r="B96" s="1697" t="s">
        <v>2518</v>
      </c>
      <c r="C96" s="1697" t="s">
        <v>3731</v>
      </c>
      <c r="D96" s="764" t="s">
        <v>4884</v>
      </c>
      <c r="E96" s="1705">
        <v>83.84</v>
      </c>
      <c r="F96" s="1705">
        <v>17.61</v>
      </c>
      <c r="G96" s="1705">
        <v>101.45</v>
      </c>
      <c r="H96" s="1701">
        <v>45044</v>
      </c>
      <c r="I96" s="2120"/>
      <c r="J96" s="2196"/>
      <c r="K96" s="2296"/>
      <c r="L96" s="465"/>
    </row>
    <row r="97" spans="1:12" ht="15">
      <c r="A97" s="1701">
        <v>45043</v>
      </c>
      <c r="B97" s="1697" t="s">
        <v>2518</v>
      </c>
      <c r="C97" s="1697" t="s">
        <v>3731</v>
      </c>
      <c r="D97" s="764" t="s">
        <v>4885</v>
      </c>
      <c r="E97" s="1705">
        <v>316.8</v>
      </c>
      <c r="F97" s="1705">
        <v>66.53</v>
      </c>
      <c r="G97" s="1705">
        <v>383.33</v>
      </c>
      <c r="H97" s="1701">
        <v>45044</v>
      </c>
      <c r="I97" s="2120"/>
      <c r="J97" s="2196"/>
      <c r="K97" s="2296"/>
      <c r="L97" s="465"/>
    </row>
    <row r="98" spans="1:12" ht="15">
      <c r="A98" s="1701">
        <v>45043</v>
      </c>
      <c r="B98" s="1697" t="s">
        <v>2518</v>
      </c>
      <c r="C98" s="1697" t="s">
        <v>3731</v>
      </c>
      <c r="D98" s="764" t="s">
        <v>4886</v>
      </c>
      <c r="E98" s="1705">
        <v>4.5999999999999996</v>
      </c>
      <c r="F98" s="1705">
        <v>0.97</v>
      </c>
      <c r="G98" s="1705">
        <v>5.57</v>
      </c>
      <c r="H98" s="1701">
        <v>45044</v>
      </c>
      <c r="I98" s="2120"/>
      <c r="J98" s="2196"/>
      <c r="K98" s="2296"/>
      <c r="L98" s="465"/>
    </row>
    <row r="99" spans="1:12" ht="15">
      <c r="A99" s="1701">
        <v>45054</v>
      </c>
      <c r="B99" s="1697" t="s">
        <v>2518</v>
      </c>
      <c r="C99" s="1697" t="s">
        <v>3731</v>
      </c>
      <c r="D99" s="764" t="s">
        <v>4992</v>
      </c>
      <c r="E99" s="1705">
        <v>51.6</v>
      </c>
      <c r="F99" s="1705">
        <v>10.84</v>
      </c>
      <c r="G99" s="1705">
        <v>62.44</v>
      </c>
      <c r="H99" s="1701">
        <v>45055</v>
      </c>
      <c r="I99" s="2120"/>
      <c r="J99" s="2196"/>
      <c r="K99" s="2296"/>
      <c r="L99" s="465"/>
    </row>
    <row r="100" spans="1:12" ht="15">
      <c r="A100" s="1701">
        <v>45055</v>
      </c>
      <c r="B100" s="1697" t="s">
        <v>2518</v>
      </c>
      <c r="C100" s="1697" t="s">
        <v>3731</v>
      </c>
      <c r="D100" s="764" t="s">
        <v>4993</v>
      </c>
      <c r="E100" s="1705">
        <v>24</v>
      </c>
      <c r="F100" s="1705">
        <v>5.04</v>
      </c>
      <c r="G100" s="1705">
        <v>29.04</v>
      </c>
      <c r="H100" s="1701">
        <v>45056</v>
      </c>
      <c r="I100" s="2120"/>
      <c r="J100" s="2196"/>
      <c r="K100" s="2296"/>
      <c r="L100" s="465"/>
    </row>
    <row r="101" spans="1:12" ht="15">
      <c r="A101" s="1701">
        <v>45055</v>
      </c>
      <c r="B101" s="1697" t="s">
        <v>2518</v>
      </c>
      <c r="C101" s="1697" t="s">
        <v>3731</v>
      </c>
      <c r="D101" s="764" t="s">
        <v>4994</v>
      </c>
      <c r="E101" s="1705">
        <v>112.32</v>
      </c>
      <c r="F101" s="1705">
        <v>23.59</v>
      </c>
      <c r="G101" s="1705">
        <v>135.91</v>
      </c>
      <c r="H101" s="1701">
        <v>45056</v>
      </c>
      <c r="I101" s="2120"/>
      <c r="J101" s="2196"/>
      <c r="K101" s="2296"/>
      <c r="L101" s="465"/>
    </row>
    <row r="102" spans="1:12" ht="15">
      <c r="A102" s="1701">
        <v>45065</v>
      </c>
      <c r="B102" s="1697" t="s">
        <v>2518</v>
      </c>
      <c r="C102" s="1697" t="s">
        <v>3731</v>
      </c>
      <c r="D102" s="764" t="s">
        <v>5119</v>
      </c>
      <c r="E102" s="1705">
        <v>232</v>
      </c>
      <c r="F102" s="1705">
        <v>48.72</v>
      </c>
      <c r="G102" s="1705">
        <v>280.72000000000003</v>
      </c>
      <c r="H102" s="1701">
        <v>45062</v>
      </c>
      <c r="I102" s="2120"/>
      <c r="J102" s="2196"/>
      <c r="K102" s="2296"/>
      <c r="L102" s="465"/>
    </row>
    <row r="103" spans="1:12" ht="15">
      <c r="A103" s="1701">
        <v>45065</v>
      </c>
      <c r="B103" s="1697" t="s">
        <v>2518</v>
      </c>
      <c r="C103" s="1697" t="s">
        <v>3731</v>
      </c>
      <c r="D103" s="764" t="s">
        <v>5120</v>
      </c>
      <c r="E103" s="1705">
        <v>64.599999999999994</v>
      </c>
      <c r="F103" s="1705">
        <v>13.57</v>
      </c>
      <c r="G103" s="1705">
        <v>78.17</v>
      </c>
      <c r="H103" s="1701">
        <v>45066</v>
      </c>
      <c r="I103" s="2120"/>
      <c r="J103" s="2196"/>
      <c r="K103" s="2296"/>
      <c r="L103" s="465"/>
    </row>
    <row r="104" spans="1:12" ht="15">
      <c r="A104" s="1701">
        <v>45068</v>
      </c>
      <c r="B104" s="1697" t="s">
        <v>2518</v>
      </c>
      <c r="C104" s="1697" t="s">
        <v>3731</v>
      </c>
      <c r="D104" s="764" t="s">
        <v>5220</v>
      </c>
      <c r="E104" s="1705">
        <v>1248</v>
      </c>
      <c r="F104" s="1705">
        <v>262.08</v>
      </c>
      <c r="G104" s="1705">
        <v>1510.08</v>
      </c>
      <c r="H104" s="1701">
        <v>45069</v>
      </c>
      <c r="I104" s="2120"/>
      <c r="J104" s="2196"/>
      <c r="K104" s="2296"/>
      <c r="L104" s="465"/>
    </row>
    <row r="105" spans="1:12" ht="15">
      <c r="A105" s="1701">
        <v>45069</v>
      </c>
      <c r="B105" s="1697" t="s">
        <v>2518</v>
      </c>
      <c r="C105" s="1697" t="s">
        <v>3731</v>
      </c>
      <c r="D105" s="764" t="s">
        <v>5221</v>
      </c>
      <c r="E105" s="1705">
        <v>14.72</v>
      </c>
      <c r="F105" s="1705">
        <v>3.09</v>
      </c>
      <c r="G105" s="1705">
        <v>17.809999999999999</v>
      </c>
      <c r="H105" s="1701">
        <v>45070</v>
      </c>
      <c r="I105" s="2120"/>
      <c r="J105" s="2196"/>
      <c r="K105" s="2296"/>
      <c r="L105" s="465"/>
    </row>
    <row r="106" spans="1:12" ht="15">
      <c r="A106" s="1701">
        <v>45071</v>
      </c>
      <c r="B106" s="1697" t="s">
        <v>2518</v>
      </c>
      <c r="C106" s="1697" t="s">
        <v>3731</v>
      </c>
      <c r="D106" s="764" t="s">
        <v>5222</v>
      </c>
      <c r="E106" s="1705">
        <v>449.88</v>
      </c>
      <c r="F106" s="1705">
        <v>94.48</v>
      </c>
      <c r="G106" s="1705">
        <v>544.35</v>
      </c>
      <c r="H106" s="1701">
        <v>45072</v>
      </c>
      <c r="I106" s="2120"/>
      <c r="J106" s="2196"/>
      <c r="K106" s="2296"/>
      <c r="L106" s="465"/>
    </row>
    <row r="107" spans="1:12" ht="15">
      <c r="A107" s="1701">
        <v>45071</v>
      </c>
      <c r="B107" s="1697" t="s">
        <v>2518</v>
      </c>
      <c r="C107" s="1697" t="s">
        <v>3731</v>
      </c>
      <c r="D107" s="764" t="s">
        <v>5223</v>
      </c>
      <c r="E107" s="1705">
        <v>26.08</v>
      </c>
      <c r="F107" s="1705">
        <v>5.48</v>
      </c>
      <c r="G107" s="1705">
        <v>31.56</v>
      </c>
      <c r="H107" s="1701">
        <v>45072</v>
      </c>
      <c r="I107" s="2120"/>
      <c r="J107" s="2196"/>
      <c r="K107" s="2296"/>
      <c r="L107" s="465"/>
    </row>
    <row r="108" spans="1:12" ht="15">
      <c r="A108" s="1701">
        <v>45071</v>
      </c>
      <c r="B108" s="1697" t="s">
        <v>2518</v>
      </c>
      <c r="C108" s="1697" t="s">
        <v>3731</v>
      </c>
      <c r="D108" s="764" t="s">
        <v>5224</v>
      </c>
      <c r="E108" s="1705">
        <v>172.12</v>
      </c>
      <c r="F108" s="1705">
        <v>36.15</v>
      </c>
      <c r="G108" s="1705">
        <v>208.27</v>
      </c>
      <c r="H108" s="1701">
        <v>45072</v>
      </c>
      <c r="I108" s="2120"/>
      <c r="J108" s="2196"/>
      <c r="K108" s="2296"/>
      <c r="L108" s="465"/>
    </row>
    <row r="109" spans="1:12" ht="15">
      <c r="A109" s="1701">
        <v>45075</v>
      </c>
      <c r="B109" s="1697" t="s">
        <v>2518</v>
      </c>
      <c r="C109" s="1697" t="s">
        <v>3731</v>
      </c>
      <c r="D109" s="764" t="s">
        <v>5283</v>
      </c>
      <c r="E109" s="1705">
        <v>11.6</v>
      </c>
      <c r="F109" s="1705">
        <v>2.44</v>
      </c>
      <c r="G109" s="1705">
        <v>14.04</v>
      </c>
      <c r="H109" s="1701">
        <v>45076</v>
      </c>
      <c r="I109" s="2120"/>
      <c r="J109" s="2196"/>
      <c r="K109" s="2296"/>
      <c r="L109" s="465"/>
    </row>
    <row r="110" spans="1:12" ht="15">
      <c r="A110" s="1701">
        <v>45076</v>
      </c>
      <c r="B110" s="1697" t="s">
        <v>2518</v>
      </c>
      <c r="C110" s="1697" t="s">
        <v>3731</v>
      </c>
      <c r="D110" s="764" t="s">
        <v>5284</v>
      </c>
      <c r="E110" s="1705">
        <v>6.12</v>
      </c>
      <c r="F110" s="1705">
        <v>1.29</v>
      </c>
      <c r="G110" s="1705">
        <v>7.41</v>
      </c>
      <c r="H110" s="1701">
        <v>45077</v>
      </c>
      <c r="I110" s="2120"/>
      <c r="J110" s="2196"/>
      <c r="K110" s="2296"/>
      <c r="L110" s="465"/>
    </row>
    <row r="111" spans="1:12" ht="15">
      <c r="A111" s="1701">
        <v>45076</v>
      </c>
      <c r="B111" s="1697" t="s">
        <v>2518</v>
      </c>
      <c r="C111" s="1697" t="s">
        <v>3731</v>
      </c>
      <c r="D111" s="764" t="s">
        <v>5285</v>
      </c>
      <c r="E111" s="1705">
        <v>14.4</v>
      </c>
      <c r="F111" s="1705">
        <v>3.02</v>
      </c>
      <c r="G111" s="1705">
        <v>17.420000000000002</v>
      </c>
      <c r="H111" s="1701">
        <v>45077</v>
      </c>
      <c r="I111" s="2120"/>
      <c r="J111" s="2196"/>
      <c r="K111" s="2296"/>
      <c r="L111" s="465"/>
    </row>
    <row r="112" spans="1:12" ht="15">
      <c r="A112" s="1701">
        <v>45077</v>
      </c>
      <c r="B112" s="1697" t="s">
        <v>2518</v>
      </c>
      <c r="C112" s="1697" t="s">
        <v>3731</v>
      </c>
      <c r="D112" s="764" t="s">
        <v>5286</v>
      </c>
      <c r="E112" s="1705">
        <v>46.08</v>
      </c>
      <c r="F112" s="1705">
        <v>9.68</v>
      </c>
      <c r="G112" s="1705">
        <v>55.76</v>
      </c>
      <c r="H112" s="1701">
        <v>45078</v>
      </c>
      <c r="I112" s="2120"/>
      <c r="J112" s="2196"/>
      <c r="K112" s="2296"/>
      <c r="L112" s="465"/>
    </row>
    <row r="113" spans="1:12" ht="15">
      <c r="A113" s="1701">
        <v>45082</v>
      </c>
      <c r="B113" s="1697" t="s">
        <v>2518</v>
      </c>
      <c r="C113" s="1697" t="s">
        <v>3731</v>
      </c>
      <c r="D113" s="764" t="s">
        <v>5337</v>
      </c>
      <c r="E113" s="1705">
        <v>200</v>
      </c>
      <c r="F113" s="1705">
        <v>42</v>
      </c>
      <c r="G113" s="1705">
        <v>242</v>
      </c>
      <c r="H113" s="1701">
        <v>45083</v>
      </c>
      <c r="I113" s="2120"/>
      <c r="J113" s="2196"/>
      <c r="K113" s="2296"/>
      <c r="L113" s="465"/>
    </row>
    <row r="114" spans="1:12" ht="15">
      <c r="A114" s="1701">
        <v>45083</v>
      </c>
      <c r="B114" s="1697" t="s">
        <v>2518</v>
      </c>
      <c r="C114" s="1697" t="s">
        <v>3731</v>
      </c>
      <c r="D114" s="764" t="s">
        <v>5338</v>
      </c>
      <c r="E114" s="1705">
        <v>76.48</v>
      </c>
      <c r="F114" s="1705">
        <v>16.059999999999999</v>
      </c>
      <c r="G114" s="1705">
        <v>92.54</v>
      </c>
      <c r="H114" s="1701">
        <v>45084</v>
      </c>
      <c r="I114" s="2120"/>
      <c r="J114" s="2196"/>
      <c r="K114" s="2296"/>
      <c r="L114" s="465"/>
    </row>
    <row r="115" spans="1:12" ht="15">
      <c r="A115" s="1701">
        <v>45083</v>
      </c>
      <c r="B115" s="1697" t="s">
        <v>2518</v>
      </c>
      <c r="C115" s="1697" t="s">
        <v>3731</v>
      </c>
      <c r="D115" s="764" t="s">
        <v>5339</v>
      </c>
      <c r="E115" s="1705">
        <v>4.3600000000000003</v>
      </c>
      <c r="F115" s="1705">
        <v>0.92</v>
      </c>
      <c r="G115" s="1705">
        <v>5.28</v>
      </c>
      <c r="H115" s="1701">
        <v>45084</v>
      </c>
      <c r="I115" s="2120"/>
      <c r="J115" s="2196"/>
      <c r="K115" s="2296"/>
      <c r="L115" s="465"/>
    </row>
    <row r="116" spans="1:12" ht="15">
      <c r="A116" s="1701">
        <v>45084</v>
      </c>
      <c r="B116" s="1697" t="s">
        <v>2518</v>
      </c>
      <c r="C116" s="1697" t="s">
        <v>3731</v>
      </c>
      <c r="D116" s="764" t="s">
        <v>5340</v>
      </c>
      <c r="E116" s="1705">
        <v>4.3600000000000003</v>
      </c>
      <c r="F116" s="1705">
        <v>0.92</v>
      </c>
      <c r="G116" s="1705">
        <v>5.28</v>
      </c>
      <c r="H116" s="1701">
        <v>45085</v>
      </c>
      <c r="I116" s="2120"/>
      <c r="J116" s="2196"/>
      <c r="K116" s="2296"/>
      <c r="L116" s="465"/>
    </row>
    <row r="117" spans="1:12" ht="15">
      <c r="A117" s="1701">
        <v>45085</v>
      </c>
      <c r="B117" s="1697" t="s">
        <v>2518</v>
      </c>
      <c r="C117" s="1697" t="s">
        <v>3731</v>
      </c>
      <c r="D117" s="764" t="s">
        <v>5341</v>
      </c>
      <c r="E117" s="1705">
        <v>87.6</v>
      </c>
      <c r="F117" s="1705">
        <v>18.399999999999999</v>
      </c>
      <c r="G117" s="1705">
        <v>106</v>
      </c>
      <c r="H117" s="1701">
        <v>45086</v>
      </c>
      <c r="I117" s="2120"/>
      <c r="J117" s="2196"/>
      <c r="K117" s="2296"/>
      <c r="L117" s="465"/>
    </row>
    <row r="118" spans="1:12" ht="15">
      <c r="A118" s="1701">
        <v>45085</v>
      </c>
      <c r="B118" s="1697" t="s">
        <v>2518</v>
      </c>
      <c r="C118" s="1697" t="s">
        <v>3731</v>
      </c>
      <c r="D118" s="764" t="s">
        <v>5342</v>
      </c>
      <c r="E118" s="1705">
        <v>11.16</v>
      </c>
      <c r="F118" s="1705">
        <v>2.34</v>
      </c>
      <c r="G118" s="1705">
        <v>13.5</v>
      </c>
      <c r="H118" s="1701">
        <v>45086</v>
      </c>
      <c r="I118" s="2120"/>
      <c r="J118" s="2196"/>
      <c r="K118" s="2296"/>
      <c r="L118" s="465"/>
    </row>
    <row r="119" spans="1:12" ht="15">
      <c r="A119" s="1701">
        <v>45085</v>
      </c>
      <c r="B119" s="1697" t="s">
        <v>2518</v>
      </c>
      <c r="C119" s="1697" t="s">
        <v>3731</v>
      </c>
      <c r="D119" s="764" t="s">
        <v>5343</v>
      </c>
      <c r="E119" s="1705">
        <v>77.239999999999995</v>
      </c>
      <c r="F119" s="1705">
        <v>16.22</v>
      </c>
      <c r="G119" s="1705">
        <v>93.46</v>
      </c>
      <c r="H119" s="1701">
        <v>45086</v>
      </c>
      <c r="I119" s="2120"/>
      <c r="J119" s="2196"/>
      <c r="K119" s="2296"/>
      <c r="L119" s="465"/>
    </row>
    <row r="120" spans="1:12" ht="15">
      <c r="A120" s="1701">
        <v>45090</v>
      </c>
      <c r="B120" s="1697" t="s">
        <v>2518</v>
      </c>
      <c r="C120" s="1697" t="s">
        <v>3731</v>
      </c>
      <c r="D120" s="764" t="s">
        <v>5391</v>
      </c>
      <c r="E120" s="1705">
        <v>214.4</v>
      </c>
      <c r="F120" s="1705">
        <v>45.02</v>
      </c>
      <c r="G120" s="1705">
        <v>259.42</v>
      </c>
      <c r="H120" s="1701">
        <v>45091</v>
      </c>
      <c r="I120" s="2120"/>
      <c r="J120" s="2196"/>
      <c r="K120" s="2296"/>
      <c r="L120" s="465"/>
    </row>
    <row r="121" spans="1:12" ht="15">
      <c r="A121" s="1701">
        <v>45091</v>
      </c>
      <c r="B121" s="1697" t="s">
        <v>2518</v>
      </c>
      <c r="C121" s="1697" t="s">
        <v>3731</v>
      </c>
      <c r="D121" s="764" t="s">
        <v>5392</v>
      </c>
      <c r="E121" s="1705">
        <v>82.88</v>
      </c>
      <c r="F121" s="1705">
        <v>17.41</v>
      </c>
      <c r="G121" s="1705">
        <v>100.28</v>
      </c>
      <c r="H121" s="1701">
        <v>45092</v>
      </c>
      <c r="I121" s="2120"/>
      <c r="J121" s="2196"/>
      <c r="K121" s="2296"/>
      <c r="L121" s="465"/>
    </row>
    <row r="122" spans="1:12" ht="15">
      <c r="A122" s="1701">
        <v>45092</v>
      </c>
      <c r="B122" s="1697" t="s">
        <v>2518</v>
      </c>
      <c r="C122" s="1697" t="s">
        <v>3731</v>
      </c>
      <c r="D122" s="764" t="s">
        <v>5393</v>
      </c>
      <c r="E122" s="1705">
        <v>3.16</v>
      </c>
      <c r="F122" s="1705">
        <v>0.66</v>
      </c>
      <c r="G122" s="1705">
        <v>3.82</v>
      </c>
      <c r="H122" s="1701">
        <v>45093</v>
      </c>
      <c r="I122" s="2120"/>
      <c r="J122" s="2196"/>
      <c r="K122" s="2296"/>
      <c r="L122" s="465"/>
    </row>
    <row r="123" spans="1:12" ht="15">
      <c r="A123" s="1701">
        <v>45092</v>
      </c>
      <c r="B123" s="1697" t="s">
        <v>2518</v>
      </c>
      <c r="C123" s="1697" t="s">
        <v>3731</v>
      </c>
      <c r="D123" s="764" t="s">
        <v>5394</v>
      </c>
      <c r="E123" s="1705">
        <v>348.28</v>
      </c>
      <c r="F123" s="1705">
        <v>73.14</v>
      </c>
      <c r="G123" s="1705">
        <v>421.42</v>
      </c>
      <c r="H123" s="1701">
        <v>45093</v>
      </c>
      <c r="I123" s="2120"/>
      <c r="J123" s="2196"/>
      <c r="K123" s="2296"/>
      <c r="L123" s="465"/>
    </row>
    <row r="124" spans="1:12" ht="15">
      <c r="A124" s="1701">
        <v>45096</v>
      </c>
      <c r="B124" s="1697" t="s">
        <v>2518</v>
      </c>
      <c r="C124" s="1697" t="s">
        <v>3731</v>
      </c>
      <c r="D124" s="764" t="s">
        <v>5437</v>
      </c>
      <c r="E124" s="1705">
        <v>34</v>
      </c>
      <c r="F124" s="1705">
        <v>7.14</v>
      </c>
      <c r="G124" s="1705">
        <v>41.14</v>
      </c>
      <c r="H124" s="1701">
        <v>45097</v>
      </c>
      <c r="I124" s="2120"/>
      <c r="J124" s="2196"/>
      <c r="K124" s="2296"/>
      <c r="L124" s="465"/>
    </row>
    <row r="125" spans="1:12" ht="15">
      <c r="A125" s="1701">
        <v>45096</v>
      </c>
      <c r="B125" s="1697" t="s">
        <v>2518</v>
      </c>
      <c r="C125" s="1697" t="s">
        <v>3731</v>
      </c>
      <c r="D125" s="764" t="s">
        <v>5438</v>
      </c>
      <c r="E125" s="1705">
        <v>38.56</v>
      </c>
      <c r="F125" s="1705">
        <v>8.1</v>
      </c>
      <c r="G125" s="1705">
        <v>46.66</v>
      </c>
      <c r="H125" s="1701">
        <v>45097</v>
      </c>
      <c r="I125" s="2120"/>
      <c r="J125" s="2196"/>
      <c r="K125" s="2296"/>
      <c r="L125" s="465"/>
    </row>
    <row r="126" spans="1:12" ht="15">
      <c r="A126" s="1701">
        <v>45097</v>
      </c>
      <c r="B126" s="1697" t="s">
        <v>2518</v>
      </c>
      <c r="C126" s="1697" t="s">
        <v>3731</v>
      </c>
      <c r="D126" s="764" t="s">
        <v>5439</v>
      </c>
      <c r="E126" s="1705">
        <v>231.6</v>
      </c>
      <c r="F126" s="1705">
        <v>48.64</v>
      </c>
      <c r="G126" s="1705">
        <v>280.24</v>
      </c>
      <c r="H126" s="1701">
        <v>45098</v>
      </c>
      <c r="I126" s="2120"/>
      <c r="J126" s="2196"/>
      <c r="K126" s="2296"/>
      <c r="L126" s="465"/>
    </row>
    <row r="127" spans="1:12" ht="15">
      <c r="A127" s="1701">
        <v>45097</v>
      </c>
      <c r="B127" s="1697" t="s">
        <v>2518</v>
      </c>
      <c r="C127" s="1697" t="s">
        <v>3731</v>
      </c>
      <c r="D127" s="764" t="s">
        <v>5440</v>
      </c>
      <c r="E127" s="1705">
        <v>907.2</v>
      </c>
      <c r="F127" s="1705">
        <v>190.51</v>
      </c>
      <c r="G127" s="1705">
        <v>1097.71</v>
      </c>
      <c r="H127" s="1701">
        <v>45098</v>
      </c>
      <c r="I127" s="2120"/>
      <c r="J127" s="2196"/>
      <c r="K127" s="2296"/>
      <c r="L127" s="465"/>
    </row>
    <row r="128" spans="1:12" ht="15">
      <c r="A128" s="1701">
        <v>45097</v>
      </c>
      <c r="B128" s="1697" t="s">
        <v>2518</v>
      </c>
      <c r="C128" s="1697" t="s">
        <v>3731</v>
      </c>
      <c r="D128" s="764" t="s">
        <v>5441</v>
      </c>
      <c r="E128" s="1705">
        <v>270.32</v>
      </c>
      <c r="F128" s="1705">
        <v>56.77</v>
      </c>
      <c r="G128" s="1705">
        <v>327.08999999999997</v>
      </c>
      <c r="H128" s="1701">
        <v>45098</v>
      </c>
      <c r="I128" s="2120"/>
      <c r="J128" s="2196"/>
      <c r="K128" s="2296"/>
      <c r="L128" s="465"/>
    </row>
    <row r="129" spans="1:12" ht="15">
      <c r="A129" s="1701">
        <v>45098</v>
      </c>
      <c r="B129" s="1697" t="s">
        <v>2518</v>
      </c>
      <c r="C129" s="1697" t="s">
        <v>3731</v>
      </c>
      <c r="D129" s="764" t="s">
        <v>5442</v>
      </c>
      <c r="E129" s="1705">
        <v>28.56</v>
      </c>
      <c r="F129" s="1705">
        <v>6</v>
      </c>
      <c r="G129" s="1705">
        <v>34.56</v>
      </c>
      <c r="H129" s="1701">
        <v>45099</v>
      </c>
      <c r="I129" s="2120"/>
      <c r="J129" s="2196"/>
      <c r="K129" s="2296"/>
      <c r="L129" s="465"/>
    </row>
    <row r="130" spans="1:12" ht="15">
      <c r="A130" s="1701">
        <v>45098</v>
      </c>
      <c r="B130" s="1697" t="s">
        <v>2518</v>
      </c>
      <c r="C130" s="1697" t="s">
        <v>3731</v>
      </c>
      <c r="D130" s="764" t="s">
        <v>5443</v>
      </c>
      <c r="E130" s="1705">
        <v>15.2</v>
      </c>
      <c r="F130" s="1705">
        <v>3.19</v>
      </c>
      <c r="G130" s="1705">
        <v>18.39</v>
      </c>
      <c r="H130" s="1701">
        <v>45099</v>
      </c>
      <c r="I130" s="2120"/>
      <c r="J130" s="2196"/>
      <c r="K130" s="2296"/>
      <c r="L130" s="465"/>
    </row>
    <row r="131" spans="1:12" ht="15">
      <c r="A131" s="1701">
        <v>45098</v>
      </c>
      <c r="B131" s="1697" t="s">
        <v>2518</v>
      </c>
      <c r="C131" s="1697" t="s">
        <v>3731</v>
      </c>
      <c r="D131" s="764" t="s">
        <v>5444</v>
      </c>
      <c r="E131" s="1705">
        <v>7.92</v>
      </c>
      <c r="F131" s="1705">
        <v>1.66</v>
      </c>
      <c r="G131" s="1705">
        <v>9.58</v>
      </c>
      <c r="H131" s="1701">
        <v>45099</v>
      </c>
      <c r="I131" s="2120"/>
      <c r="J131" s="2196"/>
      <c r="K131" s="2296"/>
      <c r="L131" s="465"/>
    </row>
    <row r="132" spans="1:12" ht="15">
      <c r="A132" s="1701">
        <v>45098</v>
      </c>
      <c r="B132" s="1697" t="s">
        <v>2518</v>
      </c>
      <c r="C132" s="1697" t="s">
        <v>3731</v>
      </c>
      <c r="D132" s="764" t="s">
        <v>5445</v>
      </c>
      <c r="E132" s="1705">
        <v>489.6</v>
      </c>
      <c r="F132" s="1705">
        <v>102.82</v>
      </c>
      <c r="G132" s="1705">
        <v>592.41999999999996</v>
      </c>
      <c r="H132" s="1701">
        <v>45099</v>
      </c>
      <c r="I132" s="2120"/>
      <c r="J132" s="2196"/>
      <c r="K132" s="2296"/>
      <c r="L132" s="465"/>
    </row>
    <row r="133" spans="1:12" ht="15">
      <c r="A133" s="1701">
        <v>45103</v>
      </c>
      <c r="B133" s="1697" t="s">
        <v>2518</v>
      </c>
      <c r="C133" s="1697" t="s">
        <v>3731</v>
      </c>
      <c r="D133" s="764" t="s">
        <v>5503</v>
      </c>
      <c r="E133" s="1705">
        <v>7.92</v>
      </c>
      <c r="F133" s="1705">
        <v>1.66</v>
      </c>
      <c r="G133" s="1705">
        <v>9.58</v>
      </c>
      <c r="H133" s="1701">
        <v>45104</v>
      </c>
      <c r="I133" s="2120"/>
      <c r="J133" s="2196"/>
      <c r="K133" s="2296"/>
      <c r="L133" s="465"/>
    </row>
    <row r="134" spans="1:12" ht="15">
      <c r="A134" s="1701">
        <v>45103</v>
      </c>
      <c r="B134" s="1697" t="s">
        <v>2518</v>
      </c>
      <c r="C134" s="1697" t="s">
        <v>3731</v>
      </c>
      <c r="D134" s="764" t="s">
        <v>5504</v>
      </c>
      <c r="E134" s="1705">
        <v>7.12</v>
      </c>
      <c r="F134" s="1705">
        <v>1.5</v>
      </c>
      <c r="G134" s="1705">
        <v>8.6199999999999992</v>
      </c>
      <c r="H134" s="1701">
        <v>45104</v>
      </c>
      <c r="I134" s="2120"/>
      <c r="J134" s="2196"/>
      <c r="K134" s="2296"/>
      <c r="L134" s="465"/>
    </row>
    <row r="135" spans="1:12" ht="15">
      <c r="A135" s="1701">
        <v>45103</v>
      </c>
      <c r="B135" s="1697" t="s">
        <v>2518</v>
      </c>
      <c r="C135" s="1697" t="s">
        <v>3731</v>
      </c>
      <c r="D135" s="764" t="s">
        <v>5505</v>
      </c>
      <c r="E135" s="1705">
        <v>50.8</v>
      </c>
      <c r="F135" s="1705">
        <v>10.67</v>
      </c>
      <c r="G135" s="1705">
        <v>61.47</v>
      </c>
      <c r="H135" s="1701">
        <v>45104</v>
      </c>
      <c r="I135" s="2120"/>
      <c r="J135" s="2196"/>
      <c r="K135" s="2296"/>
      <c r="L135" s="465"/>
    </row>
    <row r="136" spans="1:12" ht="15">
      <c r="A136" s="1701">
        <v>45104</v>
      </c>
      <c r="B136" s="1697" t="s">
        <v>2518</v>
      </c>
      <c r="C136" s="1697" t="s">
        <v>3731</v>
      </c>
      <c r="D136" s="764" t="s">
        <v>5506</v>
      </c>
      <c r="E136" s="1705">
        <v>1744</v>
      </c>
      <c r="F136" s="1705">
        <v>366.24</v>
      </c>
      <c r="G136" s="1705">
        <v>2110.2399999999998</v>
      </c>
      <c r="H136" s="1701">
        <v>45105</v>
      </c>
      <c r="I136" s="2120"/>
      <c r="J136" s="2196"/>
      <c r="K136" s="2296"/>
      <c r="L136" s="465"/>
    </row>
    <row r="137" spans="1:12" ht="15">
      <c r="A137" s="1701">
        <v>45106</v>
      </c>
      <c r="B137" s="1697" t="s">
        <v>2518</v>
      </c>
      <c r="C137" s="1697" t="s">
        <v>3731</v>
      </c>
      <c r="D137" s="764" t="s">
        <v>5507</v>
      </c>
      <c r="E137" s="1705">
        <v>98.4</v>
      </c>
      <c r="F137" s="1705">
        <v>20.66</v>
      </c>
      <c r="G137" s="1705">
        <v>119.06</v>
      </c>
      <c r="H137" s="1701">
        <v>45107</v>
      </c>
      <c r="I137" s="2120"/>
      <c r="J137" s="2196"/>
      <c r="K137" s="2296"/>
      <c r="L137" s="465"/>
    </row>
    <row r="138" spans="1:12" ht="15">
      <c r="A138" s="1701">
        <v>45106</v>
      </c>
      <c r="B138" s="1697" t="s">
        <v>2518</v>
      </c>
      <c r="C138" s="1697" t="s">
        <v>3731</v>
      </c>
      <c r="D138" s="764" t="s">
        <v>5508</v>
      </c>
      <c r="E138" s="1705">
        <v>103.88</v>
      </c>
      <c r="F138" s="1705">
        <v>21.82</v>
      </c>
      <c r="G138" s="1705">
        <v>125.69</v>
      </c>
      <c r="H138" s="1701">
        <v>45107</v>
      </c>
      <c r="I138" s="2120"/>
      <c r="J138" s="2196"/>
      <c r="K138" s="2296"/>
      <c r="L138" s="465"/>
    </row>
    <row r="139" spans="1:12" ht="15">
      <c r="A139" s="1701">
        <v>45106</v>
      </c>
      <c r="B139" s="1697" t="s">
        <v>2518</v>
      </c>
      <c r="C139" s="1697" t="s">
        <v>3731</v>
      </c>
      <c r="D139" s="764" t="s">
        <v>5509</v>
      </c>
      <c r="E139" s="1705">
        <v>187.6</v>
      </c>
      <c r="F139" s="1705">
        <v>39.4</v>
      </c>
      <c r="G139" s="1705">
        <v>227</v>
      </c>
      <c r="H139" s="1701">
        <v>45107</v>
      </c>
      <c r="I139" s="2120"/>
      <c r="J139" s="2196"/>
      <c r="K139" s="2296"/>
      <c r="L139" s="465"/>
    </row>
    <row r="140" spans="1:12" ht="15">
      <c r="A140" s="1701">
        <v>45106</v>
      </c>
      <c r="B140" s="1697" t="s">
        <v>2518</v>
      </c>
      <c r="C140" s="1697" t="s">
        <v>3731</v>
      </c>
      <c r="D140" s="764" t="s">
        <v>5510</v>
      </c>
      <c r="E140" s="1705">
        <v>158</v>
      </c>
      <c r="F140" s="1705">
        <v>33.18</v>
      </c>
      <c r="G140" s="1705">
        <v>191.18</v>
      </c>
      <c r="H140" s="1701">
        <v>45107</v>
      </c>
      <c r="I140" s="2120"/>
      <c r="J140" s="2196"/>
      <c r="K140" s="2296"/>
      <c r="L140" s="465"/>
    </row>
    <row r="141" spans="1:12" ht="15">
      <c r="A141" s="1701">
        <v>45107</v>
      </c>
      <c r="B141" s="1697" t="s">
        <v>2518</v>
      </c>
      <c r="C141" s="1697" t="s">
        <v>3731</v>
      </c>
      <c r="D141" s="764" t="s">
        <v>5511</v>
      </c>
      <c r="E141" s="1705">
        <v>20.48</v>
      </c>
      <c r="F141" s="1705">
        <v>4.3</v>
      </c>
      <c r="G141" s="1705">
        <v>24.78</v>
      </c>
      <c r="H141" s="1701">
        <v>45108</v>
      </c>
      <c r="I141" s="2120"/>
      <c r="J141" s="2196"/>
      <c r="K141" s="2296"/>
      <c r="L141" s="465"/>
    </row>
    <row r="142" spans="1:12" ht="15">
      <c r="A142" s="1701">
        <v>45110</v>
      </c>
      <c r="B142" s="1697" t="s">
        <v>2518</v>
      </c>
      <c r="C142" s="1697" t="s">
        <v>3731</v>
      </c>
      <c r="D142" s="764" t="s">
        <v>5552</v>
      </c>
      <c r="E142" s="1705">
        <v>8.56</v>
      </c>
      <c r="F142" s="1705">
        <v>1.8</v>
      </c>
      <c r="G142" s="1705">
        <v>10.36</v>
      </c>
      <c r="H142" s="1701">
        <v>45111</v>
      </c>
      <c r="I142" s="2120"/>
      <c r="J142" s="2196"/>
      <c r="K142" s="2296"/>
      <c r="L142" s="465"/>
    </row>
    <row r="143" spans="1:12" ht="15">
      <c r="A143" s="1701">
        <v>45111</v>
      </c>
      <c r="B143" s="1697" t="s">
        <v>2518</v>
      </c>
      <c r="C143" s="1697" t="s">
        <v>3731</v>
      </c>
      <c r="D143" s="764" t="s">
        <v>5553</v>
      </c>
      <c r="E143" s="1705">
        <v>6.32</v>
      </c>
      <c r="F143" s="1705">
        <v>1.33</v>
      </c>
      <c r="G143" s="1705">
        <v>7.65</v>
      </c>
      <c r="H143" s="1701">
        <v>45112</v>
      </c>
      <c r="I143" s="2120"/>
      <c r="J143" s="2196"/>
      <c r="K143" s="2296"/>
      <c r="L143" s="465"/>
    </row>
    <row r="144" spans="1:12" ht="15">
      <c r="A144" s="1701">
        <v>45113</v>
      </c>
      <c r="B144" s="1697" t="s">
        <v>2518</v>
      </c>
      <c r="C144" s="1697" t="s">
        <v>3731</v>
      </c>
      <c r="D144" s="764" t="s">
        <v>5554</v>
      </c>
      <c r="E144" s="1705">
        <v>113</v>
      </c>
      <c r="F144" s="1705">
        <v>23.73</v>
      </c>
      <c r="G144" s="1705">
        <v>136.72999999999999</v>
      </c>
      <c r="H144" s="1701">
        <v>45114</v>
      </c>
      <c r="I144" s="2120"/>
      <c r="J144" s="2196"/>
      <c r="K144" s="2296"/>
      <c r="L144" s="465"/>
    </row>
    <row r="145" spans="1:12" ht="15">
      <c r="A145" s="1701">
        <v>45113</v>
      </c>
      <c r="B145" s="1697" t="s">
        <v>2518</v>
      </c>
      <c r="C145" s="1697" t="s">
        <v>3731</v>
      </c>
      <c r="D145" s="764" t="s">
        <v>5555</v>
      </c>
      <c r="E145" s="1705">
        <v>35.6</v>
      </c>
      <c r="F145" s="1705">
        <v>7.48</v>
      </c>
      <c r="G145" s="1705">
        <v>43.08</v>
      </c>
      <c r="H145" s="1701">
        <v>45114</v>
      </c>
      <c r="I145" s="2120"/>
      <c r="J145" s="2196"/>
      <c r="K145" s="2296"/>
      <c r="L145" s="465"/>
    </row>
    <row r="146" spans="1:12" ht="15">
      <c r="A146" s="1701">
        <v>45114</v>
      </c>
      <c r="B146" s="1697" t="s">
        <v>2518</v>
      </c>
      <c r="C146" s="1697" t="s">
        <v>3731</v>
      </c>
      <c r="D146" s="764" t="s">
        <v>5556</v>
      </c>
      <c r="E146" s="1705">
        <v>38.4</v>
      </c>
      <c r="F146" s="1705">
        <v>8.06</v>
      </c>
      <c r="G146" s="1705">
        <v>46.46</v>
      </c>
      <c r="H146" s="1701">
        <v>45115</v>
      </c>
      <c r="I146" s="2120"/>
      <c r="J146" s="2196"/>
      <c r="K146" s="2296"/>
      <c r="L146" s="465"/>
    </row>
    <row r="147" spans="1:12" ht="15">
      <c r="A147" s="1701">
        <v>45114</v>
      </c>
      <c r="B147" s="1697" t="s">
        <v>2518</v>
      </c>
      <c r="C147" s="1697" t="s">
        <v>3731</v>
      </c>
      <c r="D147" s="764" t="s">
        <v>5558</v>
      </c>
      <c r="E147" s="1705">
        <v>2.48</v>
      </c>
      <c r="F147" s="1705">
        <v>0.52</v>
      </c>
      <c r="G147" s="1705">
        <v>3</v>
      </c>
      <c r="H147" s="1701">
        <v>45115</v>
      </c>
      <c r="I147" s="2120"/>
      <c r="J147" s="2196"/>
      <c r="K147" s="2296"/>
      <c r="L147" s="465"/>
    </row>
    <row r="148" spans="1:12" ht="15">
      <c r="A148" s="1701">
        <v>45114</v>
      </c>
      <c r="B148" s="1697" t="s">
        <v>2518</v>
      </c>
      <c r="C148" s="1697" t="s">
        <v>3731</v>
      </c>
      <c r="D148" s="764" t="s">
        <v>5559</v>
      </c>
      <c r="E148" s="1705">
        <v>307.2</v>
      </c>
      <c r="F148" s="1705">
        <v>64.510000000000005</v>
      </c>
      <c r="G148" s="1705">
        <v>371.71</v>
      </c>
      <c r="H148" s="1701">
        <v>45115</v>
      </c>
      <c r="I148" s="2120"/>
      <c r="J148" s="2196"/>
      <c r="K148" s="2296"/>
      <c r="L148" s="465"/>
    </row>
    <row r="149" spans="1:12" ht="15">
      <c r="A149" s="2193">
        <v>45114</v>
      </c>
      <c r="B149" s="1903" t="s">
        <v>2518</v>
      </c>
      <c r="C149" s="1903" t="s">
        <v>3731</v>
      </c>
      <c r="D149" s="2298" t="s">
        <v>5557</v>
      </c>
      <c r="E149" s="2074">
        <v>6169.4</v>
      </c>
      <c r="F149" s="2074">
        <v>1295.57</v>
      </c>
      <c r="G149" s="1705">
        <v>5477.82</v>
      </c>
      <c r="H149" s="1701">
        <v>45115</v>
      </c>
      <c r="I149" s="2082"/>
      <c r="J149" s="2194"/>
      <c r="K149" s="2297"/>
      <c r="L149" s="465"/>
    </row>
    <row r="150" spans="1:12" ht="15">
      <c r="A150" s="2194"/>
      <c r="B150" s="1905"/>
      <c r="C150" s="1905"/>
      <c r="D150" s="2299"/>
      <c r="E150" s="2075"/>
      <c r="F150" s="2075"/>
      <c r="G150" s="1705">
        <f>7464.97-5477.82</f>
        <v>1987.1500000000005</v>
      </c>
      <c r="H150" s="1701">
        <v>45115</v>
      </c>
      <c r="I150" s="2114">
        <v>0</v>
      </c>
      <c r="J150" s="2193">
        <v>45184</v>
      </c>
      <c r="K150" s="2295" t="s">
        <v>6069</v>
      </c>
      <c r="L150" s="465"/>
    </row>
    <row r="151" spans="1:12" ht="15">
      <c r="A151" s="1701">
        <v>45121</v>
      </c>
      <c r="B151" s="1697" t="s">
        <v>2518</v>
      </c>
      <c r="C151" s="1697" t="s">
        <v>3731</v>
      </c>
      <c r="D151" s="764" t="s">
        <v>5592</v>
      </c>
      <c r="E151" s="1705">
        <v>3.84</v>
      </c>
      <c r="F151" s="1705">
        <v>0.81</v>
      </c>
      <c r="G151" s="1705">
        <v>4.6500000000000004</v>
      </c>
      <c r="H151" s="1701">
        <v>45122</v>
      </c>
      <c r="I151" s="2126"/>
      <c r="J151" s="2196"/>
      <c r="K151" s="2296"/>
      <c r="L151" s="465"/>
    </row>
    <row r="152" spans="1:12" ht="15">
      <c r="A152" s="1701">
        <v>45121</v>
      </c>
      <c r="B152" s="1697" t="s">
        <v>2518</v>
      </c>
      <c r="C152" s="1697" t="s">
        <v>3731</v>
      </c>
      <c r="D152" s="764" t="s">
        <v>5593</v>
      </c>
      <c r="E152" s="1705">
        <v>71</v>
      </c>
      <c r="F152" s="1705">
        <v>14.91</v>
      </c>
      <c r="G152" s="1705">
        <v>85.91</v>
      </c>
      <c r="H152" s="1701">
        <v>45122</v>
      </c>
      <c r="I152" s="2126"/>
      <c r="J152" s="2196"/>
      <c r="K152" s="2296"/>
      <c r="L152" s="465"/>
    </row>
    <row r="153" spans="1:12" ht="15">
      <c r="A153" s="1701">
        <v>45121</v>
      </c>
      <c r="B153" s="1697" t="s">
        <v>2518</v>
      </c>
      <c r="C153" s="1697" t="s">
        <v>3731</v>
      </c>
      <c r="D153" s="764" t="s">
        <v>5594</v>
      </c>
      <c r="E153" s="1705">
        <v>279.2</v>
      </c>
      <c r="F153" s="1705">
        <v>58.63</v>
      </c>
      <c r="G153" s="1705">
        <v>337.83</v>
      </c>
      <c r="H153" s="1701">
        <v>45122</v>
      </c>
      <c r="I153" s="2126"/>
      <c r="J153" s="2196"/>
      <c r="K153" s="2296"/>
      <c r="L153" s="465"/>
    </row>
    <row r="154" spans="1:12" ht="15">
      <c r="A154" s="1701">
        <v>45121</v>
      </c>
      <c r="B154" s="1697" t="s">
        <v>2518</v>
      </c>
      <c r="C154" s="1697" t="s">
        <v>3731</v>
      </c>
      <c r="D154" s="764" t="s">
        <v>5595</v>
      </c>
      <c r="E154" s="1705">
        <v>28.8</v>
      </c>
      <c r="F154" s="1705">
        <v>6.05</v>
      </c>
      <c r="G154" s="1705">
        <v>34.85</v>
      </c>
      <c r="H154" s="1701">
        <v>45122</v>
      </c>
      <c r="I154" s="2126"/>
      <c r="J154" s="2196"/>
      <c r="K154" s="2296"/>
      <c r="L154" s="465"/>
    </row>
    <row r="155" spans="1:12" ht="15">
      <c r="A155" s="1701">
        <v>45121</v>
      </c>
      <c r="B155" s="1697" t="s">
        <v>2518</v>
      </c>
      <c r="C155" s="1697" t="s">
        <v>3731</v>
      </c>
      <c r="D155" s="764" t="s">
        <v>5596</v>
      </c>
      <c r="E155" s="1705">
        <v>67.319999999999993</v>
      </c>
      <c r="F155" s="1705">
        <v>14.14</v>
      </c>
      <c r="G155" s="1705">
        <v>81.459999999999994</v>
      </c>
      <c r="H155" s="1701">
        <v>45122</v>
      </c>
      <c r="I155" s="2126"/>
      <c r="J155" s="2196"/>
      <c r="K155" s="2296"/>
      <c r="L155" s="465"/>
    </row>
    <row r="156" spans="1:12" ht="15">
      <c r="A156" s="1701">
        <v>45121</v>
      </c>
      <c r="B156" s="1697" t="s">
        <v>2518</v>
      </c>
      <c r="C156" s="1697" t="s">
        <v>3731</v>
      </c>
      <c r="D156" s="764" t="s">
        <v>5597</v>
      </c>
      <c r="E156" s="1705">
        <v>3469.6</v>
      </c>
      <c r="F156" s="1705">
        <v>728.62</v>
      </c>
      <c r="G156" s="1705">
        <v>4198.22</v>
      </c>
      <c r="H156" s="1701">
        <v>45122</v>
      </c>
      <c r="I156" s="2126"/>
      <c r="J156" s="2196"/>
      <c r="K156" s="2296"/>
      <c r="L156" s="465"/>
    </row>
    <row r="157" spans="1:12" ht="15">
      <c r="A157" s="1701">
        <v>45125</v>
      </c>
      <c r="B157" s="1697" t="s">
        <v>2518</v>
      </c>
      <c r="C157" s="1697" t="s">
        <v>3731</v>
      </c>
      <c r="D157" s="764" t="s">
        <v>5653</v>
      </c>
      <c r="E157" s="1705">
        <v>10.36</v>
      </c>
      <c r="F157" s="1705">
        <v>2.1800000000000002</v>
      </c>
      <c r="G157" s="1705">
        <v>12.54</v>
      </c>
      <c r="H157" s="1701">
        <v>45126</v>
      </c>
      <c r="I157" s="2126"/>
      <c r="J157" s="2196"/>
      <c r="K157" s="2296"/>
      <c r="L157" s="465"/>
    </row>
    <row r="158" spans="1:12" ht="15">
      <c r="A158" s="1701">
        <v>45128</v>
      </c>
      <c r="B158" s="1697" t="s">
        <v>2518</v>
      </c>
      <c r="C158" s="1697" t="s">
        <v>3731</v>
      </c>
      <c r="D158" s="764" t="s">
        <v>5654</v>
      </c>
      <c r="E158" s="1705">
        <v>201.6</v>
      </c>
      <c r="F158" s="1705">
        <v>42.34</v>
      </c>
      <c r="G158" s="1705">
        <v>243.94</v>
      </c>
      <c r="H158" s="1701">
        <v>45129</v>
      </c>
      <c r="I158" s="2126"/>
      <c r="J158" s="2196"/>
      <c r="K158" s="2296"/>
      <c r="L158" s="465"/>
    </row>
    <row r="159" spans="1:12" ht="15">
      <c r="A159" s="1701">
        <v>45132</v>
      </c>
      <c r="B159" s="1697" t="s">
        <v>2518</v>
      </c>
      <c r="C159" s="1697" t="s">
        <v>3731</v>
      </c>
      <c r="D159" s="764" t="s">
        <v>5692</v>
      </c>
      <c r="E159" s="1705">
        <v>18.36</v>
      </c>
      <c r="F159" s="1705">
        <v>3.86</v>
      </c>
      <c r="G159" s="1705">
        <v>22.22</v>
      </c>
      <c r="H159" s="1701">
        <v>45133</v>
      </c>
      <c r="I159" s="2126"/>
      <c r="J159" s="2196"/>
      <c r="K159" s="2296"/>
      <c r="L159" s="465"/>
    </row>
    <row r="160" spans="1:12" ht="15">
      <c r="A160" s="1701">
        <v>45132</v>
      </c>
      <c r="B160" s="1697" t="s">
        <v>2518</v>
      </c>
      <c r="C160" s="1697" t="s">
        <v>3731</v>
      </c>
      <c r="D160" s="764" t="s">
        <v>5693</v>
      </c>
      <c r="E160" s="1705">
        <v>8.7200000000000006</v>
      </c>
      <c r="F160" s="1705">
        <v>1.83</v>
      </c>
      <c r="G160" s="1705">
        <v>10.55</v>
      </c>
      <c r="H160" s="1701">
        <v>45133</v>
      </c>
      <c r="I160" s="2126"/>
      <c r="J160" s="2196"/>
      <c r="K160" s="2296"/>
      <c r="L160" s="465"/>
    </row>
    <row r="161" spans="1:12" ht="15">
      <c r="A161" s="1701">
        <v>45133</v>
      </c>
      <c r="B161" s="1697" t="s">
        <v>2518</v>
      </c>
      <c r="C161" s="1697" t="s">
        <v>3731</v>
      </c>
      <c r="D161" s="764" t="s">
        <v>5694</v>
      </c>
      <c r="E161" s="1705">
        <v>92.72</v>
      </c>
      <c r="F161" s="1705">
        <v>19.47</v>
      </c>
      <c r="G161" s="1705">
        <v>112.19</v>
      </c>
      <c r="H161" s="1701">
        <v>45134</v>
      </c>
      <c r="I161" s="2126"/>
      <c r="J161" s="2196"/>
      <c r="K161" s="2296"/>
      <c r="L161" s="465"/>
    </row>
    <row r="162" spans="1:12" ht="15">
      <c r="A162" s="1701">
        <v>45133</v>
      </c>
      <c r="B162" s="1697" t="s">
        <v>2518</v>
      </c>
      <c r="C162" s="1697" t="s">
        <v>3731</v>
      </c>
      <c r="D162" s="764" t="s">
        <v>5695</v>
      </c>
      <c r="E162" s="1705">
        <v>15.84</v>
      </c>
      <c r="F162" s="1705">
        <v>3.33</v>
      </c>
      <c r="G162" s="1705">
        <v>19.170000000000002</v>
      </c>
      <c r="H162" s="1701">
        <v>45134</v>
      </c>
      <c r="I162" s="2126"/>
      <c r="J162" s="2196"/>
      <c r="K162" s="2296"/>
      <c r="L162" s="465"/>
    </row>
    <row r="163" spans="1:12" ht="15">
      <c r="A163" s="1701">
        <v>45135</v>
      </c>
      <c r="B163" s="1697" t="s">
        <v>2518</v>
      </c>
      <c r="C163" s="1697" t="s">
        <v>3731</v>
      </c>
      <c r="D163" s="764" t="s">
        <v>5696</v>
      </c>
      <c r="E163" s="1705">
        <v>30.32</v>
      </c>
      <c r="F163" s="1705">
        <v>6.37</v>
      </c>
      <c r="G163" s="1705">
        <v>36.69</v>
      </c>
      <c r="H163" s="1701">
        <v>45136</v>
      </c>
      <c r="I163" s="2126"/>
      <c r="J163" s="2196"/>
      <c r="K163" s="2296"/>
      <c r="L163" s="465"/>
    </row>
    <row r="164" spans="1:12" ht="15">
      <c r="A164" s="1701">
        <v>45138</v>
      </c>
      <c r="B164" s="1697" t="s">
        <v>2518</v>
      </c>
      <c r="C164" s="1697" t="s">
        <v>3731</v>
      </c>
      <c r="D164" s="764" t="s">
        <v>5836</v>
      </c>
      <c r="E164" s="1705">
        <v>43.6</v>
      </c>
      <c r="F164" s="1705">
        <v>9.16</v>
      </c>
      <c r="G164" s="1705">
        <v>52.76</v>
      </c>
      <c r="H164" s="1701">
        <v>45139</v>
      </c>
      <c r="I164" s="2126"/>
      <c r="J164" s="2196"/>
      <c r="K164" s="2296"/>
      <c r="L164" s="465"/>
    </row>
    <row r="165" spans="1:12" ht="15">
      <c r="A165" s="1701">
        <v>45138</v>
      </c>
      <c r="B165" s="1697" t="s">
        <v>2518</v>
      </c>
      <c r="C165" s="1697" t="s">
        <v>3731</v>
      </c>
      <c r="D165" s="764" t="s">
        <v>5837</v>
      </c>
      <c r="E165" s="1705">
        <v>1087.04</v>
      </c>
      <c r="F165" s="1705">
        <v>228.28</v>
      </c>
      <c r="G165" s="1705">
        <v>1315.32</v>
      </c>
      <c r="H165" s="1701">
        <v>45139</v>
      </c>
      <c r="I165" s="2126"/>
      <c r="J165" s="2196"/>
      <c r="K165" s="2296"/>
      <c r="L165" s="465"/>
    </row>
    <row r="166" spans="1:12" ht="15">
      <c r="A166" s="1701">
        <v>45140</v>
      </c>
      <c r="B166" s="1697" t="s">
        <v>2518</v>
      </c>
      <c r="C166" s="1697" t="s">
        <v>3731</v>
      </c>
      <c r="D166" s="764" t="s">
        <v>5838</v>
      </c>
      <c r="E166" s="1705">
        <v>120.24</v>
      </c>
      <c r="F166" s="1705">
        <v>25.25</v>
      </c>
      <c r="G166" s="1705">
        <v>145.49</v>
      </c>
      <c r="H166" s="1701">
        <v>45141</v>
      </c>
      <c r="I166" s="2126"/>
      <c r="J166" s="2196"/>
      <c r="K166" s="2296"/>
      <c r="L166" s="465"/>
    </row>
    <row r="167" spans="1:12" ht="15">
      <c r="A167" s="1701">
        <v>45146</v>
      </c>
      <c r="B167" s="1697" t="s">
        <v>2518</v>
      </c>
      <c r="C167" s="1697" t="s">
        <v>3731</v>
      </c>
      <c r="D167" s="764" t="s">
        <v>5867</v>
      </c>
      <c r="E167" s="1705">
        <v>575.88</v>
      </c>
      <c r="F167" s="1705">
        <v>120.94</v>
      </c>
      <c r="G167" s="1705">
        <v>696.81</v>
      </c>
      <c r="H167" s="1701">
        <v>45147</v>
      </c>
      <c r="I167" s="2126"/>
      <c r="J167" s="2196"/>
      <c r="K167" s="2296"/>
      <c r="L167" s="465"/>
    </row>
    <row r="168" spans="1:12" ht="15">
      <c r="A168" s="1701">
        <v>45146</v>
      </c>
      <c r="B168" s="1697" t="s">
        <v>2518</v>
      </c>
      <c r="C168" s="1697" t="s">
        <v>3731</v>
      </c>
      <c r="D168" s="764" t="s">
        <v>5868</v>
      </c>
      <c r="E168" s="1705">
        <v>37.44</v>
      </c>
      <c r="F168" s="1705">
        <v>7.86</v>
      </c>
      <c r="G168" s="1705">
        <v>45.3</v>
      </c>
      <c r="H168" s="1701">
        <v>45147</v>
      </c>
      <c r="I168" s="2126"/>
      <c r="J168" s="2196"/>
      <c r="K168" s="2296"/>
      <c r="L168" s="465"/>
    </row>
    <row r="169" spans="1:12" ht="15">
      <c r="A169" s="1701">
        <v>45184</v>
      </c>
      <c r="B169" s="1697" t="s">
        <v>2518</v>
      </c>
      <c r="C169" s="1697" t="s">
        <v>3731</v>
      </c>
      <c r="D169" s="764" t="s">
        <v>6050</v>
      </c>
      <c r="E169" s="1705">
        <v>-7804.17</v>
      </c>
      <c r="F169" s="1705">
        <v>-1638.88</v>
      </c>
      <c r="G169" s="1705">
        <v>-9443.0499999999993</v>
      </c>
      <c r="H169" s="1701">
        <v>45185.000497685185</v>
      </c>
      <c r="I169" s="2115"/>
      <c r="J169" s="2194"/>
      <c r="K169" s="2297"/>
      <c r="L169" s="465" t="s">
        <v>6052</v>
      </c>
    </row>
    <row r="170" spans="1:12" ht="15">
      <c r="A170" s="1746">
        <v>45149</v>
      </c>
      <c r="B170" s="1738" t="s">
        <v>2518</v>
      </c>
      <c r="C170" s="1738" t="s">
        <v>3731</v>
      </c>
      <c r="D170" s="764" t="s">
        <v>5869</v>
      </c>
      <c r="E170" s="1753">
        <v>44.32</v>
      </c>
      <c r="F170" s="1753">
        <v>9.31</v>
      </c>
      <c r="G170" s="1753">
        <v>53.63</v>
      </c>
      <c r="H170" s="1746">
        <v>45150</v>
      </c>
      <c r="I170" s="2074">
        <v>430.27</v>
      </c>
      <c r="J170" s="2193">
        <v>45197</v>
      </c>
      <c r="K170" s="2295" t="s">
        <v>6271</v>
      </c>
      <c r="L170" s="465"/>
    </row>
    <row r="171" spans="1:12" ht="15">
      <c r="A171" s="1746">
        <v>45155</v>
      </c>
      <c r="B171" s="1738" t="s">
        <v>2518</v>
      </c>
      <c r="C171" s="1738" t="s">
        <v>3731</v>
      </c>
      <c r="D171" s="764" t="s">
        <v>5893</v>
      </c>
      <c r="E171" s="1753">
        <v>1.44</v>
      </c>
      <c r="F171" s="1753">
        <v>0.3</v>
      </c>
      <c r="G171" s="1753">
        <v>1.74</v>
      </c>
      <c r="H171" s="1746">
        <v>45156</v>
      </c>
      <c r="I171" s="2116"/>
      <c r="J171" s="2196"/>
      <c r="K171" s="2296"/>
      <c r="L171" s="465"/>
    </row>
    <row r="172" spans="1:12" ht="15">
      <c r="A172" s="1746">
        <v>45156</v>
      </c>
      <c r="B172" s="1738" t="s">
        <v>2518</v>
      </c>
      <c r="C172" s="1738" t="s">
        <v>3731</v>
      </c>
      <c r="D172" s="764" t="s">
        <v>5894</v>
      </c>
      <c r="E172" s="1753">
        <v>307.2</v>
      </c>
      <c r="F172" s="1753">
        <v>64.510000000000005</v>
      </c>
      <c r="G172" s="1753">
        <v>371.71</v>
      </c>
      <c r="H172" s="1746">
        <v>45157</v>
      </c>
      <c r="I172" s="2116"/>
      <c r="J172" s="2196"/>
      <c r="K172" s="2296"/>
      <c r="L172" s="465"/>
    </row>
    <row r="173" spans="1:12" ht="15">
      <c r="A173" s="1746">
        <v>45160</v>
      </c>
      <c r="B173" s="1738" t="s">
        <v>2518</v>
      </c>
      <c r="C173" s="1738" t="s">
        <v>3731</v>
      </c>
      <c r="D173" s="764" t="s">
        <v>5926</v>
      </c>
      <c r="E173" s="1753">
        <v>2.64</v>
      </c>
      <c r="F173" s="1753">
        <v>0.55000000000000004</v>
      </c>
      <c r="G173" s="1753">
        <v>3.19</v>
      </c>
      <c r="H173" s="1746">
        <v>45161</v>
      </c>
      <c r="I173" s="2075"/>
      <c r="J173" s="2194"/>
      <c r="K173" s="2297"/>
      <c r="L173" s="465"/>
    </row>
    <row r="174" spans="1:12" ht="15">
      <c r="A174" s="1771">
        <v>45173</v>
      </c>
      <c r="B174" s="1768" t="s">
        <v>2518</v>
      </c>
      <c r="C174" s="1768" t="s">
        <v>3731</v>
      </c>
      <c r="D174" s="764" t="s">
        <v>6006</v>
      </c>
      <c r="E174" s="1774">
        <v>220.6</v>
      </c>
      <c r="F174" s="1774">
        <v>46.33</v>
      </c>
      <c r="G174" s="1774">
        <v>266.93</v>
      </c>
      <c r="H174" s="1771">
        <v>45174</v>
      </c>
      <c r="I174" s="2081">
        <v>988.97</v>
      </c>
      <c r="J174" s="2193">
        <v>45206</v>
      </c>
      <c r="K174" s="2295" t="s">
        <v>6453</v>
      </c>
      <c r="L174" s="465"/>
    </row>
    <row r="175" spans="1:12" ht="15">
      <c r="A175" s="1771">
        <v>45173</v>
      </c>
      <c r="B175" s="1768" t="s">
        <v>2518</v>
      </c>
      <c r="C175" s="1768" t="s">
        <v>3731</v>
      </c>
      <c r="D175" s="764" t="s">
        <v>6007</v>
      </c>
      <c r="E175" s="1774">
        <v>55.8</v>
      </c>
      <c r="F175" s="1774">
        <v>11.72</v>
      </c>
      <c r="G175" s="1774">
        <v>67.52</v>
      </c>
      <c r="H175" s="1771">
        <v>45174</v>
      </c>
      <c r="I175" s="2120"/>
      <c r="J175" s="2196"/>
      <c r="K175" s="2296"/>
      <c r="L175" s="465"/>
    </row>
    <row r="176" spans="1:12" ht="15">
      <c r="A176" s="1771">
        <v>45173</v>
      </c>
      <c r="B176" s="1768" t="s">
        <v>2518</v>
      </c>
      <c r="C176" s="1768" t="s">
        <v>3731</v>
      </c>
      <c r="D176" s="764" t="s">
        <v>6008</v>
      </c>
      <c r="E176" s="1774">
        <v>19.600000000000001</v>
      </c>
      <c r="F176" s="1774">
        <v>4.12</v>
      </c>
      <c r="G176" s="1774">
        <v>23.72</v>
      </c>
      <c r="H176" s="1771">
        <v>45174</v>
      </c>
      <c r="I176" s="2120"/>
      <c r="J176" s="2196"/>
      <c r="K176" s="2296"/>
      <c r="L176" s="465"/>
    </row>
    <row r="177" spans="1:12" ht="15">
      <c r="A177" s="1771">
        <v>45174</v>
      </c>
      <c r="B177" s="1768" t="s">
        <v>2518</v>
      </c>
      <c r="C177" s="1768" t="s">
        <v>3731</v>
      </c>
      <c r="D177" s="764" t="s">
        <v>6009</v>
      </c>
      <c r="E177" s="1774">
        <v>216</v>
      </c>
      <c r="F177" s="1774">
        <v>45.36</v>
      </c>
      <c r="G177" s="1774">
        <v>261.36</v>
      </c>
      <c r="H177" s="1771">
        <v>45175</v>
      </c>
      <c r="I177" s="2120"/>
      <c r="J177" s="2196"/>
      <c r="K177" s="2296"/>
      <c r="L177" s="465"/>
    </row>
    <row r="178" spans="1:12" ht="15">
      <c r="A178" s="1771">
        <v>45174</v>
      </c>
      <c r="B178" s="1768" t="s">
        <v>2518</v>
      </c>
      <c r="C178" s="1768" t="s">
        <v>3731</v>
      </c>
      <c r="D178" s="764" t="s">
        <v>6010</v>
      </c>
      <c r="E178" s="1774">
        <v>15.84</v>
      </c>
      <c r="F178" s="1774">
        <v>3.33</v>
      </c>
      <c r="G178" s="1774">
        <v>19.170000000000002</v>
      </c>
      <c r="H178" s="1771">
        <v>45175</v>
      </c>
      <c r="I178" s="2120"/>
      <c r="J178" s="2196"/>
      <c r="K178" s="2296"/>
      <c r="L178" s="465"/>
    </row>
    <row r="179" spans="1:12" ht="15">
      <c r="A179" s="1771">
        <v>45174</v>
      </c>
      <c r="B179" s="1768" t="s">
        <v>2518</v>
      </c>
      <c r="C179" s="1768" t="s">
        <v>3731</v>
      </c>
      <c r="D179" s="764" t="s">
        <v>6011</v>
      </c>
      <c r="E179" s="1774">
        <v>188.8</v>
      </c>
      <c r="F179" s="1774">
        <v>39.65</v>
      </c>
      <c r="G179" s="1774">
        <v>228.45</v>
      </c>
      <c r="H179" s="1771">
        <v>45175</v>
      </c>
      <c r="I179" s="2120"/>
      <c r="J179" s="2196"/>
      <c r="K179" s="2296"/>
      <c r="L179" s="465"/>
    </row>
    <row r="180" spans="1:12" ht="15">
      <c r="A180" s="1771">
        <v>45176</v>
      </c>
      <c r="B180" s="1768" t="s">
        <v>2518</v>
      </c>
      <c r="C180" s="1768" t="s">
        <v>3731</v>
      </c>
      <c r="D180" s="764" t="s">
        <v>6012</v>
      </c>
      <c r="E180" s="1774">
        <v>21.6</v>
      </c>
      <c r="F180" s="1774">
        <v>4.54</v>
      </c>
      <c r="G180" s="1774">
        <v>26.14</v>
      </c>
      <c r="H180" s="1771">
        <v>45177</v>
      </c>
      <c r="I180" s="2120"/>
      <c r="J180" s="2196"/>
      <c r="K180" s="2296"/>
      <c r="L180" s="465"/>
    </row>
    <row r="181" spans="1:12" ht="15">
      <c r="A181" s="1771">
        <v>45182</v>
      </c>
      <c r="B181" s="1768" t="s">
        <v>2518</v>
      </c>
      <c r="C181" s="1768" t="s">
        <v>3731</v>
      </c>
      <c r="D181" s="764" t="s">
        <v>6047</v>
      </c>
      <c r="E181" s="1774">
        <v>33.880000000000003</v>
      </c>
      <c r="F181" s="1774">
        <v>7.12</v>
      </c>
      <c r="G181" s="1774">
        <v>40.99</v>
      </c>
      <c r="H181" s="1771">
        <v>45183.000497685185</v>
      </c>
      <c r="I181" s="2120"/>
      <c r="J181" s="2196"/>
      <c r="K181" s="2296"/>
      <c r="L181" s="465"/>
    </row>
    <row r="182" spans="1:12" ht="15">
      <c r="A182" s="1771">
        <v>45184</v>
      </c>
      <c r="B182" s="1768" t="s">
        <v>2518</v>
      </c>
      <c r="C182" s="1768" t="s">
        <v>3731</v>
      </c>
      <c r="D182" s="764" t="s">
        <v>6048</v>
      </c>
      <c r="E182" s="1774">
        <v>20</v>
      </c>
      <c r="F182" s="1774">
        <v>4.2</v>
      </c>
      <c r="G182" s="1774">
        <v>24.2</v>
      </c>
      <c r="H182" s="1771">
        <v>45185.000497685185</v>
      </c>
      <c r="I182" s="2120"/>
      <c r="J182" s="2196"/>
      <c r="K182" s="2296"/>
      <c r="L182" s="465"/>
    </row>
    <row r="183" spans="1:12" ht="15">
      <c r="A183" s="1771">
        <v>45184</v>
      </c>
      <c r="B183" s="1768" t="s">
        <v>2518</v>
      </c>
      <c r="C183" s="1768" t="s">
        <v>3731</v>
      </c>
      <c r="D183" s="764" t="s">
        <v>6049</v>
      </c>
      <c r="E183" s="1774">
        <v>25.2</v>
      </c>
      <c r="F183" s="1774">
        <v>5.29</v>
      </c>
      <c r="G183" s="1774">
        <v>30.49</v>
      </c>
      <c r="H183" s="1771">
        <v>45185.000497685185</v>
      </c>
      <c r="I183" s="2082"/>
      <c r="J183" s="2194"/>
      <c r="K183" s="2297"/>
      <c r="L183" s="465"/>
    </row>
    <row r="184" spans="1:12" ht="15">
      <c r="A184" s="1807">
        <v>45188</v>
      </c>
      <c r="B184" s="1798" t="s">
        <v>2518</v>
      </c>
      <c r="C184" s="1798" t="s">
        <v>3731</v>
      </c>
      <c r="D184" s="764" t="s">
        <v>6117</v>
      </c>
      <c r="E184" s="1812">
        <v>175.12</v>
      </c>
      <c r="F184" s="1812">
        <v>36.78</v>
      </c>
      <c r="G184" s="1812">
        <v>211.9</v>
      </c>
      <c r="H184" s="1807">
        <v>45189</v>
      </c>
      <c r="I184" s="2074">
        <v>357.54</v>
      </c>
      <c r="J184" s="2193">
        <v>45226</v>
      </c>
      <c r="K184" s="2295" t="s">
        <v>6442</v>
      </c>
      <c r="L184" s="465"/>
    </row>
    <row r="185" spans="1:12" ht="15">
      <c r="A185" s="1807">
        <v>45190</v>
      </c>
      <c r="B185" s="1798" t="s">
        <v>2518</v>
      </c>
      <c r="C185" s="1798" t="s">
        <v>3731</v>
      </c>
      <c r="D185" s="764" t="s">
        <v>6118</v>
      </c>
      <c r="E185" s="1812">
        <v>49.36</v>
      </c>
      <c r="F185" s="1812">
        <v>10.37</v>
      </c>
      <c r="G185" s="1812">
        <v>59.73</v>
      </c>
      <c r="H185" s="1807">
        <v>45191</v>
      </c>
      <c r="I185" s="2116"/>
      <c r="J185" s="2196"/>
      <c r="K185" s="2296"/>
      <c r="L185" s="465"/>
    </row>
    <row r="186" spans="1:12" ht="15">
      <c r="A186" s="1807">
        <v>45195</v>
      </c>
      <c r="B186" s="1798" t="s">
        <v>2518</v>
      </c>
      <c r="C186" s="1798" t="s">
        <v>3731</v>
      </c>
      <c r="D186" s="764" t="s">
        <v>6253</v>
      </c>
      <c r="E186" s="1812">
        <v>23</v>
      </c>
      <c r="F186" s="1812">
        <v>4.83</v>
      </c>
      <c r="G186" s="1812">
        <v>27.83</v>
      </c>
      <c r="H186" s="1807">
        <v>45196</v>
      </c>
      <c r="I186" s="2116"/>
      <c r="J186" s="2196"/>
      <c r="K186" s="2296"/>
      <c r="L186" s="465"/>
    </row>
    <row r="187" spans="1:12" ht="15">
      <c r="A187" s="1807">
        <v>45195</v>
      </c>
      <c r="B187" s="1798" t="s">
        <v>2518</v>
      </c>
      <c r="C187" s="1798" t="s">
        <v>3731</v>
      </c>
      <c r="D187" s="764" t="s">
        <v>6254</v>
      </c>
      <c r="E187" s="1812">
        <v>48</v>
      </c>
      <c r="F187" s="1812">
        <v>10.08</v>
      </c>
      <c r="G187" s="1812">
        <v>58.08</v>
      </c>
      <c r="H187" s="1807">
        <v>45196</v>
      </c>
      <c r="I187" s="2075"/>
      <c r="J187" s="2194"/>
      <c r="K187" s="2297"/>
      <c r="L187" s="465"/>
    </row>
    <row r="188" spans="1:12" ht="15">
      <c r="A188" s="601">
        <v>45194</v>
      </c>
      <c r="B188" s="623" t="s">
        <v>2518</v>
      </c>
      <c r="C188" s="623" t="s">
        <v>3731</v>
      </c>
      <c r="D188" s="767" t="s">
        <v>6244</v>
      </c>
      <c r="E188" s="698">
        <v>84.48</v>
      </c>
      <c r="F188" s="698">
        <v>17.739999999999998</v>
      </c>
      <c r="G188" s="698">
        <v>102.22</v>
      </c>
      <c r="H188" s="601">
        <v>45195</v>
      </c>
      <c r="I188" s="1774"/>
      <c r="J188" s="1746"/>
      <c r="K188" s="1754"/>
      <c r="L188" s="465"/>
    </row>
    <row r="189" spans="1:12" ht="15">
      <c r="A189" s="601">
        <v>45194</v>
      </c>
      <c r="B189" s="623" t="s">
        <v>2518</v>
      </c>
      <c r="C189" s="623" t="s">
        <v>3731</v>
      </c>
      <c r="D189" s="767" t="s">
        <v>6245</v>
      </c>
      <c r="E189" s="698">
        <v>7.92</v>
      </c>
      <c r="F189" s="698">
        <v>1.66</v>
      </c>
      <c r="G189" s="698">
        <v>9.58</v>
      </c>
      <c r="H189" s="601">
        <v>45195</v>
      </c>
      <c r="I189" s="1774"/>
      <c r="J189" s="1746"/>
      <c r="K189" s="1754"/>
      <c r="L189" s="465"/>
    </row>
    <row r="190" spans="1:12" ht="15">
      <c r="A190" s="601">
        <v>45194</v>
      </c>
      <c r="B190" s="623" t="s">
        <v>2518</v>
      </c>
      <c r="C190" s="623" t="s">
        <v>3731</v>
      </c>
      <c r="D190" s="767" t="s">
        <v>6246</v>
      </c>
      <c r="E190" s="698">
        <v>2.64</v>
      </c>
      <c r="F190" s="698">
        <v>0.55000000000000004</v>
      </c>
      <c r="G190" s="698">
        <v>3.19</v>
      </c>
      <c r="H190" s="601">
        <v>45195</v>
      </c>
      <c r="I190" s="1774"/>
      <c r="J190" s="1746"/>
      <c r="K190" s="1754"/>
      <c r="L190" s="465"/>
    </row>
    <row r="191" spans="1:12" ht="15">
      <c r="A191" s="601">
        <v>45194</v>
      </c>
      <c r="B191" s="623" t="s">
        <v>2518</v>
      </c>
      <c r="C191" s="623" t="s">
        <v>3731</v>
      </c>
      <c r="D191" s="767" t="s">
        <v>6247</v>
      </c>
      <c r="E191" s="698">
        <v>2.64</v>
      </c>
      <c r="F191" s="698">
        <v>0.55000000000000004</v>
      </c>
      <c r="G191" s="698">
        <v>3.19</v>
      </c>
      <c r="H191" s="601">
        <v>45195</v>
      </c>
      <c r="I191" s="1774"/>
      <c r="J191" s="1746"/>
      <c r="K191" s="1754"/>
      <c r="L191" s="465"/>
    </row>
    <row r="192" spans="1:12" ht="15">
      <c r="A192" s="601">
        <v>45194</v>
      </c>
      <c r="B192" s="623" t="s">
        <v>2518</v>
      </c>
      <c r="C192" s="623" t="s">
        <v>3731</v>
      </c>
      <c r="D192" s="767" t="s">
        <v>6248</v>
      </c>
      <c r="E192" s="698">
        <v>2.64</v>
      </c>
      <c r="F192" s="698">
        <v>0.55000000000000004</v>
      </c>
      <c r="G192" s="698">
        <v>3.19</v>
      </c>
      <c r="H192" s="601">
        <v>45195</v>
      </c>
      <c r="I192" s="1774"/>
      <c r="J192" s="1746"/>
      <c r="K192" s="1754"/>
      <c r="L192" s="465"/>
    </row>
    <row r="193" spans="1:12" ht="15">
      <c r="A193" s="601">
        <v>45194</v>
      </c>
      <c r="B193" s="623" t="s">
        <v>2518</v>
      </c>
      <c r="C193" s="623" t="s">
        <v>3731</v>
      </c>
      <c r="D193" s="767" t="s">
        <v>6249</v>
      </c>
      <c r="E193" s="698">
        <v>2.64</v>
      </c>
      <c r="F193" s="698">
        <v>0.55000000000000004</v>
      </c>
      <c r="G193" s="698">
        <v>3.19</v>
      </c>
      <c r="H193" s="601">
        <v>45195</v>
      </c>
      <c r="I193" s="1774"/>
      <c r="J193" s="1746"/>
      <c r="K193" s="1754"/>
      <c r="L193" s="465"/>
    </row>
    <row r="194" spans="1:12" ht="15">
      <c r="A194" s="601">
        <v>45194</v>
      </c>
      <c r="B194" s="623" t="s">
        <v>2518</v>
      </c>
      <c r="C194" s="623" t="s">
        <v>3731</v>
      </c>
      <c r="D194" s="767" t="s">
        <v>6250</v>
      </c>
      <c r="E194" s="698">
        <v>5.28</v>
      </c>
      <c r="F194" s="698">
        <v>1.1100000000000001</v>
      </c>
      <c r="G194" s="698">
        <v>6.39</v>
      </c>
      <c r="H194" s="601">
        <v>45195</v>
      </c>
      <c r="I194" s="1774"/>
      <c r="J194" s="1746"/>
      <c r="K194" s="1754"/>
      <c r="L194" s="465"/>
    </row>
    <row r="195" spans="1:12" ht="15">
      <c r="A195" s="601">
        <v>45194</v>
      </c>
      <c r="B195" s="623" t="s">
        <v>2518</v>
      </c>
      <c r="C195" s="623" t="s">
        <v>3731</v>
      </c>
      <c r="D195" s="767" t="s">
        <v>6251</v>
      </c>
      <c r="E195" s="698">
        <v>2.64</v>
      </c>
      <c r="F195" s="698">
        <v>0.55000000000000004</v>
      </c>
      <c r="G195" s="698">
        <v>3.19</v>
      </c>
      <c r="H195" s="601">
        <v>45195</v>
      </c>
      <c r="I195" s="1774"/>
      <c r="J195" s="1746"/>
      <c r="K195" s="1754"/>
      <c r="L195" s="465"/>
    </row>
    <row r="196" spans="1:12" ht="15">
      <c r="A196" s="2256">
        <v>45194</v>
      </c>
      <c r="B196" s="1941" t="s">
        <v>2518</v>
      </c>
      <c r="C196" s="1941" t="s">
        <v>3731</v>
      </c>
      <c r="D196" s="2414" t="s">
        <v>6252</v>
      </c>
      <c r="E196" s="2412">
        <v>792</v>
      </c>
      <c r="F196" s="2412">
        <v>166.32</v>
      </c>
      <c r="G196" s="1867">
        <v>319.58999999999997</v>
      </c>
      <c r="H196" s="1862">
        <v>45195</v>
      </c>
      <c r="I196" s="1774">
        <v>319.58999999999997</v>
      </c>
      <c r="J196" s="1862">
        <v>45247</v>
      </c>
      <c r="K196" s="1868" t="s">
        <v>6614</v>
      </c>
      <c r="L196" s="465"/>
    </row>
    <row r="197" spans="1:12" ht="15">
      <c r="A197" s="2257"/>
      <c r="B197" s="1942"/>
      <c r="C197" s="1942"/>
      <c r="D197" s="2415"/>
      <c r="E197" s="2413"/>
      <c r="F197" s="2413"/>
      <c r="G197" s="698">
        <f>958.32-319.59</f>
        <v>638.73</v>
      </c>
      <c r="H197" s="601">
        <v>45195</v>
      </c>
      <c r="I197" s="1867"/>
      <c r="J197" s="1862"/>
      <c r="K197" s="1868"/>
      <c r="L197" s="465"/>
    </row>
    <row r="198" spans="1:12" ht="15">
      <c r="A198" s="601">
        <v>45196</v>
      </c>
      <c r="B198" s="623" t="s">
        <v>2518</v>
      </c>
      <c r="C198" s="623" t="s">
        <v>3731</v>
      </c>
      <c r="D198" s="767" t="s">
        <v>6255</v>
      </c>
      <c r="E198" s="698">
        <v>63.6</v>
      </c>
      <c r="F198" s="698">
        <v>13.36</v>
      </c>
      <c r="G198" s="698">
        <v>76.959999999999994</v>
      </c>
      <c r="H198" s="601">
        <v>45197</v>
      </c>
      <c r="I198" s="1774"/>
      <c r="J198" s="1746"/>
      <c r="K198" s="1754"/>
      <c r="L198" s="465"/>
    </row>
    <row r="199" spans="1:12" ht="15">
      <c r="A199" s="601">
        <v>45197</v>
      </c>
      <c r="B199" s="623" t="s">
        <v>2518</v>
      </c>
      <c r="C199" s="623" t="s">
        <v>3731</v>
      </c>
      <c r="D199" s="767" t="s">
        <v>6256</v>
      </c>
      <c r="E199" s="698">
        <v>5.6</v>
      </c>
      <c r="F199" s="698">
        <v>1.18</v>
      </c>
      <c r="G199" s="698">
        <v>6.78</v>
      </c>
      <c r="H199" s="601">
        <v>45198</v>
      </c>
      <c r="I199" s="1774"/>
      <c r="J199" s="1746"/>
      <c r="K199" s="1754"/>
      <c r="L199" s="465"/>
    </row>
    <row r="200" spans="1:12" ht="15">
      <c r="A200" s="601">
        <v>45198</v>
      </c>
      <c r="B200" s="623" t="s">
        <v>2518</v>
      </c>
      <c r="C200" s="623" t="s">
        <v>3731</v>
      </c>
      <c r="D200" s="767" t="s">
        <v>6257</v>
      </c>
      <c r="E200" s="698">
        <v>191</v>
      </c>
      <c r="F200" s="698">
        <v>40.11</v>
      </c>
      <c r="G200" s="698">
        <v>231.11</v>
      </c>
      <c r="H200" s="601">
        <v>45199</v>
      </c>
      <c r="I200" s="1774"/>
      <c r="J200" s="1746"/>
      <c r="K200" s="1754"/>
      <c r="L200" s="465"/>
    </row>
    <row r="201" spans="1:12" ht="15">
      <c r="A201" s="601">
        <v>45198</v>
      </c>
      <c r="B201" s="623" t="s">
        <v>2518</v>
      </c>
      <c r="C201" s="623" t="s">
        <v>3731</v>
      </c>
      <c r="D201" s="767" t="s">
        <v>6258</v>
      </c>
      <c r="E201" s="698">
        <v>26.9</v>
      </c>
      <c r="F201" s="698">
        <v>5.65</v>
      </c>
      <c r="G201" s="698">
        <v>32.549999999999997</v>
      </c>
      <c r="H201" s="601">
        <v>45199</v>
      </c>
      <c r="I201" s="1774"/>
      <c r="J201" s="1746"/>
      <c r="K201" s="1754"/>
      <c r="L201" s="465"/>
    </row>
    <row r="202" spans="1:12" ht="15">
      <c r="A202" s="601">
        <v>45202</v>
      </c>
      <c r="B202" s="623" t="s">
        <v>2518</v>
      </c>
      <c r="C202" s="623" t="s">
        <v>3731</v>
      </c>
      <c r="D202" s="767" t="s">
        <v>6259</v>
      </c>
      <c r="E202" s="698">
        <v>17.04</v>
      </c>
      <c r="F202" s="698">
        <v>3.58</v>
      </c>
      <c r="G202" s="698">
        <v>20.62</v>
      </c>
      <c r="H202" s="601">
        <v>45203</v>
      </c>
      <c r="I202" s="1774"/>
      <c r="J202" s="1746"/>
      <c r="K202" s="1754"/>
      <c r="L202" s="465"/>
    </row>
    <row r="203" spans="1:12" ht="15">
      <c r="A203" s="601">
        <v>45202</v>
      </c>
      <c r="B203" s="623" t="s">
        <v>2518</v>
      </c>
      <c r="C203" s="623" t="s">
        <v>3731</v>
      </c>
      <c r="D203" s="767" t="s">
        <v>6260</v>
      </c>
      <c r="E203" s="698">
        <v>1.4</v>
      </c>
      <c r="F203" s="698">
        <v>0.28999999999999998</v>
      </c>
      <c r="G203" s="698">
        <v>1.69</v>
      </c>
      <c r="H203" s="601">
        <v>45203</v>
      </c>
      <c r="I203" s="1774"/>
      <c r="J203" s="1746"/>
      <c r="K203" s="1754"/>
      <c r="L203" s="465"/>
    </row>
    <row r="204" spans="1:12" ht="15">
      <c r="A204" s="601">
        <v>45202</v>
      </c>
      <c r="B204" s="623" t="s">
        <v>2518</v>
      </c>
      <c r="C204" s="623" t="s">
        <v>3731</v>
      </c>
      <c r="D204" s="767" t="s">
        <v>6261</v>
      </c>
      <c r="E204" s="698">
        <v>27.56</v>
      </c>
      <c r="F204" s="698">
        <v>5.79</v>
      </c>
      <c r="G204" s="698">
        <v>33.35</v>
      </c>
      <c r="H204" s="601">
        <v>45203</v>
      </c>
      <c r="I204" s="1774"/>
      <c r="J204" s="1746"/>
      <c r="K204" s="1754"/>
      <c r="L204" s="465"/>
    </row>
    <row r="205" spans="1:12" ht="15">
      <c r="A205" s="601">
        <v>45204</v>
      </c>
      <c r="B205" s="623" t="s">
        <v>2518</v>
      </c>
      <c r="C205" s="623" t="s">
        <v>3731</v>
      </c>
      <c r="D205" s="767" t="s">
        <v>6262</v>
      </c>
      <c r="E205" s="698">
        <v>0.68</v>
      </c>
      <c r="F205" s="698">
        <v>0.14000000000000001</v>
      </c>
      <c r="G205" s="698">
        <v>0.82</v>
      </c>
      <c r="H205" s="601">
        <v>45205</v>
      </c>
      <c r="I205" s="1774"/>
      <c r="J205" s="1746"/>
      <c r="K205" s="1754"/>
      <c r="L205" s="465"/>
    </row>
    <row r="206" spans="1:12" ht="15">
      <c r="A206" s="601">
        <v>45204</v>
      </c>
      <c r="B206" s="623" t="s">
        <v>2518</v>
      </c>
      <c r="C206" s="623" t="s">
        <v>3731</v>
      </c>
      <c r="D206" s="767" t="s">
        <v>6263</v>
      </c>
      <c r="E206" s="698">
        <v>36.72</v>
      </c>
      <c r="F206" s="698">
        <v>7.71</v>
      </c>
      <c r="G206" s="698">
        <v>44.43</v>
      </c>
      <c r="H206" s="601">
        <v>45205</v>
      </c>
      <c r="I206" s="1774"/>
      <c r="J206" s="1746"/>
      <c r="K206" s="1754"/>
      <c r="L206" s="465"/>
    </row>
    <row r="207" spans="1:12" ht="15">
      <c r="A207" s="601">
        <v>45204</v>
      </c>
      <c r="B207" s="623" t="s">
        <v>2518</v>
      </c>
      <c r="C207" s="623" t="s">
        <v>3731</v>
      </c>
      <c r="D207" s="767" t="s">
        <v>6264</v>
      </c>
      <c r="E207" s="698">
        <v>2.8</v>
      </c>
      <c r="F207" s="698">
        <v>0.59</v>
      </c>
      <c r="G207" s="698">
        <v>3.39</v>
      </c>
      <c r="H207" s="601">
        <v>45205</v>
      </c>
      <c r="I207" s="1774"/>
      <c r="J207" s="1746"/>
      <c r="K207" s="1754"/>
      <c r="L207" s="465"/>
    </row>
    <row r="208" spans="1:12" ht="15">
      <c r="A208" s="601" t="s">
        <v>6298</v>
      </c>
      <c r="B208" s="623" t="s">
        <v>2518</v>
      </c>
      <c r="C208" s="623" t="s">
        <v>3731</v>
      </c>
      <c r="D208" s="767" t="s">
        <v>6300</v>
      </c>
      <c r="E208" s="698">
        <v>-5.38</v>
      </c>
      <c r="F208" s="698">
        <v>-1.1299999999999999</v>
      </c>
      <c r="G208" s="698">
        <v>-6.51</v>
      </c>
      <c r="H208" s="601">
        <v>45206</v>
      </c>
      <c r="I208" s="1774"/>
      <c r="J208" s="1746"/>
      <c r="K208" s="1754"/>
      <c r="L208" s="465" t="s">
        <v>6301</v>
      </c>
    </row>
    <row r="209" spans="1:12" ht="15">
      <c r="A209" s="601">
        <v>45209</v>
      </c>
      <c r="B209" s="623" t="s">
        <v>2518</v>
      </c>
      <c r="C209" s="623" t="s">
        <v>3731</v>
      </c>
      <c r="D209" s="767" t="s">
        <v>6332</v>
      </c>
      <c r="E209" s="698">
        <v>55.68</v>
      </c>
      <c r="F209" s="698">
        <v>11.69</v>
      </c>
      <c r="G209" s="698">
        <v>67.37</v>
      </c>
      <c r="H209" s="601">
        <v>45210</v>
      </c>
      <c r="I209" s="1774"/>
      <c r="J209" s="1746"/>
      <c r="K209" s="1754"/>
      <c r="L209" s="465"/>
    </row>
    <row r="210" spans="1:12" ht="15">
      <c r="A210" s="601">
        <v>45209</v>
      </c>
      <c r="B210" s="623" t="s">
        <v>2518</v>
      </c>
      <c r="C210" s="623" t="s">
        <v>3731</v>
      </c>
      <c r="D210" s="767" t="s">
        <v>6333</v>
      </c>
      <c r="E210" s="698">
        <v>2.8</v>
      </c>
      <c r="F210" s="698">
        <v>0.59</v>
      </c>
      <c r="G210" s="698">
        <v>3.39</v>
      </c>
      <c r="H210" s="601">
        <v>45210</v>
      </c>
      <c r="I210" s="1774"/>
      <c r="J210" s="1746"/>
      <c r="K210" s="1754"/>
      <c r="L210" s="465"/>
    </row>
    <row r="211" spans="1:12" ht="15">
      <c r="A211" s="601">
        <v>45209</v>
      </c>
      <c r="B211" s="623" t="s">
        <v>2518</v>
      </c>
      <c r="C211" s="623" t="s">
        <v>3731</v>
      </c>
      <c r="D211" s="767" t="s">
        <v>6334</v>
      </c>
      <c r="E211" s="698">
        <v>9.8800000000000008</v>
      </c>
      <c r="F211" s="698">
        <v>2.0699999999999998</v>
      </c>
      <c r="G211" s="698">
        <v>11.95</v>
      </c>
      <c r="H211" s="601">
        <v>45210</v>
      </c>
      <c r="I211" s="1774"/>
      <c r="J211" s="1746"/>
      <c r="K211" s="1754"/>
      <c r="L211" s="465"/>
    </row>
    <row r="212" spans="1:12" ht="15">
      <c r="A212" s="601">
        <v>45210</v>
      </c>
      <c r="B212" s="623" t="s">
        <v>2518</v>
      </c>
      <c r="C212" s="623" t="s">
        <v>3731</v>
      </c>
      <c r="D212" s="767" t="s">
        <v>6335</v>
      </c>
      <c r="E212" s="698">
        <v>13.8</v>
      </c>
      <c r="F212" s="698">
        <v>2.9</v>
      </c>
      <c r="G212" s="698">
        <v>16.7</v>
      </c>
      <c r="H212" s="601">
        <v>45211</v>
      </c>
      <c r="I212" s="1774"/>
      <c r="J212" s="1746"/>
      <c r="K212" s="1754"/>
      <c r="L212" s="465"/>
    </row>
    <row r="213" spans="1:12" ht="15">
      <c r="A213" s="601">
        <v>45215.333831018521</v>
      </c>
      <c r="B213" s="623" t="s">
        <v>2518</v>
      </c>
      <c r="C213" s="623" t="s">
        <v>3731</v>
      </c>
      <c r="D213" s="767" t="s">
        <v>6378</v>
      </c>
      <c r="E213" s="698">
        <v>46</v>
      </c>
      <c r="F213" s="698">
        <v>9.66</v>
      </c>
      <c r="G213" s="698">
        <v>55.66</v>
      </c>
      <c r="H213" s="601">
        <v>45216.333831018521</v>
      </c>
      <c r="I213" s="1753"/>
      <c r="J213" s="1746"/>
      <c r="K213" s="1754"/>
      <c r="L213" s="465"/>
    </row>
    <row r="214" spans="1:12" ht="15">
      <c r="A214" s="601">
        <v>45215.333831018521</v>
      </c>
      <c r="B214" s="623" t="s">
        <v>2518</v>
      </c>
      <c r="C214" s="623" t="s">
        <v>3731</v>
      </c>
      <c r="D214" s="767" t="s">
        <v>6379</v>
      </c>
      <c r="E214" s="698">
        <v>33.880000000000003</v>
      </c>
      <c r="F214" s="698">
        <v>7.11</v>
      </c>
      <c r="G214" s="698">
        <v>40.99</v>
      </c>
      <c r="H214" s="601">
        <v>45216.333831018521</v>
      </c>
      <c r="I214" s="1753"/>
      <c r="J214" s="1746"/>
      <c r="K214" s="1754"/>
      <c r="L214" s="465"/>
    </row>
    <row r="215" spans="1:12" ht="15">
      <c r="A215" s="601">
        <v>45216.333831018521</v>
      </c>
      <c r="B215" s="623" t="s">
        <v>2518</v>
      </c>
      <c r="C215" s="623" t="s">
        <v>3731</v>
      </c>
      <c r="D215" s="767" t="s">
        <v>6380</v>
      </c>
      <c r="E215" s="698">
        <v>142.80000000000001</v>
      </c>
      <c r="F215" s="698">
        <v>29.99</v>
      </c>
      <c r="G215" s="698">
        <v>172.79</v>
      </c>
      <c r="H215" s="601">
        <v>45217.333831018521</v>
      </c>
      <c r="I215" s="1753"/>
      <c r="J215" s="1746"/>
      <c r="K215" s="1754"/>
      <c r="L215" s="465"/>
    </row>
    <row r="216" spans="1:12" ht="15">
      <c r="A216" s="601">
        <v>45216.333831018521</v>
      </c>
      <c r="B216" s="623" t="s">
        <v>2518</v>
      </c>
      <c r="C216" s="623" t="s">
        <v>3731</v>
      </c>
      <c r="D216" s="767" t="s">
        <v>6381</v>
      </c>
      <c r="E216" s="698">
        <v>19.600000000000001</v>
      </c>
      <c r="F216" s="698">
        <v>4.12</v>
      </c>
      <c r="G216" s="698">
        <v>23.72</v>
      </c>
      <c r="H216" s="601">
        <v>45217.333831018521</v>
      </c>
      <c r="I216" s="1753"/>
      <c r="J216" s="1746"/>
      <c r="K216" s="1754"/>
      <c r="L216" s="465"/>
    </row>
    <row r="217" spans="1:12" ht="15">
      <c r="A217" s="601">
        <v>45217.333831018521</v>
      </c>
      <c r="B217" s="623" t="s">
        <v>2518</v>
      </c>
      <c r="C217" s="623" t="s">
        <v>3731</v>
      </c>
      <c r="D217" s="767" t="s">
        <v>6382</v>
      </c>
      <c r="E217" s="698">
        <v>253.2</v>
      </c>
      <c r="F217" s="698">
        <v>53.17</v>
      </c>
      <c r="G217" s="698">
        <v>306.37</v>
      </c>
      <c r="H217" s="601">
        <v>45218.333831018521</v>
      </c>
      <c r="I217" s="1753"/>
      <c r="J217" s="1746"/>
      <c r="K217" s="1754"/>
      <c r="L217" s="465"/>
    </row>
    <row r="218" spans="1:12" ht="15">
      <c r="A218" s="601">
        <v>45218.333831018521</v>
      </c>
      <c r="B218" s="623" t="s">
        <v>2518</v>
      </c>
      <c r="C218" s="623" t="s">
        <v>3731</v>
      </c>
      <c r="D218" s="767" t="s">
        <v>6383</v>
      </c>
      <c r="E218" s="698">
        <v>914.4</v>
      </c>
      <c r="F218" s="698">
        <v>192.02</v>
      </c>
      <c r="G218" s="698">
        <v>1106.42</v>
      </c>
      <c r="H218" s="601">
        <v>45219.333831018521</v>
      </c>
      <c r="I218" s="1753"/>
      <c r="J218" s="1746"/>
      <c r="K218" s="1754"/>
      <c r="L218" s="465"/>
    </row>
    <row r="219" spans="1:12" ht="15">
      <c r="A219" s="601">
        <v>45219.333831018521</v>
      </c>
      <c r="B219" s="623" t="s">
        <v>2518</v>
      </c>
      <c r="C219" s="623" t="s">
        <v>3731</v>
      </c>
      <c r="D219" s="767" t="s">
        <v>6384</v>
      </c>
      <c r="E219" s="698">
        <v>2</v>
      </c>
      <c r="F219" s="698">
        <v>0.42</v>
      </c>
      <c r="G219" s="698">
        <v>2.42</v>
      </c>
      <c r="H219" s="601">
        <v>45220.333831018521</v>
      </c>
      <c r="I219" s="1705"/>
      <c r="J219" s="1686"/>
      <c r="K219" s="1691"/>
      <c r="L219" s="465"/>
    </row>
    <row r="220" spans="1:12" ht="15">
      <c r="A220" s="601">
        <v>45219.333831018521</v>
      </c>
      <c r="B220" s="623" t="s">
        <v>2518</v>
      </c>
      <c r="C220" s="623" t="s">
        <v>3731</v>
      </c>
      <c r="D220" s="767" t="s">
        <v>6385</v>
      </c>
      <c r="E220" s="698">
        <v>5.6</v>
      </c>
      <c r="F220" s="698">
        <v>1.18</v>
      </c>
      <c r="G220" s="698">
        <v>6.78</v>
      </c>
      <c r="H220" s="601">
        <v>45220.333831018521</v>
      </c>
      <c r="I220" s="1690"/>
      <c r="J220" s="1686"/>
      <c r="K220" s="1691"/>
      <c r="L220" s="465"/>
    </row>
    <row r="221" spans="1:12" ht="15">
      <c r="A221" s="601">
        <v>45222</v>
      </c>
      <c r="B221" s="623" t="s">
        <v>2518</v>
      </c>
      <c r="C221" s="623" t="s">
        <v>3731</v>
      </c>
      <c r="D221" s="767" t="s">
        <v>6429</v>
      </c>
      <c r="E221" s="698">
        <v>112</v>
      </c>
      <c r="F221" s="698">
        <v>23.52</v>
      </c>
      <c r="G221" s="698">
        <v>135.52000000000001</v>
      </c>
      <c r="H221" s="601">
        <v>45223</v>
      </c>
      <c r="I221" s="1690"/>
      <c r="J221" s="1686"/>
      <c r="K221" s="1691"/>
      <c r="L221" s="465"/>
    </row>
    <row r="222" spans="1:12" ht="15">
      <c r="A222" s="601">
        <v>45222</v>
      </c>
      <c r="B222" s="623" t="s">
        <v>2518</v>
      </c>
      <c r="C222" s="623" t="s">
        <v>3731</v>
      </c>
      <c r="D222" s="767" t="s">
        <v>6430</v>
      </c>
      <c r="E222" s="698">
        <v>245</v>
      </c>
      <c r="F222" s="698">
        <v>51.45</v>
      </c>
      <c r="G222" s="698">
        <v>296.45</v>
      </c>
      <c r="H222" s="601">
        <v>45223</v>
      </c>
      <c r="I222" s="1812"/>
      <c r="J222" s="1807"/>
      <c r="K222" s="1813"/>
      <c r="L222" s="465"/>
    </row>
    <row r="223" spans="1:12" ht="15">
      <c r="A223" s="601">
        <v>45222</v>
      </c>
      <c r="B223" s="623" t="s">
        <v>2518</v>
      </c>
      <c r="C223" s="623" t="s">
        <v>3731</v>
      </c>
      <c r="D223" s="767" t="s">
        <v>6431</v>
      </c>
      <c r="E223" s="698">
        <v>277.2</v>
      </c>
      <c r="F223" s="698">
        <v>58.21</v>
      </c>
      <c r="G223" s="698">
        <v>335.41</v>
      </c>
      <c r="H223" s="601">
        <v>45223</v>
      </c>
      <c r="I223" s="1812"/>
      <c r="J223" s="1807"/>
      <c r="K223" s="1813"/>
      <c r="L223" s="465"/>
    </row>
    <row r="224" spans="1:12" ht="15">
      <c r="A224" s="601">
        <v>45222</v>
      </c>
      <c r="B224" s="623" t="s">
        <v>2518</v>
      </c>
      <c r="C224" s="623" t="s">
        <v>3731</v>
      </c>
      <c r="D224" s="767" t="s">
        <v>6432</v>
      </c>
      <c r="E224" s="698">
        <v>4.8</v>
      </c>
      <c r="F224" s="698">
        <v>1.01</v>
      </c>
      <c r="G224" s="698">
        <v>5.81</v>
      </c>
      <c r="H224" s="601">
        <v>45223</v>
      </c>
      <c r="I224" s="1812"/>
      <c r="J224" s="1807"/>
      <c r="K224" s="1813"/>
      <c r="L224" s="465"/>
    </row>
    <row r="225" spans="1:12" ht="15">
      <c r="A225" s="601">
        <v>45222</v>
      </c>
      <c r="B225" s="623" t="s">
        <v>2518</v>
      </c>
      <c r="C225" s="623" t="s">
        <v>3731</v>
      </c>
      <c r="D225" s="767" t="s">
        <v>6433</v>
      </c>
      <c r="E225" s="698">
        <v>25</v>
      </c>
      <c r="F225" s="698">
        <v>5.25</v>
      </c>
      <c r="G225" s="698">
        <v>30.25</v>
      </c>
      <c r="H225" s="601">
        <v>45223</v>
      </c>
      <c r="I225" s="1812"/>
      <c r="J225" s="1807"/>
      <c r="K225" s="1813"/>
      <c r="L225" s="465"/>
    </row>
    <row r="226" spans="1:12" ht="15">
      <c r="A226" s="601">
        <v>45225</v>
      </c>
      <c r="B226" s="623" t="s">
        <v>2518</v>
      </c>
      <c r="C226" s="623" t="s">
        <v>3731</v>
      </c>
      <c r="D226" s="767" t="s">
        <v>6434</v>
      </c>
      <c r="E226" s="698">
        <v>48.76</v>
      </c>
      <c r="F226" s="698">
        <v>10.24</v>
      </c>
      <c r="G226" s="698">
        <v>59</v>
      </c>
      <c r="H226" s="601">
        <v>45226</v>
      </c>
      <c r="I226" s="1812"/>
      <c r="J226" s="1807"/>
      <c r="K226" s="1813"/>
      <c r="L226" s="465"/>
    </row>
    <row r="227" spans="1:12" ht="15">
      <c r="A227" s="601">
        <v>45225</v>
      </c>
      <c r="B227" s="623" t="s">
        <v>2518</v>
      </c>
      <c r="C227" s="623" t="s">
        <v>3731</v>
      </c>
      <c r="D227" s="767" t="s">
        <v>6435</v>
      </c>
      <c r="E227" s="698">
        <v>52.32</v>
      </c>
      <c r="F227" s="698">
        <v>10.99</v>
      </c>
      <c r="G227" s="698">
        <v>63.31</v>
      </c>
      <c r="H227" s="601">
        <v>45226</v>
      </c>
      <c r="I227" s="1812"/>
      <c r="J227" s="1807"/>
      <c r="K227" s="1813"/>
      <c r="L227" s="465"/>
    </row>
    <row r="228" spans="1:12" ht="15">
      <c r="A228" s="601">
        <v>45226</v>
      </c>
      <c r="B228" s="623" t="s">
        <v>2518</v>
      </c>
      <c r="C228" s="623" t="s">
        <v>3731</v>
      </c>
      <c r="D228" s="767" t="s">
        <v>6436</v>
      </c>
      <c r="E228" s="698">
        <v>82.68</v>
      </c>
      <c r="F228" s="698">
        <v>17.36</v>
      </c>
      <c r="G228" s="698">
        <v>100.04</v>
      </c>
      <c r="H228" s="601">
        <v>45227</v>
      </c>
      <c r="I228" s="1812"/>
      <c r="J228" s="1807"/>
      <c r="K228" s="1813"/>
      <c r="L228" s="465"/>
    </row>
    <row r="229" spans="1:12" ht="15">
      <c r="A229" s="601">
        <v>45226</v>
      </c>
      <c r="B229" s="623" t="s">
        <v>2518</v>
      </c>
      <c r="C229" s="623" t="s">
        <v>3731</v>
      </c>
      <c r="D229" s="767" t="s">
        <v>6437</v>
      </c>
      <c r="E229" s="698">
        <v>187.64</v>
      </c>
      <c r="F229" s="698">
        <v>39.4</v>
      </c>
      <c r="G229" s="698">
        <v>227.04</v>
      </c>
      <c r="H229" s="601">
        <v>45227</v>
      </c>
      <c r="I229" s="1812"/>
      <c r="J229" s="1807"/>
      <c r="K229" s="1813"/>
      <c r="L229" s="465"/>
    </row>
    <row r="230" spans="1:12" ht="15">
      <c r="A230" s="601">
        <v>45229</v>
      </c>
      <c r="B230" s="623" t="s">
        <v>2518</v>
      </c>
      <c r="C230" s="623" t="s">
        <v>3731</v>
      </c>
      <c r="D230" s="767" t="s">
        <v>6482</v>
      </c>
      <c r="E230" s="698">
        <v>9.68</v>
      </c>
      <c r="F230" s="698">
        <v>2.0299999999999998</v>
      </c>
      <c r="G230" s="698">
        <v>11.71</v>
      </c>
      <c r="H230" s="601">
        <v>45230</v>
      </c>
      <c r="I230" s="1812"/>
      <c r="J230" s="1807"/>
      <c r="K230" s="1813"/>
      <c r="L230" s="465"/>
    </row>
    <row r="231" spans="1:12" ht="15">
      <c r="A231" s="601">
        <v>45229</v>
      </c>
      <c r="B231" s="623" t="s">
        <v>2518</v>
      </c>
      <c r="C231" s="623" t="s">
        <v>3731</v>
      </c>
      <c r="D231" s="767" t="s">
        <v>6483</v>
      </c>
      <c r="E231" s="698">
        <v>275.88</v>
      </c>
      <c r="F231" s="698">
        <v>57.93</v>
      </c>
      <c r="G231" s="698">
        <v>333.81</v>
      </c>
      <c r="H231" s="601">
        <v>45230</v>
      </c>
      <c r="I231" s="1812"/>
      <c r="J231" s="1807"/>
      <c r="K231" s="1813"/>
      <c r="L231" s="465"/>
    </row>
    <row r="232" spans="1:12" ht="15">
      <c r="A232" s="601">
        <v>45230</v>
      </c>
      <c r="B232" s="623" t="s">
        <v>2518</v>
      </c>
      <c r="C232" s="623" t="s">
        <v>3731</v>
      </c>
      <c r="D232" s="767" t="s">
        <v>6484</v>
      </c>
      <c r="E232" s="698">
        <v>1370.08</v>
      </c>
      <c r="F232" s="698">
        <v>287.72000000000003</v>
      </c>
      <c r="G232" s="698">
        <v>1657.8</v>
      </c>
      <c r="H232" s="601">
        <v>45231</v>
      </c>
      <c r="I232" s="1812"/>
      <c r="J232" s="1807"/>
      <c r="K232" s="1813"/>
      <c r="L232" s="465"/>
    </row>
    <row r="233" spans="1:12" ht="15">
      <c r="A233" s="601">
        <v>45230</v>
      </c>
      <c r="B233" s="623" t="s">
        <v>2518</v>
      </c>
      <c r="C233" s="623" t="s">
        <v>3731</v>
      </c>
      <c r="D233" s="767" t="s">
        <v>6485</v>
      </c>
      <c r="E233" s="698">
        <v>132</v>
      </c>
      <c r="F233" s="698">
        <v>27.72</v>
      </c>
      <c r="G233" s="698">
        <v>159.72</v>
      </c>
      <c r="H233" s="601">
        <v>45231</v>
      </c>
      <c r="I233" s="1812"/>
      <c r="J233" s="1807"/>
      <c r="K233" s="1813"/>
      <c r="L233" s="465"/>
    </row>
    <row r="234" spans="1:12" ht="15">
      <c r="A234" s="601">
        <v>45230</v>
      </c>
      <c r="B234" s="623" t="s">
        <v>2518</v>
      </c>
      <c r="C234" s="623" t="s">
        <v>3731</v>
      </c>
      <c r="D234" s="767" t="s">
        <v>6486</v>
      </c>
      <c r="E234" s="698">
        <v>13.2</v>
      </c>
      <c r="F234" s="698">
        <v>2.77</v>
      </c>
      <c r="G234" s="698">
        <v>15.97</v>
      </c>
      <c r="H234" s="601">
        <v>45231</v>
      </c>
      <c r="I234" s="1690"/>
      <c r="J234" s="1686"/>
      <c r="K234" s="1691"/>
      <c r="L234" s="465"/>
    </row>
    <row r="235" spans="1:12" ht="15">
      <c r="A235" s="601">
        <v>45232</v>
      </c>
      <c r="B235" s="623" t="s">
        <v>2518</v>
      </c>
      <c r="C235" s="623" t="s">
        <v>3731</v>
      </c>
      <c r="D235" s="767" t="s">
        <v>6487</v>
      </c>
      <c r="E235" s="698">
        <v>25070</v>
      </c>
      <c r="F235" s="698">
        <v>5264.7</v>
      </c>
      <c r="G235" s="698">
        <v>30334.7</v>
      </c>
      <c r="H235" s="601">
        <v>45322</v>
      </c>
      <c r="I235" s="1690"/>
      <c r="J235" s="1686"/>
      <c r="K235" s="1691"/>
      <c r="L235" s="465"/>
    </row>
    <row r="236" spans="1:12" ht="15">
      <c r="A236" s="601">
        <v>45232</v>
      </c>
      <c r="B236" s="623" t="s">
        <v>2518</v>
      </c>
      <c r="C236" s="623" t="s">
        <v>3731</v>
      </c>
      <c r="D236" s="767" t="s">
        <v>6488</v>
      </c>
      <c r="E236" s="698">
        <v>31.68</v>
      </c>
      <c r="F236" s="698">
        <v>6.65</v>
      </c>
      <c r="G236" s="698">
        <v>38.33</v>
      </c>
      <c r="H236" s="601">
        <v>45233</v>
      </c>
      <c r="I236" s="1690"/>
      <c r="J236" s="1686"/>
      <c r="K236" s="1691"/>
      <c r="L236" s="465"/>
    </row>
    <row r="237" spans="1:12" ht="15">
      <c r="A237" s="601">
        <v>45237</v>
      </c>
      <c r="B237" s="623" t="s">
        <v>2518</v>
      </c>
      <c r="C237" s="623" t="s">
        <v>3731</v>
      </c>
      <c r="D237" s="767" t="s">
        <v>6524</v>
      </c>
      <c r="E237" s="698">
        <v>1080.96</v>
      </c>
      <c r="F237" s="698">
        <v>227</v>
      </c>
      <c r="G237" s="698">
        <v>1307.96</v>
      </c>
      <c r="H237" s="601">
        <v>45238</v>
      </c>
      <c r="I237" s="1841"/>
      <c r="J237" s="1838"/>
      <c r="K237" s="1842"/>
      <c r="L237" s="465"/>
    </row>
    <row r="238" spans="1:12" ht="15">
      <c r="A238" s="601">
        <v>45238</v>
      </c>
      <c r="B238" s="623" t="s">
        <v>2518</v>
      </c>
      <c r="C238" s="623" t="s">
        <v>3731</v>
      </c>
      <c r="D238" s="767" t="s">
        <v>6525</v>
      </c>
      <c r="E238" s="698">
        <v>976.8</v>
      </c>
      <c r="F238" s="698">
        <v>205.13</v>
      </c>
      <c r="G238" s="698">
        <v>1181.93</v>
      </c>
      <c r="H238" s="601">
        <v>45239</v>
      </c>
      <c r="I238" s="1841"/>
      <c r="J238" s="1838"/>
      <c r="K238" s="1842"/>
      <c r="L238" s="465"/>
    </row>
    <row r="239" spans="1:12" ht="15">
      <c r="A239" s="601">
        <v>45238</v>
      </c>
      <c r="B239" s="623" t="s">
        <v>2518</v>
      </c>
      <c r="C239" s="623" t="s">
        <v>3731</v>
      </c>
      <c r="D239" s="767" t="s">
        <v>6526</v>
      </c>
      <c r="E239" s="698">
        <v>121.2</v>
      </c>
      <c r="F239" s="698">
        <v>25.45</v>
      </c>
      <c r="G239" s="698">
        <v>146.65</v>
      </c>
      <c r="H239" s="601">
        <v>45239</v>
      </c>
      <c r="I239" s="1841"/>
      <c r="J239" s="1838"/>
      <c r="K239" s="1842"/>
      <c r="L239" s="465"/>
    </row>
    <row r="240" spans="1:12" ht="15">
      <c r="A240" s="601">
        <v>45239</v>
      </c>
      <c r="B240" s="623" t="s">
        <v>2518</v>
      </c>
      <c r="C240" s="623" t="s">
        <v>3731</v>
      </c>
      <c r="D240" s="767" t="s">
        <v>6527</v>
      </c>
      <c r="E240" s="698">
        <v>46.14</v>
      </c>
      <c r="F240" s="698">
        <v>9.69</v>
      </c>
      <c r="G240" s="698">
        <v>55.83</v>
      </c>
      <c r="H240" s="601">
        <v>45240</v>
      </c>
      <c r="I240" s="1841"/>
      <c r="J240" s="1838"/>
      <c r="K240" s="1842"/>
      <c r="L240" s="465"/>
    </row>
    <row r="241" spans="1:12" ht="15">
      <c r="A241" s="601">
        <v>45243</v>
      </c>
      <c r="B241" s="623" t="s">
        <v>2518</v>
      </c>
      <c r="C241" s="623" t="s">
        <v>3731</v>
      </c>
      <c r="D241" s="767" t="s">
        <v>6605</v>
      </c>
      <c r="E241" s="698">
        <v>29.44</v>
      </c>
      <c r="F241" s="698">
        <v>6.18</v>
      </c>
      <c r="G241" s="698">
        <v>35.619999999999997</v>
      </c>
      <c r="H241" s="601">
        <v>45244</v>
      </c>
      <c r="I241" s="1867"/>
      <c r="J241" s="1862"/>
      <c r="K241" s="1868"/>
      <c r="L241" s="465"/>
    </row>
    <row r="242" spans="1:12" ht="15">
      <c r="A242" s="601">
        <v>45243</v>
      </c>
      <c r="B242" s="623" t="s">
        <v>2518</v>
      </c>
      <c r="C242" s="623" t="s">
        <v>3731</v>
      </c>
      <c r="D242" s="767" t="s">
        <v>6606</v>
      </c>
      <c r="E242" s="698">
        <v>15.36</v>
      </c>
      <c r="F242" s="698">
        <v>3.23</v>
      </c>
      <c r="G242" s="698">
        <v>18.59</v>
      </c>
      <c r="H242" s="601">
        <v>45244</v>
      </c>
      <c r="I242" s="1867"/>
      <c r="J242" s="1862"/>
      <c r="K242" s="1868"/>
      <c r="L242" s="465"/>
    </row>
    <row r="243" spans="1:12" ht="15">
      <c r="A243" s="601">
        <v>45245</v>
      </c>
      <c r="B243" s="623" t="s">
        <v>2518</v>
      </c>
      <c r="C243" s="623" t="s">
        <v>3731</v>
      </c>
      <c r="D243" s="767" t="s">
        <v>6607</v>
      </c>
      <c r="E243" s="698">
        <v>163.4</v>
      </c>
      <c r="F243" s="698">
        <v>34.31</v>
      </c>
      <c r="G243" s="698">
        <v>197.71</v>
      </c>
      <c r="H243" s="601">
        <v>45246</v>
      </c>
      <c r="I243" s="1867"/>
      <c r="J243" s="1862"/>
      <c r="K243" s="1868"/>
      <c r="L243" s="465"/>
    </row>
    <row r="244" spans="1:12" ht="15">
      <c r="A244" s="601">
        <v>45245</v>
      </c>
      <c r="B244" s="623" t="s">
        <v>2518</v>
      </c>
      <c r="C244" s="623" t="s">
        <v>3731</v>
      </c>
      <c r="D244" s="767" t="s">
        <v>6608</v>
      </c>
      <c r="E244" s="698">
        <v>11.4</v>
      </c>
      <c r="F244" s="698">
        <v>2.39</v>
      </c>
      <c r="G244" s="698">
        <v>13.79</v>
      </c>
      <c r="H244" s="601">
        <v>45246</v>
      </c>
      <c r="I244" s="1867"/>
      <c r="J244" s="1862"/>
      <c r="K244" s="1868"/>
      <c r="L244" s="465"/>
    </row>
    <row r="245" spans="1:12" ht="15">
      <c r="A245" s="601">
        <v>45247</v>
      </c>
      <c r="B245" s="623" t="s">
        <v>2518</v>
      </c>
      <c r="C245" s="623" t="s">
        <v>3731</v>
      </c>
      <c r="D245" s="767" t="s">
        <v>6609</v>
      </c>
      <c r="E245" s="698">
        <v>52.56</v>
      </c>
      <c r="F245" s="698">
        <v>11.04</v>
      </c>
      <c r="G245" s="698">
        <v>63.6</v>
      </c>
      <c r="H245" s="601">
        <v>45248</v>
      </c>
      <c r="I245" s="1867"/>
      <c r="J245" s="1862"/>
      <c r="K245" s="1868"/>
      <c r="L245" s="465"/>
    </row>
    <row r="246" spans="1:12" ht="15">
      <c r="A246" s="601"/>
      <c r="B246" s="623"/>
      <c r="C246" s="623"/>
      <c r="D246" s="767"/>
      <c r="E246" s="698"/>
      <c r="F246" s="698"/>
      <c r="G246" s="698"/>
      <c r="H246" s="601"/>
      <c r="I246" s="1867"/>
      <c r="J246" s="1862"/>
      <c r="K246" s="1868"/>
      <c r="L246" s="465"/>
    </row>
    <row r="247" spans="1:12" ht="15">
      <c r="A247" s="601"/>
      <c r="B247" s="623"/>
      <c r="C247" s="623"/>
      <c r="D247" s="767"/>
      <c r="E247" s="698"/>
      <c r="F247" s="698"/>
      <c r="G247" s="698"/>
      <c r="H247" s="601"/>
      <c r="I247" s="1867"/>
      <c r="J247" s="1862"/>
      <c r="K247" s="1868"/>
      <c r="L247" s="465"/>
    </row>
    <row r="248" spans="1:12" ht="15">
      <c r="A248" s="601"/>
      <c r="B248" s="623"/>
      <c r="C248" s="623"/>
      <c r="D248" s="767"/>
      <c r="E248" s="698"/>
      <c r="F248" s="698"/>
      <c r="G248" s="698"/>
      <c r="H248" s="601"/>
      <c r="I248" s="1867"/>
      <c r="J248" s="1862"/>
      <c r="K248" s="1868"/>
      <c r="L248" s="465"/>
    </row>
    <row r="249" spans="1:12" ht="15">
      <c r="A249" s="601"/>
      <c r="B249" s="623"/>
      <c r="C249" s="623"/>
      <c r="D249" s="767"/>
      <c r="E249" s="698"/>
      <c r="F249" s="698"/>
      <c r="G249" s="698"/>
      <c r="H249" s="601"/>
      <c r="I249" s="1690"/>
      <c r="J249" s="1686"/>
      <c r="K249" s="1691"/>
      <c r="L249" s="465"/>
    </row>
    <row r="250" spans="1:12" ht="15">
      <c r="A250" s="601"/>
      <c r="B250" s="623"/>
      <c r="C250" s="623"/>
      <c r="D250" s="767"/>
      <c r="E250" s="698"/>
      <c r="F250" s="698"/>
      <c r="G250" s="698"/>
      <c r="H250" s="601"/>
      <c r="I250" s="1690"/>
      <c r="J250" s="1686"/>
      <c r="K250" s="1691"/>
      <c r="L250" s="465"/>
    </row>
    <row r="251" spans="1:12" ht="15">
      <c r="A251" s="601"/>
      <c r="B251" s="623"/>
      <c r="C251" s="623"/>
      <c r="D251" s="767"/>
      <c r="E251" s="698"/>
      <c r="F251" s="698"/>
      <c r="G251" s="698"/>
      <c r="H251" s="601"/>
      <c r="I251" s="1690"/>
      <c r="J251" s="1686"/>
      <c r="K251" s="1691"/>
      <c r="L251" s="465"/>
    </row>
    <row r="252" spans="1:12" ht="15">
      <c r="A252" s="1052"/>
      <c r="B252" s="1052"/>
      <c r="C252" s="1052"/>
      <c r="D252" s="767"/>
      <c r="E252" s="767"/>
      <c r="F252" s="767"/>
      <c r="G252" s="698"/>
      <c r="H252" s="1052"/>
      <c r="I252" s="697"/>
      <c r="J252" s="607"/>
      <c r="K252" s="464"/>
      <c r="L252" s="465"/>
    </row>
    <row r="253" spans="1:12" ht="15">
      <c r="A253" s="1052"/>
      <c r="B253" s="1052"/>
      <c r="C253" s="1052"/>
      <c r="D253" s="767"/>
      <c r="E253" s="767"/>
      <c r="F253" s="767"/>
      <c r="G253" s="698"/>
      <c r="H253" s="1052"/>
      <c r="I253" s="697"/>
      <c r="J253" s="607"/>
      <c r="K253" s="464"/>
      <c r="L253" s="465"/>
    </row>
    <row r="254" spans="1:12" ht="15">
      <c r="A254" s="768"/>
      <c r="B254" s="768"/>
      <c r="C254" s="768"/>
      <c r="D254" s="763"/>
      <c r="E254" s="763"/>
      <c r="F254" s="1144" t="s">
        <v>545</v>
      </c>
      <c r="G254" s="755">
        <f>SUM(G2:G253)-SUM(I2:I253)</f>
        <v>39859.17</v>
      </c>
      <c r="H254" s="768"/>
      <c r="I254" s="697"/>
      <c r="J254" s="607"/>
      <c r="K254" s="464"/>
      <c r="L254" s="465"/>
    </row>
    <row r="255" spans="1:12">
      <c r="G255" s="469"/>
    </row>
    <row r="256" spans="1:12">
      <c r="G256" s="469"/>
    </row>
  </sheetData>
  <sortState ref="A17:D18">
    <sortCondition ref="A17:A18"/>
  </sortState>
  <mergeCells count="64">
    <mergeCell ref="A196:A197"/>
    <mergeCell ref="F196:F197"/>
    <mergeCell ref="E196:E197"/>
    <mergeCell ref="D196:D197"/>
    <mergeCell ref="C196:C197"/>
    <mergeCell ref="B196:B197"/>
    <mergeCell ref="K174:K183"/>
    <mergeCell ref="J174:J183"/>
    <mergeCell ref="K170:K173"/>
    <mergeCell ref="J170:J173"/>
    <mergeCell ref="I170:I173"/>
    <mergeCell ref="K66:K72"/>
    <mergeCell ref="J66:J72"/>
    <mergeCell ref="I66:I72"/>
    <mergeCell ref="I73:I90"/>
    <mergeCell ref="K73:K90"/>
    <mergeCell ref="J73:J90"/>
    <mergeCell ref="K58:K65"/>
    <mergeCell ref="J58:J65"/>
    <mergeCell ref="I58:I65"/>
    <mergeCell ref="I37:I57"/>
    <mergeCell ref="K37:K57"/>
    <mergeCell ref="J37:J57"/>
    <mergeCell ref="L32:L34"/>
    <mergeCell ref="I3:I5"/>
    <mergeCell ref="K3:K5"/>
    <mergeCell ref="J3:J5"/>
    <mergeCell ref="K8:K11"/>
    <mergeCell ref="J8:J11"/>
    <mergeCell ref="I8:I11"/>
    <mergeCell ref="I29:I31"/>
    <mergeCell ref="J29:J31"/>
    <mergeCell ref="K29:K31"/>
    <mergeCell ref="I13:I15"/>
    <mergeCell ref="J13:J15"/>
    <mergeCell ref="K13:K15"/>
    <mergeCell ref="K35:K36"/>
    <mergeCell ref="J35:J36"/>
    <mergeCell ref="I35:I36"/>
    <mergeCell ref="I19:I21"/>
    <mergeCell ref="J19:J21"/>
    <mergeCell ref="K19:K21"/>
    <mergeCell ref="I22:I24"/>
    <mergeCell ref="J22:J24"/>
    <mergeCell ref="K22:K24"/>
    <mergeCell ref="I32:I34"/>
    <mergeCell ref="K32:K34"/>
    <mergeCell ref="J32:J34"/>
    <mergeCell ref="K184:K187"/>
    <mergeCell ref="J184:J187"/>
    <mergeCell ref="I184:I187"/>
    <mergeCell ref="A149:A150"/>
    <mergeCell ref="I91:I149"/>
    <mergeCell ref="K91:K149"/>
    <mergeCell ref="J91:J149"/>
    <mergeCell ref="I150:I169"/>
    <mergeCell ref="K150:K169"/>
    <mergeCell ref="J150:J169"/>
    <mergeCell ref="F149:F150"/>
    <mergeCell ref="E149:E150"/>
    <mergeCell ref="D149:D150"/>
    <mergeCell ref="C149:C150"/>
    <mergeCell ref="B149:B150"/>
    <mergeCell ref="I174:I183"/>
  </mergeCells>
  <phoneticPr fontId="15" type="noConversion"/>
  <hyperlinks>
    <hyperlink ref="F254" location="汇总!A1" display="剩余欠款"/>
  </hyperlinks>
  <pageMargins left="0.7" right="0.7" top="0.75" bottom="0.75" header="0.3" footer="0.3"/>
  <pageSetup paperSize="9" orientation="portrait" horizontalDpi="0" verticalDpi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L28"/>
  <sheetViews>
    <sheetView workbookViewId="0">
      <pane ySplit="1" topLeftCell="A2" activePane="bottomLeft" state="frozen"/>
      <selection activeCell="C33" sqref="C33"/>
      <selection pane="bottomLeft" activeCell="F28" sqref="F28"/>
    </sheetView>
  </sheetViews>
  <sheetFormatPr defaultColWidth="8.75" defaultRowHeight="14.25"/>
  <cols>
    <col min="1" max="1" width="11.5" style="210" bestFit="1" customWidth="1"/>
    <col min="2" max="2" width="9" style="210" bestFit="1" customWidth="1"/>
    <col min="3" max="3" width="34.625" style="210" bestFit="1" customWidth="1"/>
    <col min="4" max="4" width="15" style="210" bestFit="1" customWidth="1"/>
    <col min="5" max="5" width="13.25" style="210" customWidth="1"/>
    <col min="6" max="6" width="11.375" style="210" customWidth="1"/>
    <col min="7" max="7" width="13.5" style="210" customWidth="1"/>
    <col min="8" max="8" width="16.75" style="210" bestFit="1" customWidth="1"/>
    <col min="9" max="9" width="14.125" style="210" bestFit="1" customWidth="1"/>
    <col min="10" max="10" width="12" style="210" bestFit="1" customWidth="1"/>
    <col min="11" max="11" width="11.375" style="210" bestFit="1" customWidth="1"/>
    <col min="12" max="12" width="28.25" style="210" bestFit="1" customWidth="1"/>
    <col min="13" max="16384" width="8.75" style="210"/>
  </cols>
  <sheetData>
    <row r="1" spans="1:12" s="96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6" t="s">
        <v>542</v>
      </c>
    </row>
    <row r="2" spans="1:12" ht="15">
      <c r="A2" s="2193">
        <v>44652</v>
      </c>
      <c r="B2" s="1918" t="s">
        <v>521</v>
      </c>
      <c r="C2" s="1918" t="s">
        <v>4615</v>
      </c>
      <c r="D2" s="2199" t="s">
        <v>2730</v>
      </c>
      <c r="E2" s="2081">
        <v>15276.77</v>
      </c>
      <c r="F2" s="2117">
        <v>0</v>
      </c>
      <c r="G2" s="611">
        <v>3490</v>
      </c>
      <c r="H2" s="821">
        <v>44652</v>
      </c>
      <c r="I2" s="631">
        <v>3490</v>
      </c>
      <c r="J2" s="607">
        <v>44694</v>
      </c>
      <c r="K2" s="377" t="s">
        <v>2099</v>
      </c>
      <c r="L2" s="166" t="s">
        <v>2732</v>
      </c>
    </row>
    <row r="3" spans="1:12" ht="15">
      <c r="A3" s="2196"/>
      <c r="B3" s="1919"/>
      <c r="C3" s="1919"/>
      <c r="D3" s="2204"/>
      <c r="E3" s="2120"/>
      <c r="F3" s="2119"/>
      <c r="G3" s="611">
        <v>5000</v>
      </c>
      <c r="H3" s="821">
        <v>44652</v>
      </c>
      <c r="I3" s="631">
        <v>5000</v>
      </c>
      <c r="J3" s="607">
        <v>44746</v>
      </c>
      <c r="K3" s="446" t="s">
        <v>2099</v>
      </c>
      <c r="L3" s="166"/>
    </row>
    <row r="4" spans="1:12" ht="15">
      <c r="A4" s="2196"/>
      <c r="B4" s="1919"/>
      <c r="C4" s="1919"/>
      <c r="D4" s="2204"/>
      <c r="E4" s="2120"/>
      <c r="F4" s="2119"/>
      <c r="G4" s="611">
        <v>4690.75</v>
      </c>
      <c r="H4" s="821">
        <v>44652</v>
      </c>
      <c r="I4" s="631">
        <v>4690.75</v>
      </c>
      <c r="J4" s="607">
        <v>44783</v>
      </c>
      <c r="K4" s="498" t="s">
        <v>2731</v>
      </c>
      <c r="L4" s="166"/>
    </row>
    <row r="5" spans="1:12" ht="15">
      <c r="A5" s="2194"/>
      <c r="B5" s="1920"/>
      <c r="C5" s="1920"/>
      <c r="D5" s="2200"/>
      <c r="E5" s="2082"/>
      <c r="F5" s="2118"/>
      <c r="G5" s="611">
        <f>15276.77-3490-5000-4690.75</f>
        <v>2096.0200000000004</v>
      </c>
      <c r="H5" s="821">
        <v>44652</v>
      </c>
      <c r="I5" s="1906">
        <v>4309</v>
      </c>
      <c r="J5" s="2193">
        <v>44830</v>
      </c>
      <c r="K5" s="1935" t="s">
        <v>3209</v>
      </c>
      <c r="L5" s="1935"/>
    </row>
    <row r="6" spans="1:12" ht="15">
      <c r="A6" s="823">
        <v>44652</v>
      </c>
      <c r="B6" s="1124" t="s">
        <v>521</v>
      </c>
      <c r="C6" s="1124" t="s">
        <v>4615</v>
      </c>
      <c r="D6" s="608" t="s">
        <v>1894</v>
      </c>
      <c r="E6" s="822">
        <v>2212.98</v>
      </c>
      <c r="F6" s="731">
        <v>0</v>
      </c>
      <c r="G6" s="611">
        <v>2212.98</v>
      </c>
      <c r="H6" s="823">
        <v>44652</v>
      </c>
      <c r="I6" s="1908"/>
      <c r="J6" s="2194"/>
      <c r="K6" s="1947"/>
      <c r="L6" s="1947"/>
    </row>
    <row r="7" spans="1:12" ht="15">
      <c r="A7" s="607">
        <v>44655</v>
      </c>
      <c r="B7" s="1124" t="s">
        <v>521</v>
      </c>
      <c r="C7" s="1124" t="s">
        <v>4615</v>
      </c>
      <c r="D7" s="608" t="s">
        <v>1895</v>
      </c>
      <c r="E7" s="609">
        <v>0.01</v>
      </c>
      <c r="F7" s="731">
        <v>0</v>
      </c>
      <c r="G7" s="611">
        <v>0.01</v>
      </c>
      <c r="H7" s="607">
        <v>44655</v>
      </c>
      <c r="I7" s="631">
        <v>0.01</v>
      </c>
      <c r="J7" s="607">
        <v>44694</v>
      </c>
      <c r="K7" s="377" t="s">
        <v>2100</v>
      </c>
      <c r="L7" s="166" t="s">
        <v>1896</v>
      </c>
    </row>
    <row r="8" spans="1:12" ht="15">
      <c r="A8" s="1083">
        <v>44806</v>
      </c>
      <c r="B8" s="1124" t="s">
        <v>521</v>
      </c>
      <c r="C8" s="1124" t="s">
        <v>4615</v>
      </c>
      <c r="D8" s="608" t="s">
        <v>2928</v>
      </c>
      <c r="E8" s="1081">
        <v>0.01</v>
      </c>
      <c r="F8" s="731">
        <v>0</v>
      </c>
      <c r="G8" s="611">
        <v>0.01</v>
      </c>
      <c r="H8" s="823">
        <v>44807</v>
      </c>
      <c r="I8" s="631">
        <v>0.01</v>
      </c>
      <c r="J8" s="823">
        <v>44837</v>
      </c>
      <c r="K8" s="813" t="s">
        <v>2100</v>
      </c>
      <c r="L8" s="166" t="s">
        <v>2897</v>
      </c>
    </row>
    <row r="9" spans="1:12" ht="15">
      <c r="A9" s="1083">
        <v>44746.000497685185</v>
      </c>
      <c r="B9" s="1124" t="s">
        <v>521</v>
      </c>
      <c r="C9" s="1124" t="s">
        <v>4615</v>
      </c>
      <c r="D9" s="608" t="s">
        <v>2393</v>
      </c>
      <c r="E9" s="1081">
        <v>691</v>
      </c>
      <c r="F9" s="731">
        <v>0</v>
      </c>
      <c r="G9" s="611">
        <v>691</v>
      </c>
      <c r="H9" s="1083">
        <v>44746.000497685185</v>
      </c>
      <c r="I9" s="1936">
        <v>1000</v>
      </c>
      <c r="J9" s="2193">
        <v>44949</v>
      </c>
      <c r="K9" s="1935" t="s">
        <v>4009</v>
      </c>
      <c r="L9" s="166"/>
    </row>
    <row r="10" spans="1:12" ht="15">
      <c r="A10" s="2193">
        <v>44830</v>
      </c>
      <c r="B10" s="1903" t="s">
        <v>521</v>
      </c>
      <c r="C10" s="1903" t="s">
        <v>4939</v>
      </c>
      <c r="D10" s="2199" t="s">
        <v>3183</v>
      </c>
      <c r="E10" s="1923">
        <v>592.20000000000005</v>
      </c>
      <c r="F10" s="1933">
        <v>0</v>
      </c>
      <c r="G10" s="611">
        <v>309</v>
      </c>
      <c r="H10" s="1083">
        <v>44831.000497685185</v>
      </c>
      <c r="I10" s="1937"/>
      <c r="J10" s="2194"/>
      <c r="K10" s="2308"/>
      <c r="L10" s="166"/>
    </row>
    <row r="11" spans="1:12" ht="15">
      <c r="A11" s="2194"/>
      <c r="B11" s="1905"/>
      <c r="C11" s="1905"/>
      <c r="D11" s="2200"/>
      <c r="E11" s="1924"/>
      <c r="F11" s="1934"/>
      <c r="G11" s="611">
        <f>592.2-309</f>
        <v>283.20000000000005</v>
      </c>
      <c r="H11" s="1370">
        <v>44831.000497685185</v>
      </c>
      <c r="I11" s="1936">
        <v>1200</v>
      </c>
      <c r="J11" s="2193">
        <v>45049</v>
      </c>
      <c r="K11" s="2305" t="s">
        <v>4937</v>
      </c>
      <c r="L11" s="166"/>
    </row>
    <row r="12" spans="1:12" ht="15">
      <c r="A12" s="1370">
        <v>44896</v>
      </c>
      <c r="B12" s="1364" t="s">
        <v>521</v>
      </c>
      <c r="C12" s="1364" t="s">
        <v>4939</v>
      </c>
      <c r="D12" s="608" t="s">
        <v>3623</v>
      </c>
      <c r="E12" s="1369">
        <v>677.7</v>
      </c>
      <c r="F12" s="731">
        <v>0</v>
      </c>
      <c r="G12" s="611">
        <v>677.7</v>
      </c>
      <c r="H12" s="1370">
        <v>44941</v>
      </c>
      <c r="I12" s="2247"/>
      <c r="J12" s="2196"/>
      <c r="K12" s="2306"/>
      <c r="L12" s="166"/>
    </row>
    <row r="13" spans="1:12" ht="15">
      <c r="A13" s="2256">
        <v>44946</v>
      </c>
      <c r="B13" s="1941" t="s">
        <v>2518</v>
      </c>
      <c r="C13" s="1941" t="s">
        <v>4889</v>
      </c>
      <c r="D13" s="2260" t="s">
        <v>3989</v>
      </c>
      <c r="E13" s="1945">
        <v>515.70000000000005</v>
      </c>
      <c r="F13" s="2184">
        <v>0</v>
      </c>
      <c r="G13" s="611">
        <v>239.1</v>
      </c>
      <c r="H13" s="1370">
        <v>45006</v>
      </c>
      <c r="I13" s="1937"/>
      <c r="J13" s="2194"/>
      <c r="K13" s="2307"/>
      <c r="L13" s="166"/>
    </row>
    <row r="14" spans="1:12" ht="15">
      <c r="A14" s="2257"/>
      <c r="B14" s="1942"/>
      <c r="C14" s="1942"/>
      <c r="D14" s="2261"/>
      <c r="E14" s="1946"/>
      <c r="F14" s="2185"/>
      <c r="G14" s="605">
        <f>515.7-239.1</f>
        <v>276.60000000000002</v>
      </c>
      <c r="H14" s="601">
        <v>45006</v>
      </c>
      <c r="I14" s="631"/>
      <c r="J14" s="1370"/>
      <c r="K14" s="211"/>
      <c r="L14" s="166"/>
    </row>
    <row r="15" spans="1:12" ht="15">
      <c r="A15" s="601">
        <v>45043</v>
      </c>
      <c r="B15" s="601" t="s">
        <v>2518</v>
      </c>
      <c r="C15" s="623" t="s">
        <v>4888</v>
      </c>
      <c r="D15" s="602" t="s">
        <v>4887</v>
      </c>
      <c r="E15" s="603">
        <v>143.1</v>
      </c>
      <c r="F15" s="732">
        <v>0</v>
      </c>
      <c r="G15" s="605">
        <v>143.1</v>
      </c>
      <c r="H15" s="601">
        <v>45103</v>
      </c>
      <c r="I15" s="631"/>
      <c r="J15" s="607"/>
      <c r="K15" s="211"/>
      <c r="L15" s="166"/>
    </row>
    <row r="16" spans="1:12" ht="15">
      <c r="A16" s="601"/>
      <c r="B16" s="601"/>
      <c r="C16" s="623"/>
      <c r="D16" s="602"/>
      <c r="E16" s="603"/>
      <c r="F16" s="732"/>
      <c r="G16" s="605"/>
      <c r="H16" s="601"/>
      <c r="I16" s="631"/>
      <c r="J16" s="607"/>
      <c r="K16" s="211"/>
      <c r="L16" s="166"/>
    </row>
    <row r="17" spans="1:12" ht="15">
      <c r="A17" s="601"/>
      <c r="B17" s="601"/>
      <c r="C17" s="623"/>
      <c r="D17" s="602"/>
      <c r="E17" s="603"/>
      <c r="F17" s="732"/>
      <c r="G17" s="605"/>
      <c r="H17" s="601"/>
      <c r="I17" s="631"/>
      <c r="J17" s="607"/>
      <c r="K17" s="211"/>
      <c r="L17" s="166"/>
    </row>
    <row r="18" spans="1:12" ht="15">
      <c r="A18" s="601"/>
      <c r="B18" s="601"/>
      <c r="C18" s="623"/>
      <c r="D18" s="602"/>
      <c r="E18" s="603"/>
      <c r="F18" s="732"/>
      <c r="G18" s="605"/>
      <c r="H18" s="601"/>
      <c r="I18" s="631"/>
      <c r="J18" s="607"/>
      <c r="K18" s="211"/>
      <c r="L18" s="166"/>
    </row>
    <row r="19" spans="1:12" ht="15">
      <c r="A19" s="601"/>
      <c r="B19" s="601"/>
      <c r="C19" s="623"/>
      <c r="D19" s="602"/>
      <c r="E19" s="603"/>
      <c r="F19" s="732"/>
      <c r="G19" s="605"/>
      <c r="H19" s="601"/>
      <c r="I19" s="631"/>
      <c r="J19" s="607"/>
      <c r="K19" s="211"/>
      <c r="L19" s="166"/>
    </row>
    <row r="20" spans="1:12" ht="15">
      <c r="A20" s="601"/>
      <c r="B20" s="601"/>
      <c r="C20" s="623"/>
      <c r="D20" s="602"/>
      <c r="E20" s="603"/>
      <c r="F20" s="732"/>
      <c r="G20" s="605"/>
      <c r="H20" s="601"/>
      <c r="I20" s="631"/>
      <c r="J20" s="607"/>
      <c r="K20" s="211"/>
      <c r="L20" s="166"/>
    </row>
    <row r="21" spans="1:12" ht="15">
      <c r="A21" s="601"/>
      <c r="B21" s="601"/>
      <c r="C21" s="623"/>
      <c r="D21" s="602"/>
      <c r="E21" s="603"/>
      <c r="F21" s="732"/>
      <c r="G21" s="605"/>
      <c r="H21" s="601"/>
      <c r="I21" s="631"/>
      <c r="J21" s="607"/>
      <c r="K21" s="211"/>
      <c r="L21" s="166"/>
    </row>
    <row r="22" spans="1:12" ht="15">
      <c r="A22" s="601"/>
      <c r="B22" s="601"/>
      <c r="C22" s="623"/>
      <c r="D22" s="602"/>
      <c r="E22" s="603"/>
      <c r="F22" s="732"/>
      <c r="G22" s="605"/>
      <c r="H22" s="601"/>
      <c r="I22" s="631"/>
      <c r="J22" s="607"/>
      <c r="K22" s="211"/>
      <c r="L22" s="166"/>
    </row>
    <row r="23" spans="1:12" ht="15">
      <c r="A23" s="601"/>
      <c r="B23" s="601"/>
      <c r="C23" s="623"/>
      <c r="D23" s="602"/>
      <c r="E23" s="603"/>
      <c r="F23" s="732"/>
      <c r="G23" s="605"/>
      <c r="H23" s="601"/>
      <c r="I23" s="631"/>
      <c r="J23" s="607"/>
      <c r="K23" s="211"/>
      <c r="L23" s="166"/>
    </row>
    <row r="24" spans="1:12" ht="15">
      <c r="A24" s="601"/>
      <c r="B24" s="601"/>
      <c r="C24" s="623"/>
      <c r="D24" s="602"/>
      <c r="E24" s="603"/>
      <c r="F24" s="732"/>
      <c r="G24" s="605"/>
      <c r="H24" s="601"/>
      <c r="I24" s="631"/>
      <c r="J24" s="607"/>
      <c r="K24" s="211"/>
      <c r="L24" s="166"/>
    </row>
    <row r="25" spans="1:12" ht="15">
      <c r="A25" s="601"/>
      <c r="B25" s="601"/>
      <c r="C25" s="623"/>
      <c r="D25" s="602"/>
      <c r="E25" s="603"/>
      <c r="F25" s="732"/>
      <c r="G25" s="605"/>
      <c r="H25" s="601"/>
      <c r="I25" s="631"/>
      <c r="J25" s="607"/>
      <c r="K25" s="211"/>
      <c r="L25" s="166"/>
    </row>
    <row r="26" spans="1:12" ht="15">
      <c r="A26" s="601"/>
      <c r="B26" s="601"/>
      <c r="C26" s="623"/>
      <c r="D26" s="602"/>
      <c r="E26" s="603"/>
      <c r="F26" s="732"/>
      <c r="G26" s="605"/>
      <c r="H26" s="601"/>
      <c r="I26" s="631"/>
      <c r="J26" s="607"/>
      <c r="K26" s="211"/>
      <c r="L26" s="166"/>
    </row>
    <row r="27" spans="1:12" ht="15">
      <c r="A27" s="601"/>
      <c r="B27" s="601"/>
      <c r="C27" s="623"/>
      <c r="D27" s="602"/>
      <c r="E27" s="603"/>
      <c r="F27" s="732"/>
      <c r="G27" s="605"/>
      <c r="H27" s="601"/>
      <c r="I27" s="631"/>
      <c r="J27" s="607"/>
      <c r="K27" s="211"/>
      <c r="L27" s="166"/>
    </row>
    <row r="28" spans="1:12" ht="15">
      <c r="A28" s="615"/>
      <c r="B28" s="1133"/>
      <c r="C28" s="1133"/>
      <c r="D28" s="616"/>
      <c r="E28" s="616"/>
      <c r="F28" s="1144" t="s">
        <v>545</v>
      </c>
      <c r="G28" s="617">
        <f>SUM(G2:G27)-SUM(I2:I27)</f>
        <v>419.69999999999709</v>
      </c>
      <c r="H28" s="618"/>
      <c r="I28" s="631"/>
      <c r="J28" s="615"/>
      <c r="K28" s="211"/>
      <c r="L28" s="207"/>
    </row>
  </sheetData>
  <mergeCells count="28">
    <mergeCell ref="C10:C11"/>
    <mergeCell ref="B10:B11"/>
    <mergeCell ref="K5:K6"/>
    <mergeCell ref="J5:J6"/>
    <mergeCell ref="L5:L6"/>
    <mergeCell ref="D2:D5"/>
    <mergeCell ref="A2:A5"/>
    <mergeCell ref="F2:F5"/>
    <mergeCell ref="E2:E5"/>
    <mergeCell ref="I5:I6"/>
    <mergeCell ref="C2:C5"/>
    <mergeCell ref="B2:B5"/>
    <mergeCell ref="A13:A14"/>
    <mergeCell ref="K11:K13"/>
    <mergeCell ref="J11:J13"/>
    <mergeCell ref="I11:I13"/>
    <mergeCell ref="F13:F14"/>
    <mergeCell ref="E13:E14"/>
    <mergeCell ref="D13:D14"/>
    <mergeCell ref="C13:C14"/>
    <mergeCell ref="B13:B14"/>
    <mergeCell ref="F10:F11"/>
    <mergeCell ref="E10:E11"/>
    <mergeCell ref="D10:D11"/>
    <mergeCell ref="A10:A11"/>
    <mergeCell ref="K9:K10"/>
    <mergeCell ref="J9:J10"/>
    <mergeCell ref="I9:I10"/>
  </mergeCells>
  <phoneticPr fontId="22" type="noConversion"/>
  <hyperlinks>
    <hyperlink ref="F28" location="汇总!A1" display="剩余欠款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N157"/>
  <sheetViews>
    <sheetView workbookViewId="0">
      <pane ySplit="1" topLeftCell="A134" activePane="bottomLeft" state="frozen"/>
      <selection activeCell="C33" sqref="C33"/>
      <selection pane="bottomLeft" activeCell="F154" sqref="F154"/>
    </sheetView>
  </sheetViews>
  <sheetFormatPr defaultColWidth="8.75" defaultRowHeight="14.25"/>
  <cols>
    <col min="1" max="1" width="12" style="387" bestFit="1" customWidth="1"/>
    <col min="2" max="2" width="9" style="387" bestFit="1" customWidth="1"/>
    <col min="3" max="3" width="19.375" style="387" bestFit="1" customWidth="1"/>
    <col min="4" max="4" width="15" style="387" bestFit="1" customWidth="1"/>
    <col min="5" max="6" width="11.875" style="387" customWidth="1"/>
    <col min="7" max="7" width="11.5" style="210" bestFit="1" customWidth="1"/>
    <col min="8" max="8" width="16.75" style="210" bestFit="1" customWidth="1"/>
    <col min="9" max="9" width="14.125" style="1208" bestFit="1" customWidth="1"/>
    <col min="10" max="10" width="12" style="210" bestFit="1" customWidth="1"/>
    <col min="11" max="11" width="23.875" style="210" bestFit="1" customWidth="1"/>
    <col min="12" max="12" width="55.375" style="210" customWidth="1"/>
    <col min="13" max="16384" width="8.75" style="210"/>
  </cols>
  <sheetData>
    <row r="1" spans="1:12" s="96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6" t="s">
        <v>542</v>
      </c>
    </row>
    <row r="2" spans="1:12" ht="15">
      <c r="A2" s="1370">
        <v>44687</v>
      </c>
      <c r="B2" s="1364" t="s">
        <v>522</v>
      </c>
      <c r="C2" s="1364" t="s">
        <v>4131</v>
      </c>
      <c r="D2" s="608" t="s">
        <v>2557</v>
      </c>
      <c r="E2" s="1369">
        <v>292.83999999999997</v>
      </c>
      <c r="F2" s="1363">
        <v>0</v>
      </c>
      <c r="G2" s="611">
        <v>292.83999999999997</v>
      </c>
      <c r="H2" s="1367">
        <v>44687</v>
      </c>
      <c r="I2" s="1368">
        <v>292.83999999999997</v>
      </c>
      <c r="J2" s="1370">
        <v>45049</v>
      </c>
      <c r="K2" s="1362" t="s">
        <v>809</v>
      </c>
      <c r="L2" s="166" t="s">
        <v>3511</v>
      </c>
    </row>
    <row r="3" spans="1:12" ht="15">
      <c r="A3" s="607">
        <v>44739</v>
      </c>
      <c r="B3" s="1124" t="s">
        <v>522</v>
      </c>
      <c r="C3" s="1124" t="s">
        <v>4131</v>
      </c>
      <c r="D3" s="608" t="s">
        <v>2559</v>
      </c>
      <c r="E3" s="609">
        <v>33.22</v>
      </c>
      <c r="F3" s="610">
        <v>6.98</v>
      </c>
      <c r="G3" s="611">
        <v>40.200000000000003</v>
      </c>
      <c r="H3" s="612">
        <v>44739</v>
      </c>
      <c r="I3" s="1923">
        <v>265.32</v>
      </c>
      <c r="J3" s="2193">
        <v>44795</v>
      </c>
      <c r="K3" s="1935" t="s">
        <v>2884</v>
      </c>
      <c r="L3" s="1935"/>
    </row>
    <row r="4" spans="1:12" ht="15">
      <c r="A4" s="607">
        <v>44741</v>
      </c>
      <c r="B4" s="1124" t="s">
        <v>522</v>
      </c>
      <c r="C4" s="1124" t="s">
        <v>4131</v>
      </c>
      <c r="D4" s="608" t="s">
        <v>2560</v>
      </c>
      <c r="E4" s="609">
        <v>9.6199999999999992</v>
      </c>
      <c r="F4" s="610">
        <v>2.02</v>
      </c>
      <c r="G4" s="611">
        <v>11.64</v>
      </c>
      <c r="H4" s="607">
        <v>44741</v>
      </c>
      <c r="I4" s="1961"/>
      <c r="J4" s="2196"/>
      <c r="K4" s="1950"/>
      <c r="L4" s="1950"/>
    </row>
    <row r="5" spans="1:12" ht="15">
      <c r="A5" s="607">
        <v>44741</v>
      </c>
      <c r="B5" s="1124" t="s">
        <v>522</v>
      </c>
      <c r="C5" s="1124" t="s">
        <v>4131</v>
      </c>
      <c r="D5" s="608" t="s">
        <v>2561</v>
      </c>
      <c r="E5" s="609">
        <v>26.91</v>
      </c>
      <c r="F5" s="610">
        <v>5.65</v>
      </c>
      <c r="G5" s="611">
        <v>32.56</v>
      </c>
      <c r="H5" s="607">
        <v>44741</v>
      </c>
      <c r="I5" s="1961"/>
      <c r="J5" s="2196"/>
      <c r="K5" s="1950"/>
      <c r="L5" s="1950"/>
    </row>
    <row r="6" spans="1:12" ht="15">
      <c r="A6" s="607">
        <v>44748</v>
      </c>
      <c r="B6" s="1124" t="s">
        <v>522</v>
      </c>
      <c r="C6" s="1124" t="s">
        <v>4131</v>
      </c>
      <c r="D6" s="608" t="s">
        <v>2562</v>
      </c>
      <c r="E6" s="609">
        <v>69.55</v>
      </c>
      <c r="F6" s="610">
        <v>14.61</v>
      </c>
      <c r="G6" s="611">
        <v>84.16</v>
      </c>
      <c r="H6" s="607">
        <v>44748</v>
      </c>
      <c r="I6" s="1961"/>
      <c r="J6" s="2196"/>
      <c r="K6" s="1950"/>
      <c r="L6" s="1950"/>
    </row>
    <row r="7" spans="1:12" ht="15">
      <c r="A7" s="607">
        <v>44748</v>
      </c>
      <c r="B7" s="1124" t="s">
        <v>522</v>
      </c>
      <c r="C7" s="1124" t="s">
        <v>4131</v>
      </c>
      <c r="D7" s="608" t="s">
        <v>2563</v>
      </c>
      <c r="E7" s="609">
        <v>79.97</v>
      </c>
      <c r="F7" s="610">
        <v>16.79</v>
      </c>
      <c r="G7" s="611">
        <v>96.76</v>
      </c>
      <c r="H7" s="607">
        <v>44778</v>
      </c>
      <c r="I7" s="1924"/>
      <c r="J7" s="2194"/>
      <c r="K7" s="1947"/>
      <c r="L7" s="1947"/>
    </row>
    <row r="8" spans="1:12" ht="15">
      <c r="A8" s="607">
        <v>44741</v>
      </c>
      <c r="B8" s="1124" t="s">
        <v>522</v>
      </c>
      <c r="C8" s="1124" t="s">
        <v>4131</v>
      </c>
      <c r="D8" s="608" t="s">
        <v>2569</v>
      </c>
      <c r="E8" s="613">
        <v>0.01</v>
      </c>
      <c r="F8" s="614">
        <v>0</v>
      </c>
      <c r="G8" s="611">
        <v>0.01</v>
      </c>
      <c r="H8" s="607">
        <v>44741</v>
      </c>
      <c r="I8" s="1204">
        <v>0.01</v>
      </c>
      <c r="J8" s="607">
        <v>44746</v>
      </c>
      <c r="K8" s="485" t="s">
        <v>2568</v>
      </c>
      <c r="L8" s="166" t="s">
        <v>2570</v>
      </c>
    </row>
    <row r="9" spans="1:12" ht="15">
      <c r="A9" s="607">
        <v>44748</v>
      </c>
      <c r="B9" s="1124" t="s">
        <v>522</v>
      </c>
      <c r="C9" s="1124" t="s">
        <v>4131</v>
      </c>
      <c r="D9" s="608" t="s">
        <v>2564</v>
      </c>
      <c r="E9" s="613">
        <v>0.01</v>
      </c>
      <c r="F9" s="614">
        <v>0</v>
      </c>
      <c r="G9" s="611">
        <v>0.01</v>
      </c>
      <c r="H9" s="607">
        <v>44748</v>
      </c>
      <c r="I9" s="1204">
        <v>0.01</v>
      </c>
      <c r="J9" s="607">
        <v>44749</v>
      </c>
      <c r="K9" s="485" t="s">
        <v>2568</v>
      </c>
      <c r="L9" s="166" t="s">
        <v>2570</v>
      </c>
    </row>
    <row r="10" spans="1:12" ht="15">
      <c r="A10" s="607">
        <v>44735</v>
      </c>
      <c r="B10" s="1124" t="s">
        <v>522</v>
      </c>
      <c r="C10" s="1124" t="s">
        <v>4131</v>
      </c>
      <c r="D10" s="608" t="s">
        <v>2558</v>
      </c>
      <c r="E10" s="609">
        <v>60.43</v>
      </c>
      <c r="F10" s="610">
        <v>12.69</v>
      </c>
      <c r="G10" s="611">
        <v>73.12</v>
      </c>
      <c r="H10" s="612">
        <v>44765</v>
      </c>
      <c r="I10" s="1923">
        <v>2253.04</v>
      </c>
      <c r="J10" s="2193">
        <v>44806</v>
      </c>
      <c r="K10" s="1935" t="s">
        <v>2937</v>
      </c>
      <c r="L10" s="1935"/>
    </row>
    <row r="11" spans="1:12" ht="15">
      <c r="A11" s="607">
        <v>44753</v>
      </c>
      <c r="B11" s="1124" t="s">
        <v>522</v>
      </c>
      <c r="C11" s="1124" t="s">
        <v>4131</v>
      </c>
      <c r="D11" s="608" t="s">
        <v>2565</v>
      </c>
      <c r="E11" s="609">
        <v>11.93</v>
      </c>
      <c r="F11" s="610">
        <v>2.5099999999999998</v>
      </c>
      <c r="G11" s="611">
        <v>14.44</v>
      </c>
      <c r="H11" s="607">
        <v>44783</v>
      </c>
      <c r="I11" s="1961"/>
      <c r="J11" s="2196"/>
      <c r="K11" s="1950"/>
      <c r="L11" s="1950"/>
    </row>
    <row r="12" spans="1:12" ht="15">
      <c r="A12" s="607">
        <v>44755</v>
      </c>
      <c r="B12" s="1124" t="s">
        <v>522</v>
      </c>
      <c r="C12" s="1124" t="s">
        <v>4131</v>
      </c>
      <c r="D12" s="608" t="s">
        <v>2566</v>
      </c>
      <c r="E12" s="609">
        <v>71.069999999999993</v>
      </c>
      <c r="F12" s="610">
        <v>14.93</v>
      </c>
      <c r="G12" s="611">
        <v>86</v>
      </c>
      <c r="H12" s="607">
        <v>44755</v>
      </c>
      <c r="I12" s="1961"/>
      <c r="J12" s="2196"/>
      <c r="K12" s="1950"/>
      <c r="L12" s="1950"/>
    </row>
    <row r="13" spans="1:12" ht="15">
      <c r="A13" s="607">
        <v>44760</v>
      </c>
      <c r="B13" s="1124" t="s">
        <v>522</v>
      </c>
      <c r="C13" s="1124" t="s">
        <v>4131</v>
      </c>
      <c r="D13" s="608" t="s">
        <v>2567</v>
      </c>
      <c r="E13" s="609">
        <v>1601.16</v>
      </c>
      <c r="F13" s="610">
        <v>336.24</v>
      </c>
      <c r="G13" s="611">
        <v>1937.4</v>
      </c>
      <c r="H13" s="607">
        <v>44760</v>
      </c>
      <c r="I13" s="1961"/>
      <c r="J13" s="2196"/>
      <c r="K13" s="1950"/>
      <c r="L13" s="1950"/>
    </row>
    <row r="14" spans="1:12" ht="15">
      <c r="A14" s="607">
        <v>44768</v>
      </c>
      <c r="B14" s="1124" t="s">
        <v>522</v>
      </c>
      <c r="C14" s="1124" t="s">
        <v>4131</v>
      </c>
      <c r="D14" s="608" t="s">
        <v>2551</v>
      </c>
      <c r="E14" s="609">
        <v>28.99</v>
      </c>
      <c r="F14" s="610">
        <v>6.09</v>
      </c>
      <c r="G14" s="611">
        <v>35.08</v>
      </c>
      <c r="H14" s="607">
        <v>44768</v>
      </c>
      <c r="I14" s="1961"/>
      <c r="J14" s="2196"/>
      <c r="K14" s="1950"/>
      <c r="L14" s="1950"/>
    </row>
    <row r="15" spans="1:12" ht="15">
      <c r="A15" s="607">
        <v>44771</v>
      </c>
      <c r="B15" s="1124" t="s">
        <v>2518</v>
      </c>
      <c r="C15" s="1124" t="s">
        <v>4131</v>
      </c>
      <c r="D15" s="608" t="s">
        <v>2552</v>
      </c>
      <c r="E15" s="609">
        <v>88.43</v>
      </c>
      <c r="F15" s="610">
        <v>18.57</v>
      </c>
      <c r="G15" s="611">
        <v>107</v>
      </c>
      <c r="H15" s="607">
        <v>44772</v>
      </c>
      <c r="I15" s="1924"/>
      <c r="J15" s="2194"/>
      <c r="K15" s="1947"/>
      <c r="L15" s="1947"/>
    </row>
    <row r="16" spans="1:12" ht="15">
      <c r="A16" s="607">
        <v>44778</v>
      </c>
      <c r="B16" s="1124" t="s">
        <v>2518</v>
      </c>
      <c r="C16" s="1124" t="s">
        <v>4131</v>
      </c>
      <c r="D16" s="608" t="s">
        <v>2614</v>
      </c>
      <c r="E16" s="609">
        <v>538.84</v>
      </c>
      <c r="F16" s="610">
        <v>113.16</v>
      </c>
      <c r="G16" s="611">
        <v>652</v>
      </c>
      <c r="H16" s="607">
        <v>44779</v>
      </c>
      <c r="I16" s="1923">
        <v>1597.04</v>
      </c>
      <c r="J16" s="2193">
        <v>44824</v>
      </c>
      <c r="K16" s="1935" t="s">
        <v>3086</v>
      </c>
      <c r="L16" s="1935"/>
    </row>
    <row r="17" spans="1:14" ht="15">
      <c r="A17" s="607">
        <v>44781.000497685185</v>
      </c>
      <c r="B17" s="1124" t="s">
        <v>2518</v>
      </c>
      <c r="C17" s="1124" t="s">
        <v>4131</v>
      </c>
      <c r="D17" s="608" t="s">
        <v>2696</v>
      </c>
      <c r="E17" s="609">
        <v>24.07</v>
      </c>
      <c r="F17" s="610">
        <v>5.05</v>
      </c>
      <c r="G17" s="611">
        <v>29.12</v>
      </c>
      <c r="H17" s="607">
        <v>44782.000497685185</v>
      </c>
      <c r="I17" s="1961"/>
      <c r="J17" s="2196"/>
      <c r="K17" s="2309"/>
      <c r="L17" s="1950"/>
    </row>
    <row r="18" spans="1:14" ht="15">
      <c r="A18" s="607">
        <v>44784.000497685185</v>
      </c>
      <c r="B18" s="1124" t="s">
        <v>2518</v>
      </c>
      <c r="C18" s="1124" t="s">
        <v>4131</v>
      </c>
      <c r="D18" s="608" t="s">
        <v>2697</v>
      </c>
      <c r="E18" s="609">
        <v>40.03</v>
      </c>
      <c r="F18" s="610">
        <v>8.41</v>
      </c>
      <c r="G18" s="611">
        <v>48.44</v>
      </c>
      <c r="H18" s="607">
        <v>44785.000497685185</v>
      </c>
      <c r="I18" s="1961"/>
      <c r="J18" s="2196"/>
      <c r="K18" s="2309"/>
      <c r="L18" s="1950"/>
    </row>
    <row r="19" spans="1:14" ht="15">
      <c r="A19" s="607">
        <v>44784.000497685185</v>
      </c>
      <c r="B19" s="1124" t="s">
        <v>2518</v>
      </c>
      <c r="C19" s="1124" t="s">
        <v>4131</v>
      </c>
      <c r="D19" s="608" t="s">
        <v>2698</v>
      </c>
      <c r="E19" s="609">
        <v>567.6</v>
      </c>
      <c r="F19" s="610">
        <v>119.2</v>
      </c>
      <c r="G19" s="611">
        <v>686.8</v>
      </c>
      <c r="H19" s="607">
        <v>44785.000497685185</v>
      </c>
      <c r="I19" s="1961"/>
      <c r="J19" s="2196"/>
      <c r="K19" s="2309"/>
      <c r="L19" s="1950"/>
    </row>
    <row r="20" spans="1:14" ht="15">
      <c r="A20" s="607">
        <v>44790.000497685185</v>
      </c>
      <c r="B20" s="1124" t="s">
        <v>2518</v>
      </c>
      <c r="C20" s="1124" t="s">
        <v>4131</v>
      </c>
      <c r="D20" s="608" t="s">
        <v>2814</v>
      </c>
      <c r="E20" s="609">
        <v>149.32</v>
      </c>
      <c r="F20" s="610">
        <v>31.36</v>
      </c>
      <c r="G20" s="611">
        <v>180.68</v>
      </c>
      <c r="H20" s="607">
        <v>44791.000497685185</v>
      </c>
      <c r="I20" s="1924"/>
      <c r="J20" s="2194"/>
      <c r="K20" s="2308"/>
      <c r="L20" s="1947"/>
    </row>
    <row r="21" spans="1:14" s="388" customFormat="1" ht="15">
      <c r="A21" s="914">
        <v>44777</v>
      </c>
      <c r="B21" s="1124" t="s">
        <v>2518</v>
      </c>
      <c r="C21" s="1124" t="s">
        <v>4131</v>
      </c>
      <c r="D21" s="608" t="s">
        <v>2613</v>
      </c>
      <c r="E21" s="913">
        <v>48.6</v>
      </c>
      <c r="F21" s="907">
        <v>10.210000000000001</v>
      </c>
      <c r="G21" s="611">
        <v>58.8</v>
      </c>
      <c r="H21" s="914">
        <v>44778</v>
      </c>
      <c r="I21" s="1923">
        <v>852.88</v>
      </c>
      <c r="J21" s="2193">
        <v>44881</v>
      </c>
      <c r="K21" s="1935" t="s">
        <v>3505</v>
      </c>
      <c r="L21" s="1935"/>
    </row>
    <row r="22" spans="1:14" ht="15">
      <c r="A22" s="914">
        <v>44792.000497685185</v>
      </c>
      <c r="B22" s="1124" t="s">
        <v>2518</v>
      </c>
      <c r="C22" s="1124" t="s">
        <v>4131</v>
      </c>
      <c r="D22" s="608" t="s">
        <v>2815</v>
      </c>
      <c r="E22" s="913">
        <v>78.680000000000007</v>
      </c>
      <c r="F22" s="907">
        <v>16.52</v>
      </c>
      <c r="G22" s="611">
        <v>95.2</v>
      </c>
      <c r="H22" s="914">
        <v>44793.000497685185</v>
      </c>
      <c r="I22" s="1961"/>
      <c r="J22" s="2196"/>
      <c r="K22" s="1950"/>
      <c r="L22" s="1950"/>
    </row>
    <row r="23" spans="1:14" ht="15">
      <c r="A23" s="914">
        <v>44796</v>
      </c>
      <c r="B23" s="1124" t="s">
        <v>2518</v>
      </c>
      <c r="C23" s="1124" t="s">
        <v>4131</v>
      </c>
      <c r="D23" s="608" t="s">
        <v>2860</v>
      </c>
      <c r="E23" s="913">
        <v>82.71</v>
      </c>
      <c r="F23" s="907">
        <v>17.37</v>
      </c>
      <c r="G23" s="611">
        <v>100.08</v>
      </c>
      <c r="H23" s="914">
        <v>44797</v>
      </c>
      <c r="I23" s="1961"/>
      <c r="J23" s="2196"/>
      <c r="K23" s="1950"/>
      <c r="L23" s="1950"/>
    </row>
    <row r="24" spans="1:14" ht="15">
      <c r="A24" s="914">
        <v>44798</v>
      </c>
      <c r="B24" s="1124" t="s">
        <v>2518</v>
      </c>
      <c r="C24" s="1124" t="s">
        <v>4131</v>
      </c>
      <c r="D24" s="608" t="s">
        <v>2863</v>
      </c>
      <c r="E24" s="913">
        <v>494.88</v>
      </c>
      <c r="F24" s="907">
        <v>103.92</v>
      </c>
      <c r="G24" s="611">
        <v>598.79999999999995</v>
      </c>
      <c r="H24" s="914">
        <v>44799</v>
      </c>
      <c r="I24" s="1924"/>
      <c r="J24" s="2194"/>
      <c r="K24" s="1947"/>
      <c r="L24" s="1947"/>
    </row>
    <row r="25" spans="1:14" ht="15">
      <c r="A25" s="985">
        <v>44797</v>
      </c>
      <c r="B25" s="1124" t="s">
        <v>2518</v>
      </c>
      <c r="C25" s="1124" t="s">
        <v>4131</v>
      </c>
      <c r="D25" s="608" t="s">
        <v>2861</v>
      </c>
      <c r="E25" s="984">
        <v>8</v>
      </c>
      <c r="F25" s="980">
        <v>1.68</v>
      </c>
      <c r="G25" s="611">
        <v>9.68</v>
      </c>
      <c r="H25" s="985">
        <v>44798</v>
      </c>
      <c r="I25" s="1923">
        <v>3271.2</v>
      </c>
      <c r="J25" s="2193">
        <v>44900</v>
      </c>
      <c r="K25" s="1935" t="s">
        <v>3674</v>
      </c>
      <c r="L25" s="166"/>
      <c r="M25" s="190"/>
      <c r="N25" s="190"/>
    </row>
    <row r="26" spans="1:14" ht="15">
      <c r="A26" s="985">
        <v>44798</v>
      </c>
      <c r="B26" s="1124" t="s">
        <v>2518</v>
      </c>
      <c r="C26" s="1124" t="s">
        <v>4131</v>
      </c>
      <c r="D26" s="608" t="s">
        <v>2862</v>
      </c>
      <c r="E26" s="984">
        <v>38.22</v>
      </c>
      <c r="F26" s="980">
        <v>8.0299999999999994</v>
      </c>
      <c r="G26" s="611">
        <v>46.24</v>
      </c>
      <c r="H26" s="985">
        <v>44799</v>
      </c>
      <c r="I26" s="1961"/>
      <c r="J26" s="2196"/>
      <c r="K26" s="2309"/>
      <c r="L26" s="166"/>
      <c r="M26" s="190"/>
      <c r="N26" s="190"/>
    </row>
    <row r="27" spans="1:14" ht="15">
      <c r="A27" s="985">
        <v>44799</v>
      </c>
      <c r="B27" s="1124" t="s">
        <v>2518</v>
      </c>
      <c r="C27" s="1124" t="s">
        <v>4131</v>
      </c>
      <c r="D27" s="608" t="s">
        <v>2864</v>
      </c>
      <c r="E27" s="984">
        <v>552.07000000000005</v>
      </c>
      <c r="F27" s="980">
        <v>115.93</v>
      </c>
      <c r="G27" s="611">
        <v>668</v>
      </c>
      <c r="H27" s="985">
        <v>44800</v>
      </c>
      <c r="I27" s="1961"/>
      <c r="J27" s="2196"/>
      <c r="K27" s="2309"/>
      <c r="L27" s="166"/>
      <c r="M27" s="190"/>
      <c r="N27" s="190"/>
    </row>
    <row r="28" spans="1:14" ht="15">
      <c r="A28" s="985">
        <v>44803</v>
      </c>
      <c r="B28" s="1124" t="s">
        <v>2518</v>
      </c>
      <c r="C28" s="1124" t="s">
        <v>4131</v>
      </c>
      <c r="D28" s="608" t="s">
        <v>2929</v>
      </c>
      <c r="E28" s="984">
        <v>14.55</v>
      </c>
      <c r="F28" s="980">
        <v>3.06</v>
      </c>
      <c r="G28" s="611">
        <v>17.600000000000001</v>
      </c>
      <c r="H28" s="985">
        <v>44804</v>
      </c>
      <c r="I28" s="1961"/>
      <c r="J28" s="2196"/>
      <c r="K28" s="2309"/>
      <c r="L28" s="166"/>
      <c r="M28" s="190"/>
      <c r="N28" s="190"/>
    </row>
    <row r="29" spans="1:14" ht="15">
      <c r="A29" s="985">
        <v>44804</v>
      </c>
      <c r="B29" s="1124" t="s">
        <v>2518</v>
      </c>
      <c r="C29" s="1124" t="s">
        <v>4131</v>
      </c>
      <c r="D29" s="608" t="s">
        <v>2930</v>
      </c>
      <c r="E29" s="984">
        <v>51.9</v>
      </c>
      <c r="F29" s="980">
        <v>10.9</v>
      </c>
      <c r="G29" s="611">
        <v>62.8</v>
      </c>
      <c r="H29" s="985">
        <v>44805</v>
      </c>
      <c r="I29" s="1961"/>
      <c r="J29" s="2196"/>
      <c r="K29" s="2309"/>
      <c r="L29" s="166"/>
      <c r="M29" s="190"/>
      <c r="N29" s="190"/>
    </row>
    <row r="30" spans="1:14" ht="15">
      <c r="A30" s="985">
        <v>44805</v>
      </c>
      <c r="B30" s="1124" t="s">
        <v>2518</v>
      </c>
      <c r="C30" s="1124" t="s">
        <v>4131</v>
      </c>
      <c r="D30" s="608" t="s">
        <v>2931</v>
      </c>
      <c r="E30" s="984">
        <v>37.42</v>
      </c>
      <c r="F30" s="980">
        <v>7.86</v>
      </c>
      <c r="G30" s="611">
        <v>45.28</v>
      </c>
      <c r="H30" s="985">
        <v>44806</v>
      </c>
      <c r="I30" s="1961"/>
      <c r="J30" s="2196"/>
      <c r="K30" s="2309"/>
      <c r="L30" s="166"/>
      <c r="M30" s="190"/>
      <c r="N30" s="190"/>
    </row>
    <row r="31" spans="1:14" ht="15">
      <c r="A31" s="985">
        <v>44811</v>
      </c>
      <c r="B31" s="1124" t="s">
        <v>2518</v>
      </c>
      <c r="C31" s="1124" t="s">
        <v>4131</v>
      </c>
      <c r="D31" s="608" t="s">
        <v>2964</v>
      </c>
      <c r="E31" s="984">
        <v>55.9</v>
      </c>
      <c r="F31" s="980">
        <v>11.74</v>
      </c>
      <c r="G31" s="611">
        <v>67.64</v>
      </c>
      <c r="H31" s="985">
        <v>44812</v>
      </c>
      <c r="I31" s="1961"/>
      <c r="J31" s="2196"/>
      <c r="K31" s="2309"/>
      <c r="L31" s="166"/>
      <c r="M31" s="190"/>
      <c r="N31" s="190"/>
    </row>
    <row r="32" spans="1:14" ht="15">
      <c r="A32" s="985">
        <v>44811</v>
      </c>
      <c r="B32" s="1124" t="s">
        <v>2518</v>
      </c>
      <c r="C32" s="1124" t="s">
        <v>4131</v>
      </c>
      <c r="D32" s="608" t="s">
        <v>2965</v>
      </c>
      <c r="E32" s="984">
        <v>29.92</v>
      </c>
      <c r="F32" s="980">
        <v>6.28</v>
      </c>
      <c r="G32" s="611">
        <v>36.200000000000003</v>
      </c>
      <c r="H32" s="985">
        <v>44812</v>
      </c>
      <c r="I32" s="1961"/>
      <c r="J32" s="2196"/>
      <c r="K32" s="2309"/>
      <c r="L32" s="166"/>
      <c r="M32" s="190"/>
      <c r="N32" s="190"/>
    </row>
    <row r="33" spans="1:14" ht="15">
      <c r="A33" s="985">
        <v>44811</v>
      </c>
      <c r="B33" s="1124" t="s">
        <v>2518</v>
      </c>
      <c r="C33" s="1124" t="s">
        <v>4131</v>
      </c>
      <c r="D33" s="608" t="s">
        <v>2966</v>
      </c>
      <c r="E33" s="984">
        <v>43.21</v>
      </c>
      <c r="F33" s="980">
        <v>9.07</v>
      </c>
      <c r="G33" s="611">
        <v>52.28</v>
      </c>
      <c r="H33" s="985">
        <v>44812</v>
      </c>
      <c r="I33" s="1961"/>
      <c r="J33" s="2196"/>
      <c r="K33" s="2309"/>
      <c r="L33" s="166" t="s">
        <v>3516</v>
      </c>
      <c r="M33" s="190"/>
      <c r="N33" s="190"/>
    </row>
    <row r="34" spans="1:14" ht="15">
      <c r="A34" s="985">
        <v>44811</v>
      </c>
      <c r="B34" s="1124" t="s">
        <v>2518</v>
      </c>
      <c r="C34" s="1124" t="s">
        <v>4131</v>
      </c>
      <c r="D34" s="608" t="s">
        <v>2967</v>
      </c>
      <c r="E34" s="984">
        <v>34.049999999999997</v>
      </c>
      <c r="F34" s="980">
        <v>7.15</v>
      </c>
      <c r="G34" s="611">
        <v>41.2</v>
      </c>
      <c r="H34" s="985">
        <v>44812</v>
      </c>
      <c r="I34" s="1961"/>
      <c r="J34" s="2196"/>
      <c r="K34" s="2309"/>
      <c r="L34" s="166"/>
      <c r="M34" s="190"/>
      <c r="N34" s="190"/>
    </row>
    <row r="35" spans="1:14" ht="15">
      <c r="A35" s="985">
        <v>44812</v>
      </c>
      <c r="B35" s="1124" t="s">
        <v>2518</v>
      </c>
      <c r="C35" s="1124" t="s">
        <v>4131</v>
      </c>
      <c r="D35" s="608" t="s">
        <v>2968</v>
      </c>
      <c r="E35" s="984">
        <v>112.23</v>
      </c>
      <c r="F35" s="980">
        <v>23.57</v>
      </c>
      <c r="G35" s="611">
        <v>135.80000000000001</v>
      </c>
      <c r="H35" s="985">
        <v>44813</v>
      </c>
      <c r="I35" s="1961"/>
      <c r="J35" s="2196"/>
      <c r="K35" s="2309"/>
      <c r="L35" s="166"/>
      <c r="M35" s="190"/>
      <c r="N35" s="190"/>
    </row>
    <row r="36" spans="1:14" ht="15">
      <c r="A36" s="985">
        <v>44819</v>
      </c>
      <c r="B36" s="1124" t="s">
        <v>2518</v>
      </c>
      <c r="C36" s="1124" t="s">
        <v>4131</v>
      </c>
      <c r="D36" s="608" t="s">
        <v>3019</v>
      </c>
      <c r="E36" s="984">
        <v>35.840000000000003</v>
      </c>
      <c r="F36" s="980">
        <v>7.53</v>
      </c>
      <c r="G36" s="611">
        <v>43.36</v>
      </c>
      <c r="H36" s="985">
        <v>44820</v>
      </c>
      <c r="I36" s="1961"/>
      <c r="J36" s="2196"/>
      <c r="K36" s="2309"/>
      <c r="L36" s="166"/>
      <c r="M36" s="190"/>
      <c r="N36" s="190"/>
    </row>
    <row r="37" spans="1:14" ht="15">
      <c r="A37" s="985">
        <v>44819</v>
      </c>
      <c r="B37" s="1124" t="s">
        <v>2518</v>
      </c>
      <c r="C37" s="1124" t="s">
        <v>4131</v>
      </c>
      <c r="D37" s="608" t="s">
        <v>3020</v>
      </c>
      <c r="E37" s="984">
        <v>23.47</v>
      </c>
      <c r="F37" s="980">
        <v>4.93</v>
      </c>
      <c r="G37" s="611">
        <v>28.4</v>
      </c>
      <c r="H37" s="985">
        <v>44820</v>
      </c>
      <c r="I37" s="1961"/>
      <c r="J37" s="2196"/>
      <c r="K37" s="2309"/>
      <c r="L37" s="166"/>
      <c r="M37" s="190"/>
      <c r="N37" s="190"/>
    </row>
    <row r="38" spans="1:14" ht="15">
      <c r="A38" s="985">
        <v>44819</v>
      </c>
      <c r="B38" s="1124" t="s">
        <v>2518</v>
      </c>
      <c r="C38" s="1124" t="s">
        <v>4131</v>
      </c>
      <c r="D38" s="608" t="s">
        <v>3021</v>
      </c>
      <c r="E38" s="984">
        <v>-30.55</v>
      </c>
      <c r="F38" s="980">
        <v>-6.42</v>
      </c>
      <c r="G38" s="611">
        <v>-36.96</v>
      </c>
      <c r="H38" s="985"/>
      <c r="I38" s="1961"/>
      <c r="J38" s="2196"/>
      <c r="K38" s="2309"/>
      <c r="L38" s="166"/>
      <c r="M38" s="190"/>
      <c r="N38" s="190"/>
    </row>
    <row r="39" spans="1:14" ht="15">
      <c r="A39" s="985">
        <v>44820</v>
      </c>
      <c r="B39" s="1124" t="s">
        <v>2518</v>
      </c>
      <c r="C39" s="1124" t="s">
        <v>4131</v>
      </c>
      <c r="D39" s="608" t="s">
        <v>3022</v>
      </c>
      <c r="E39" s="984">
        <v>6.58</v>
      </c>
      <c r="F39" s="980">
        <v>1.38</v>
      </c>
      <c r="G39" s="611">
        <v>7.96</v>
      </c>
      <c r="H39" s="985">
        <v>44821</v>
      </c>
      <c r="I39" s="1961"/>
      <c r="J39" s="2196"/>
      <c r="K39" s="2309"/>
      <c r="L39" s="166"/>
      <c r="M39" s="190"/>
      <c r="N39" s="190"/>
    </row>
    <row r="40" spans="1:14" ht="15">
      <c r="A40" s="985">
        <v>44820</v>
      </c>
      <c r="B40" s="1124" t="s">
        <v>2518</v>
      </c>
      <c r="C40" s="1124" t="s">
        <v>4131</v>
      </c>
      <c r="D40" s="608" t="s">
        <v>3023</v>
      </c>
      <c r="E40" s="984">
        <v>188.96</v>
      </c>
      <c r="F40" s="980">
        <v>39.68</v>
      </c>
      <c r="G40" s="611">
        <v>228.64</v>
      </c>
      <c r="H40" s="985">
        <v>44821</v>
      </c>
      <c r="I40" s="1961"/>
      <c r="J40" s="2196"/>
      <c r="K40" s="2309"/>
      <c r="L40" s="166"/>
      <c r="M40" s="190"/>
      <c r="N40" s="190"/>
    </row>
    <row r="41" spans="1:14" ht="15">
      <c r="A41" s="985">
        <v>44820</v>
      </c>
      <c r="B41" s="1124" t="s">
        <v>2518</v>
      </c>
      <c r="C41" s="1124" t="s">
        <v>4131</v>
      </c>
      <c r="D41" s="608" t="s">
        <v>3024</v>
      </c>
      <c r="E41" s="984">
        <v>22.51</v>
      </c>
      <c r="F41" s="980">
        <v>4.7300000000000004</v>
      </c>
      <c r="G41" s="611">
        <v>27.24</v>
      </c>
      <c r="H41" s="985">
        <v>44821</v>
      </c>
      <c r="I41" s="1961"/>
      <c r="J41" s="2196"/>
      <c r="K41" s="2309"/>
      <c r="L41" s="166"/>
      <c r="M41" s="190"/>
      <c r="N41" s="190"/>
    </row>
    <row r="42" spans="1:14" ht="15">
      <c r="A42" s="985">
        <v>44823</v>
      </c>
      <c r="B42" s="1124" t="s">
        <v>2518</v>
      </c>
      <c r="C42" s="1124" t="s">
        <v>4131</v>
      </c>
      <c r="D42" s="608" t="s">
        <v>3069</v>
      </c>
      <c r="E42" s="984">
        <v>41.98</v>
      </c>
      <c r="F42" s="980">
        <v>8.82</v>
      </c>
      <c r="G42" s="611">
        <v>50.8</v>
      </c>
      <c r="H42" s="985">
        <v>44824</v>
      </c>
      <c r="I42" s="1961"/>
      <c r="J42" s="2196"/>
      <c r="K42" s="2309"/>
      <c r="L42" s="166"/>
      <c r="M42" s="190"/>
      <c r="N42" s="190"/>
    </row>
    <row r="43" spans="1:14" ht="15">
      <c r="A43" s="985">
        <v>44823</v>
      </c>
      <c r="B43" s="1124" t="s">
        <v>2518</v>
      </c>
      <c r="C43" s="1124" t="s">
        <v>4131</v>
      </c>
      <c r="D43" s="608" t="s">
        <v>3070</v>
      </c>
      <c r="E43" s="984">
        <v>22.81</v>
      </c>
      <c r="F43" s="980">
        <v>4.79</v>
      </c>
      <c r="G43" s="611">
        <v>27.6</v>
      </c>
      <c r="H43" s="985">
        <v>44824</v>
      </c>
      <c r="I43" s="1961"/>
      <c r="J43" s="2196"/>
      <c r="K43" s="2309"/>
      <c r="L43" s="166"/>
      <c r="M43" s="190"/>
      <c r="N43" s="190"/>
    </row>
    <row r="44" spans="1:14" ht="15">
      <c r="A44" s="985">
        <v>44824</v>
      </c>
      <c r="B44" s="1124" t="s">
        <v>2518</v>
      </c>
      <c r="C44" s="1124" t="s">
        <v>4131</v>
      </c>
      <c r="D44" s="608" t="s">
        <v>3071</v>
      </c>
      <c r="E44" s="984">
        <v>56.53</v>
      </c>
      <c r="F44" s="980">
        <v>11.87</v>
      </c>
      <c r="G44" s="611">
        <v>68.400000000000006</v>
      </c>
      <c r="H44" s="985">
        <v>44825</v>
      </c>
      <c r="I44" s="1961"/>
      <c r="J44" s="2196"/>
      <c r="K44" s="2309"/>
      <c r="L44" s="166"/>
      <c r="M44" s="190"/>
      <c r="N44" s="190"/>
    </row>
    <row r="45" spans="1:14" ht="15">
      <c r="A45" s="985">
        <v>44824</v>
      </c>
      <c r="B45" s="1124" t="s">
        <v>2518</v>
      </c>
      <c r="C45" s="1124" t="s">
        <v>4131</v>
      </c>
      <c r="D45" s="608" t="s">
        <v>3072</v>
      </c>
      <c r="E45" s="984">
        <v>28.63</v>
      </c>
      <c r="F45" s="980">
        <v>6.01</v>
      </c>
      <c r="G45" s="611">
        <v>34.64</v>
      </c>
      <c r="H45" s="985">
        <v>44825</v>
      </c>
      <c r="I45" s="1961"/>
      <c r="J45" s="2196"/>
      <c r="K45" s="2309"/>
      <c r="L45" s="166"/>
      <c r="M45" s="190"/>
      <c r="N45" s="190"/>
    </row>
    <row r="46" spans="1:14" ht="15">
      <c r="A46" s="985">
        <v>44825</v>
      </c>
      <c r="B46" s="1124" t="s">
        <v>2518</v>
      </c>
      <c r="C46" s="1124" t="s">
        <v>4131</v>
      </c>
      <c r="D46" s="608" t="s">
        <v>3073</v>
      </c>
      <c r="E46" s="984">
        <v>151.24</v>
      </c>
      <c r="F46" s="980">
        <v>31.76</v>
      </c>
      <c r="G46" s="611">
        <v>183</v>
      </c>
      <c r="H46" s="985">
        <v>44826</v>
      </c>
      <c r="I46" s="1961"/>
      <c r="J46" s="2196"/>
      <c r="K46" s="2309"/>
      <c r="L46" s="166"/>
      <c r="M46" s="190"/>
      <c r="N46" s="190"/>
    </row>
    <row r="47" spans="1:14" ht="15">
      <c r="A47" s="985">
        <v>44825</v>
      </c>
      <c r="B47" s="1124" t="s">
        <v>2518</v>
      </c>
      <c r="C47" s="1124" t="s">
        <v>4131</v>
      </c>
      <c r="D47" s="608" t="s">
        <v>3074</v>
      </c>
      <c r="E47" s="984">
        <v>105.79</v>
      </c>
      <c r="F47" s="980">
        <v>22.22</v>
      </c>
      <c r="G47" s="611">
        <v>128</v>
      </c>
      <c r="H47" s="985">
        <v>44826</v>
      </c>
      <c r="I47" s="1961"/>
      <c r="J47" s="2196"/>
      <c r="K47" s="2309"/>
      <c r="L47" s="166"/>
      <c r="M47" s="190"/>
      <c r="N47" s="190"/>
    </row>
    <row r="48" spans="1:14" ht="15">
      <c r="A48" s="985">
        <v>44826</v>
      </c>
      <c r="B48" s="1124" t="s">
        <v>2518</v>
      </c>
      <c r="C48" s="1124" t="s">
        <v>4131</v>
      </c>
      <c r="D48" s="608" t="s">
        <v>3075</v>
      </c>
      <c r="E48" s="984">
        <v>14.22</v>
      </c>
      <c r="F48" s="980">
        <v>2.99</v>
      </c>
      <c r="G48" s="611">
        <v>17.2</v>
      </c>
      <c r="H48" s="985">
        <v>44827</v>
      </c>
      <c r="I48" s="1961"/>
      <c r="J48" s="2196"/>
      <c r="K48" s="2309"/>
      <c r="L48" s="166"/>
      <c r="M48" s="190"/>
      <c r="N48" s="190"/>
    </row>
    <row r="49" spans="1:14" ht="15">
      <c r="A49" s="985">
        <v>44830</v>
      </c>
      <c r="B49" s="1124" t="s">
        <v>2518</v>
      </c>
      <c r="C49" s="1124" t="s">
        <v>4131</v>
      </c>
      <c r="D49" s="608" t="s">
        <v>3184</v>
      </c>
      <c r="E49" s="984">
        <v>6.28</v>
      </c>
      <c r="F49" s="980">
        <v>1.32</v>
      </c>
      <c r="G49" s="611">
        <v>7.6</v>
      </c>
      <c r="H49" s="985">
        <v>44831.000497685185</v>
      </c>
      <c r="I49" s="1961"/>
      <c r="J49" s="2196"/>
      <c r="K49" s="2309"/>
      <c r="L49" s="166"/>
      <c r="M49" s="190"/>
      <c r="N49" s="190"/>
    </row>
    <row r="50" spans="1:14" ht="15">
      <c r="A50" s="985">
        <v>44830</v>
      </c>
      <c r="B50" s="1124" t="s">
        <v>2518</v>
      </c>
      <c r="C50" s="1124" t="s">
        <v>4131</v>
      </c>
      <c r="D50" s="608" t="s">
        <v>3185</v>
      </c>
      <c r="E50" s="984">
        <v>133.88</v>
      </c>
      <c r="F50" s="980">
        <v>28.12</v>
      </c>
      <c r="G50" s="611">
        <v>162</v>
      </c>
      <c r="H50" s="985">
        <v>44831.000497685185</v>
      </c>
      <c r="I50" s="1961"/>
      <c r="J50" s="2196"/>
      <c r="K50" s="2309"/>
      <c r="L50" s="166"/>
      <c r="M50" s="190"/>
      <c r="N50" s="190"/>
    </row>
    <row r="51" spans="1:14" ht="15">
      <c r="A51" s="985">
        <v>44830</v>
      </c>
      <c r="B51" s="1124" t="s">
        <v>2518</v>
      </c>
      <c r="C51" s="1124" t="s">
        <v>4131</v>
      </c>
      <c r="D51" s="608" t="s">
        <v>3186</v>
      </c>
      <c r="E51" s="984">
        <v>56.66</v>
      </c>
      <c r="F51" s="980">
        <v>11.9</v>
      </c>
      <c r="G51" s="611">
        <v>68.56</v>
      </c>
      <c r="H51" s="985">
        <v>44831.000497685185</v>
      </c>
      <c r="I51" s="1961"/>
      <c r="J51" s="2196"/>
      <c r="K51" s="2309"/>
      <c r="L51" s="166"/>
      <c r="M51" s="190"/>
      <c r="N51" s="190"/>
    </row>
    <row r="52" spans="1:14" ht="15">
      <c r="A52" s="985">
        <v>44830</v>
      </c>
      <c r="B52" s="1124" t="s">
        <v>2518</v>
      </c>
      <c r="C52" s="1124" t="s">
        <v>4131</v>
      </c>
      <c r="D52" s="608" t="s">
        <v>3187</v>
      </c>
      <c r="E52" s="984">
        <v>5.36</v>
      </c>
      <c r="F52" s="980">
        <v>1.1299999999999999</v>
      </c>
      <c r="G52" s="611">
        <v>6.48</v>
      </c>
      <c r="H52" s="985">
        <v>44831.000497685185</v>
      </c>
      <c r="I52" s="1961"/>
      <c r="J52" s="2196"/>
      <c r="K52" s="2309"/>
      <c r="L52" s="166"/>
      <c r="M52" s="190"/>
      <c r="N52" s="190"/>
    </row>
    <row r="53" spans="1:14" ht="15">
      <c r="A53" s="985">
        <v>44830</v>
      </c>
      <c r="B53" s="1124" t="s">
        <v>2518</v>
      </c>
      <c r="C53" s="1124" t="s">
        <v>4131</v>
      </c>
      <c r="D53" s="608" t="s">
        <v>3188</v>
      </c>
      <c r="E53" s="984">
        <v>10.119999999999999</v>
      </c>
      <c r="F53" s="980">
        <v>2.12</v>
      </c>
      <c r="G53" s="611">
        <v>12.24</v>
      </c>
      <c r="H53" s="985">
        <v>44831.000497685185</v>
      </c>
      <c r="I53" s="1961"/>
      <c r="J53" s="2196"/>
      <c r="K53" s="2309"/>
      <c r="L53" s="166"/>
      <c r="M53" s="190"/>
      <c r="N53" s="190"/>
    </row>
    <row r="54" spans="1:14" ht="15">
      <c r="A54" s="985">
        <v>44832</v>
      </c>
      <c r="B54" s="1124" t="s">
        <v>2518</v>
      </c>
      <c r="C54" s="1124" t="s">
        <v>4131</v>
      </c>
      <c r="D54" s="608" t="s">
        <v>3189</v>
      </c>
      <c r="E54" s="984">
        <v>16.2</v>
      </c>
      <c r="F54" s="980">
        <v>3.4</v>
      </c>
      <c r="G54" s="611">
        <v>19.600000000000001</v>
      </c>
      <c r="H54" s="985">
        <v>44833.000497685185</v>
      </c>
      <c r="I54" s="1961"/>
      <c r="J54" s="2196"/>
      <c r="K54" s="2309"/>
      <c r="L54" s="166"/>
      <c r="M54" s="190"/>
      <c r="N54" s="190"/>
    </row>
    <row r="55" spans="1:14" ht="15">
      <c r="A55" s="985">
        <v>44837</v>
      </c>
      <c r="B55" s="1124" t="s">
        <v>2518</v>
      </c>
      <c r="C55" s="1124" t="s">
        <v>4131</v>
      </c>
      <c r="D55" s="608" t="s">
        <v>3232</v>
      </c>
      <c r="E55" s="984">
        <v>57.19</v>
      </c>
      <c r="F55" s="980">
        <v>12.01</v>
      </c>
      <c r="G55" s="611">
        <v>69.2</v>
      </c>
      <c r="H55" s="985">
        <v>44838</v>
      </c>
      <c r="I55" s="1961"/>
      <c r="J55" s="2196"/>
      <c r="K55" s="2309"/>
      <c r="L55" s="166"/>
      <c r="M55" s="190"/>
      <c r="N55" s="190"/>
    </row>
    <row r="56" spans="1:14" ht="15">
      <c r="A56" s="985">
        <v>44837</v>
      </c>
      <c r="B56" s="1124" t="s">
        <v>2518</v>
      </c>
      <c r="C56" s="1124" t="s">
        <v>4131</v>
      </c>
      <c r="D56" s="608" t="s">
        <v>3233</v>
      </c>
      <c r="E56" s="984">
        <v>84.96</v>
      </c>
      <c r="F56" s="980">
        <v>17.84</v>
      </c>
      <c r="G56" s="611">
        <v>102.8</v>
      </c>
      <c r="H56" s="985">
        <v>44838</v>
      </c>
      <c r="I56" s="1961"/>
      <c r="J56" s="2196"/>
      <c r="K56" s="2309"/>
      <c r="L56" s="166"/>
      <c r="M56" s="190"/>
      <c r="N56" s="190"/>
    </row>
    <row r="57" spans="1:14" ht="15">
      <c r="A57" s="985">
        <v>44837</v>
      </c>
      <c r="B57" s="1124" t="s">
        <v>2518</v>
      </c>
      <c r="C57" s="1124" t="s">
        <v>4131</v>
      </c>
      <c r="D57" s="608" t="s">
        <v>3234</v>
      </c>
      <c r="E57" s="984">
        <v>129.91999999999999</v>
      </c>
      <c r="F57" s="980">
        <v>27.28</v>
      </c>
      <c r="G57" s="611">
        <v>157.19999999999999</v>
      </c>
      <c r="H57" s="985">
        <v>44838</v>
      </c>
      <c r="I57" s="1961"/>
      <c r="J57" s="2196"/>
      <c r="K57" s="2309"/>
      <c r="L57" s="166"/>
      <c r="M57" s="190"/>
      <c r="N57" s="190"/>
    </row>
    <row r="58" spans="1:14" ht="15">
      <c r="A58" s="985">
        <v>44838</v>
      </c>
      <c r="B58" s="1124" t="s">
        <v>2518</v>
      </c>
      <c r="C58" s="1124" t="s">
        <v>4131</v>
      </c>
      <c r="D58" s="608" t="s">
        <v>3227</v>
      </c>
      <c r="E58" s="984">
        <v>-9.92</v>
      </c>
      <c r="F58" s="980">
        <v>-2.08</v>
      </c>
      <c r="G58" s="611">
        <v>-12</v>
      </c>
      <c r="H58" s="985">
        <v>44839</v>
      </c>
      <c r="I58" s="1961"/>
      <c r="J58" s="2196"/>
      <c r="K58" s="2309"/>
      <c r="L58" s="166" t="s">
        <v>3231</v>
      </c>
      <c r="M58" s="190"/>
      <c r="N58" s="190"/>
    </row>
    <row r="59" spans="1:14" ht="15">
      <c r="A59" s="985">
        <v>44838</v>
      </c>
      <c r="B59" s="1124" t="s">
        <v>2518</v>
      </c>
      <c r="C59" s="1124" t="s">
        <v>4131</v>
      </c>
      <c r="D59" s="608" t="s">
        <v>3228</v>
      </c>
      <c r="E59" s="984">
        <v>67.11</v>
      </c>
      <c r="F59" s="980">
        <v>14.09</v>
      </c>
      <c r="G59" s="611">
        <v>81.2</v>
      </c>
      <c r="H59" s="985">
        <v>44839</v>
      </c>
      <c r="I59" s="1961"/>
      <c r="J59" s="2196"/>
      <c r="K59" s="2309"/>
      <c r="L59" s="166"/>
      <c r="M59" s="190"/>
      <c r="N59" s="190"/>
    </row>
    <row r="60" spans="1:14" ht="15">
      <c r="A60" s="985">
        <v>44838</v>
      </c>
      <c r="B60" s="1124" t="s">
        <v>2518</v>
      </c>
      <c r="C60" s="1124" t="s">
        <v>4131</v>
      </c>
      <c r="D60" s="608" t="s">
        <v>3229</v>
      </c>
      <c r="E60" s="984">
        <v>18.18</v>
      </c>
      <c r="F60" s="980">
        <v>3.82</v>
      </c>
      <c r="G60" s="611">
        <v>22</v>
      </c>
      <c r="H60" s="985">
        <v>44839</v>
      </c>
      <c r="I60" s="1961"/>
      <c r="J60" s="2196"/>
      <c r="K60" s="2309"/>
      <c r="L60" s="166"/>
      <c r="M60" s="190"/>
      <c r="N60" s="190"/>
    </row>
    <row r="61" spans="1:14" ht="15">
      <c r="A61" s="985">
        <v>44838</v>
      </c>
      <c r="B61" s="1124" t="s">
        <v>2518</v>
      </c>
      <c r="C61" s="1124" t="s">
        <v>4131</v>
      </c>
      <c r="D61" s="608" t="s">
        <v>3230</v>
      </c>
      <c r="E61" s="984">
        <v>33.880000000000003</v>
      </c>
      <c r="F61" s="980">
        <v>7.12</v>
      </c>
      <c r="G61" s="611">
        <v>41</v>
      </c>
      <c r="H61" s="985">
        <v>44839</v>
      </c>
      <c r="I61" s="1961"/>
      <c r="J61" s="2196"/>
      <c r="K61" s="2309"/>
      <c r="L61" s="166"/>
      <c r="M61" s="190"/>
      <c r="N61" s="190"/>
    </row>
    <row r="62" spans="1:14" ht="15">
      <c r="A62" s="985">
        <v>44839</v>
      </c>
      <c r="B62" s="1124" t="s">
        <v>2518</v>
      </c>
      <c r="C62" s="1124" t="s">
        <v>4131</v>
      </c>
      <c r="D62" s="608" t="s">
        <v>3235</v>
      </c>
      <c r="E62" s="984">
        <v>26.78</v>
      </c>
      <c r="F62" s="980">
        <v>5.62</v>
      </c>
      <c r="G62" s="611">
        <v>32.4</v>
      </c>
      <c r="H62" s="985">
        <v>44840</v>
      </c>
      <c r="I62" s="1961"/>
      <c r="J62" s="2196"/>
      <c r="K62" s="2309"/>
      <c r="L62" s="166"/>
      <c r="M62" s="190"/>
      <c r="N62" s="190"/>
    </row>
    <row r="63" spans="1:14" ht="15">
      <c r="A63" s="985">
        <v>44840</v>
      </c>
      <c r="B63" s="1124" t="s">
        <v>2518</v>
      </c>
      <c r="C63" s="1124" t="s">
        <v>4131</v>
      </c>
      <c r="D63" s="608" t="s">
        <v>3236</v>
      </c>
      <c r="E63" s="984">
        <v>17.52</v>
      </c>
      <c r="F63" s="980">
        <v>3.68</v>
      </c>
      <c r="G63" s="611">
        <v>21.2</v>
      </c>
      <c r="H63" s="985">
        <v>44841</v>
      </c>
      <c r="I63" s="1961"/>
      <c r="J63" s="2196"/>
      <c r="K63" s="2309"/>
      <c r="L63" s="166"/>
      <c r="M63" s="190"/>
      <c r="N63" s="190"/>
    </row>
    <row r="64" spans="1:14" ht="15">
      <c r="A64" s="985">
        <v>44840</v>
      </c>
      <c r="B64" s="1124" t="s">
        <v>2518</v>
      </c>
      <c r="C64" s="1124" t="s">
        <v>4131</v>
      </c>
      <c r="D64" s="608" t="s">
        <v>3237</v>
      </c>
      <c r="E64" s="984">
        <v>44.3</v>
      </c>
      <c r="F64" s="980">
        <v>9.3000000000000007</v>
      </c>
      <c r="G64" s="611">
        <v>53.6</v>
      </c>
      <c r="H64" s="985">
        <v>44841</v>
      </c>
      <c r="I64" s="1961"/>
      <c r="J64" s="2196"/>
      <c r="K64" s="2309"/>
      <c r="L64" s="166"/>
      <c r="M64" s="190"/>
      <c r="N64" s="190"/>
    </row>
    <row r="65" spans="1:14" ht="15">
      <c r="A65" s="985">
        <v>44841</v>
      </c>
      <c r="B65" s="1124" t="s">
        <v>2518</v>
      </c>
      <c r="C65" s="1124" t="s">
        <v>4131</v>
      </c>
      <c r="D65" s="608" t="s">
        <v>3238</v>
      </c>
      <c r="E65" s="984">
        <v>7.8</v>
      </c>
      <c r="F65" s="980">
        <v>1.64</v>
      </c>
      <c r="G65" s="611">
        <v>9.44</v>
      </c>
      <c r="H65" s="985">
        <v>44842</v>
      </c>
      <c r="I65" s="1961"/>
      <c r="J65" s="2196"/>
      <c r="K65" s="2309"/>
      <c r="L65" s="166"/>
      <c r="M65" s="190"/>
      <c r="N65" s="190"/>
    </row>
    <row r="66" spans="1:14" ht="15">
      <c r="A66" s="985">
        <v>44844</v>
      </c>
      <c r="B66" s="1124" t="s">
        <v>2518</v>
      </c>
      <c r="C66" s="1124" t="s">
        <v>4131</v>
      </c>
      <c r="D66" s="608" t="s">
        <v>3257</v>
      </c>
      <c r="E66" s="984">
        <v>14.05</v>
      </c>
      <c r="F66" s="980">
        <v>2.95</v>
      </c>
      <c r="G66" s="611">
        <v>17</v>
      </c>
      <c r="H66" s="985">
        <v>44845</v>
      </c>
      <c r="I66" s="1961"/>
      <c r="J66" s="2196"/>
      <c r="K66" s="2309"/>
      <c r="L66" s="166"/>
      <c r="M66" s="190"/>
      <c r="N66" s="190"/>
    </row>
    <row r="67" spans="1:14" ht="15">
      <c r="A67" s="985">
        <v>44844</v>
      </c>
      <c r="B67" s="1124" t="s">
        <v>2518</v>
      </c>
      <c r="C67" s="1124" t="s">
        <v>4131</v>
      </c>
      <c r="D67" s="608" t="s">
        <v>3258</v>
      </c>
      <c r="E67" s="984">
        <v>80.989999999999995</v>
      </c>
      <c r="F67" s="980">
        <v>17.010000000000002</v>
      </c>
      <c r="G67" s="611">
        <v>98</v>
      </c>
      <c r="H67" s="985">
        <v>44845</v>
      </c>
      <c r="I67" s="1961"/>
      <c r="J67" s="2196"/>
      <c r="K67" s="2309"/>
      <c r="L67" s="166"/>
      <c r="M67" s="190"/>
      <c r="N67" s="190"/>
    </row>
    <row r="68" spans="1:14" ht="15">
      <c r="A68" s="985">
        <v>44844</v>
      </c>
      <c r="B68" s="1124" t="s">
        <v>2518</v>
      </c>
      <c r="C68" s="1124" t="s">
        <v>4131</v>
      </c>
      <c r="D68" s="608" t="s">
        <v>3259</v>
      </c>
      <c r="E68" s="984">
        <v>23.47</v>
      </c>
      <c r="F68" s="980">
        <v>4.93</v>
      </c>
      <c r="G68" s="611">
        <v>28.4</v>
      </c>
      <c r="H68" s="985">
        <v>44845</v>
      </c>
      <c r="I68" s="1961"/>
      <c r="J68" s="2196"/>
      <c r="K68" s="2309"/>
      <c r="L68" s="166"/>
      <c r="M68" s="190"/>
      <c r="N68" s="190"/>
    </row>
    <row r="69" spans="1:14" ht="15">
      <c r="A69" s="985">
        <v>44844</v>
      </c>
      <c r="B69" s="1124" t="s">
        <v>2518</v>
      </c>
      <c r="C69" s="1124" t="s">
        <v>4131</v>
      </c>
      <c r="D69" s="608" t="s">
        <v>3260</v>
      </c>
      <c r="E69" s="984">
        <v>195.04</v>
      </c>
      <c r="F69" s="980">
        <v>40.96</v>
      </c>
      <c r="G69" s="611">
        <v>236</v>
      </c>
      <c r="H69" s="985">
        <v>44845</v>
      </c>
      <c r="I69" s="1961"/>
      <c r="J69" s="2196"/>
      <c r="K69" s="2309"/>
      <c r="L69" s="166"/>
      <c r="M69" s="190"/>
      <c r="N69" s="190"/>
    </row>
    <row r="70" spans="1:14" ht="15">
      <c r="A70" s="985">
        <v>44844</v>
      </c>
      <c r="B70" s="1124" t="s">
        <v>2518</v>
      </c>
      <c r="C70" s="1124" t="s">
        <v>4131</v>
      </c>
      <c r="D70" s="608" t="s">
        <v>3261</v>
      </c>
      <c r="E70" s="984">
        <v>4.5</v>
      </c>
      <c r="F70" s="980">
        <v>0.94</v>
      </c>
      <c r="G70" s="611">
        <v>5.44</v>
      </c>
      <c r="H70" s="985">
        <v>44845</v>
      </c>
      <c r="I70" s="1961"/>
      <c r="J70" s="2196"/>
      <c r="K70" s="2309"/>
      <c r="L70" s="166"/>
      <c r="M70" s="190"/>
      <c r="N70" s="190"/>
    </row>
    <row r="71" spans="1:14" ht="15">
      <c r="A71" s="985">
        <v>44845</v>
      </c>
      <c r="B71" s="1124" t="s">
        <v>2518</v>
      </c>
      <c r="C71" s="1124" t="s">
        <v>4131</v>
      </c>
      <c r="D71" s="608" t="s">
        <v>3262</v>
      </c>
      <c r="E71" s="984">
        <v>17.12</v>
      </c>
      <c r="F71" s="980">
        <v>3.6</v>
      </c>
      <c r="G71" s="611">
        <v>20.72</v>
      </c>
      <c r="H71" s="985">
        <v>44846</v>
      </c>
      <c r="I71" s="1961"/>
      <c r="J71" s="2196"/>
      <c r="K71" s="2309"/>
      <c r="L71" s="166"/>
      <c r="M71" s="190"/>
      <c r="N71" s="190"/>
    </row>
    <row r="72" spans="1:14" ht="15">
      <c r="A72" s="985">
        <v>44845</v>
      </c>
      <c r="B72" s="1124" t="s">
        <v>2518</v>
      </c>
      <c r="C72" s="1124" t="s">
        <v>4131</v>
      </c>
      <c r="D72" s="608" t="s">
        <v>3263</v>
      </c>
      <c r="E72" s="984">
        <v>16.63</v>
      </c>
      <c r="F72" s="980">
        <v>3.49</v>
      </c>
      <c r="G72" s="611">
        <v>20.12</v>
      </c>
      <c r="H72" s="985">
        <v>44846</v>
      </c>
      <c r="I72" s="1924"/>
      <c r="J72" s="2194"/>
      <c r="K72" s="2308"/>
      <c r="L72" s="166"/>
      <c r="M72" s="190"/>
      <c r="N72" s="190"/>
    </row>
    <row r="73" spans="1:14" ht="15">
      <c r="A73" s="1331">
        <v>44817</v>
      </c>
      <c r="B73" s="1321" t="s">
        <v>2518</v>
      </c>
      <c r="C73" s="1321" t="s">
        <v>4131</v>
      </c>
      <c r="D73" s="608" t="s">
        <v>3018</v>
      </c>
      <c r="E73" s="1329">
        <v>86.38</v>
      </c>
      <c r="F73" s="1320">
        <v>18.14</v>
      </c>
      <c r="G73" s="611">
        <v>104.52</v>
      </c>
      <c r="H73" s="1331">
        <v>44818</v>
      </c>
      <c r="I73" s="1923">
        <v>6019.38</v>
      </c>
      <c r="J73" s="2193">
        <v>44931</v>
      </c>
      <c r="K73" s="1935" t="s">
        <v>3872</v>
      </c>
      <c r="L73" s="166"/>
      <c r="M73" s="190"/>
      <c r="N73" s="190"/>
    </row>
    <row r="74" spans="1:14" ht="15">
      <c r="A74" s="1331">
        <v>44832</v>
      </c>
      <c r="B74" s="1321" t="s">
        <v>2518</v>
      </c>
      <c r="C74" s="1321" t="s">
        <v>4131</v>
      </c>
      <c r="D74" s="608" t="s">
        <v>3190</v>
      </c>
      <c r="E74" s="1329">
        <v>314.05</v>
      </c>
      <c r="F74" s="1320">
        <v>65.95</v>
      </c>
      <c r="G74" s="611">
        <v>380</v>
      </c>
      <c r="H74" s="1331">
        <v>44833.000497685185</v>
      </c>
      <c r="I74" s="1961"/>
      <c r="J74" s="2196"/>
      <c r="K74" s="1950"/>
      <c r="L74" s="166"/>
      <c r="M74" s="190"/>
      <c r="N74" s="190"/>
    </row>
    <row r="75" spans="1:14" ht="15">
      <c r="A75" s="1331">
        <v>44851.000497685185</v>
      </c>
      <c r="B75" s="1321" t="s">
        <v>2518</v>
      </c>
      <c r="C75" s="1321" t="s">
        <v>4131</v>
      </c>
      <c r="D75" s="608" t="s">
        <v>3305</v>
      </c>
      <c r="E75" s="1329">
        <v>2.12</v>
      </c>
      <c r="F75" s="1320">
        <v>0.44</v>
      </c>
      <c r="G75" s="611">
        <v>2.56</v>
      </c>
      <c r="H75" s="1331">
        <v>44852.000497685185</v>
      </c>
      <c r="I75" s="1961"/>
      <c r="J75" s="2196"/>
      <c r="K75" s="1950"/>
      <c r="L75" s="166"/>
      <c r="M75" s="190"/>
      <c r="N75" s="190"/>
    </row>
    <row r="76" spans="1:14" ht="15">
      <c r="A76" s="1331">
        <v>44851.000497685185</v>
      </c>
      <c r="B76" s="1321" t="s">
        <v>2518</v>
      </c>
      <c r="C76" s="1321" t="s">
        <v>4131</v>
      </c>
      <c r="D76" s="608" t="s">
        <v>3306</v>
      </c>
      <c r="E76" s="1329">
        <v>20.36</v>
      </c>
      <c r="F76" s="1320">
        <v>4.28</v>
      </c>
      <c r="G76" s="611">
        <v>24.64</v>
      </c>
      <c r="H76" s="1331">
        <v>44852.000497685185</v>
      </c>
      <c r="I76" s="1961"/>
      <c r="J76" s="2196"/>
      <c r="K76" s="1950"/>
      <c r="L76" s="166"/>
      <c r="M76" s="190"/>
      <c r="N76" s="190"/>
    </row>
    <row r="77" spans="1:14" ht="15">
      <c r="A77" s="1331">
        <v>44851.000497685185</v>
      </c>
      <c r="B77" s="1321" t="s">
        <v>2518</v>
      </c>
      <c r="C77" s="1321" t="s">
        <v>4131</v>
      </c>
      <c r="D77" s="608" t="s">
        <v>3307</v>
      </c>
      <c r="E77" s="1329">
        <v>3.37</v>
      </c>
      <c r="F77" s="1320">
        <v>0.71</v>
      </c>
      <c r="G77" s="611">
        <v>4.08</v>
      </c>
      <c r="H77" s="1331">
        <v>44852.000497685185</v>
      </c>
      <c r="I77" s="1961"/>
      <c r="J77" s="2196"/>
      <c r="K77" s="1950"/>
      <c r="L77" s="166"/>
      <c r="M77" s="190"/>
      <c r="N77" s="190"/>
    </row>
    <row r="78" spans="1:14" ht="15">
      <c r="A78" s="1331">
        <v>44852.000497685185</v>
      </c>
      <c r="B78" s="1321" t="s">
        <v>2518</v>
      </c>
      <c r="C78" s="1321" t="s">
        <v>4131</v>
      </c>
      <c r="D78" s="608" t="s">
        <v>3308</v>
      </c>
      <c r="E78" s="1329">
        <v>52.56</v>
      </c>
      <c r="F78" s="1320">
        <v>11.04</v>
      </c>
      <c r="G78" s="611">
        <v>63.6</v>
      </c>
      <c r="H78" s="1331">
        <v>44853.000497685185</v>
      </c>
      <c r="I78" s="1961"/>
      <c r="J78" s="2196"/>
      <c r="K78" s="1950"/>
      <c r="L78" s="166"/>
      <c r="M78" s="190"/>
      <c r="N78" s="190"/>
    </row>
    <row r="79" spans="1:14" ht="15">
      <c r="A79" s="1331">
        <v>44852.000497685185</v>
      </c>
      <c r="B79" s="1321" t="s">
        <v>2518</v>
      </c>
      <c r="C79" s="1321" t="s">
        <v>4131</v>
      </c>
      <c r="D79" s="608" t="s">
        <v>3309</v>
      </c>
      <c r="E79" s="1329">
        <v>29.75</v>
      </c>
      <c r="F79" s="1320">
        <v>6.25</v>
      </c>
      <c r="G79" s="611">
        <v>36</v>
      </c>
      <c r="H79" s="1331">
        <v>44853.000497685185</v>
      </c>
      <c r="I79" s="1961"/>
      <c r="J79" s="2196"/>
      <c r="K79" s="1950"/>
      <c r="L79" s="166"/>
      <c r="M79" s="190"/>
      <c r="N79" s="190"/>
    </row>
    <row r="80" spans="1:14" ht="15">
      <c r="A80" s="1331">
        <v>44854.000497685185</v>
      </c>
      <c r="B80" s="1321" t="s">
        <v>2518</v>
      </c>
      <c r="C80" s="1321" t="s">
        <v>4131</v>
      </c>
      <c r="D80" s="608" t="s">
        <v>3310</v>
      </c>
      <c r="E80" s="1329">
        <v>97.52</v>
      </c>
      <c r="F80" s="1320">
        <v>20.48</v>
      </c>
      <c r="G80" s="611">
        <v>118</v>
      </c>
      <c r="H80" s="1331">
        <v>44855.000497685185</v>
      </c>
      <c r="I80" s="1961"/>
      <c r="J80" s="2196"/>
      <c r="K80" s="1950"/>
      <c r="L80" s="166"/>
      <c r="M80" s="190"/>
      <c r="N80" s="190"/>
    </row>
    <row r="81" spans="1:14" ht="15">
      <c r="A81" s="1331">
        <v>44855.000497685185</v>
      </c>
      <c r="B81" s="1321" t="s">
        <v>2518</v>
      </c>
      <c r="C81" s="1321" t="s">
        <v>4131</v>
      </c>
      <c r="D81" s="608" t="s">
        <v>3311</v>
      </c>
      <c r="E81" s="1329">
        <v>51.67</v>
      </c>
      <c r="F81" s="1320">
        <v>10.85</v>
      </c>
      <c r="G81" s="611">
        <v>62.52</v>
      </c>
      <c r="H81" s="1331">
        <v>44856.000497685185</v>
      </c>
      <c r="I81" s="1961"/>
      <c r="J81" s="2196"/>
      <c r="K81" s="1950"/>
      <c r="L81" s="166"/>
      <c r="M81" s="190"/>
      <c r="N81" s="190"/>
    </row>
    <row r="82" spans="1:14" ht="15">
      <c r="A82" s="1331">
        <v>44855.000497685185</v>
      </c>
      <c r="B82" s="1321" t="s">
        <v>2518</v>
      </c>
      <c r="C82" s="1321" t="s">
        <v>4131</v>
      </c>
      <c r="D82" s="608" t="s">
        <v>3312</v>
      </c>
      <c r="E82" s="1329">
        <v>5.69</v>
      </c>
      <c r="F82" s="1320">
        <v>1.19</v>
      </c>
      <c r="G82" s="611">
        <v>6.88</v>
      </c>
      <c r="H82" s="1331">
        <v>44856.000497685185</v>
      </c>
      <c r="I82" s="1961"/>
      <c r="J82" s="2196"/>
      <c r="K82" s="1950"/>
      <c r="L82" s="166"/>
      <c r="M82" s="190"/>
      <c r="N82" s="190"/>
    </row>
    <row r="83" spans="1:14" ht="15">
      <c r="A83" s="1331">
        <v>44858</v>
      </c>
      <c r="B83" s="1321" t="s">
        <v>2518</v>
      </c>
      <c r="C83" s="1321" t="s">
        <v>4131</v>
      </c>
      <c r="D83" s="608" t="s">
        <v>3372</v>
      </c>
      <c r="E83" s="1329">
        <v>165.75</v>
      </c>
      <c r="F83" s="1320">
        <v>34.81</v>
      </c>
      <c r="G83" s="611">
        <v>200.56</v>
      </c>
      <c r="H83" s="1331">
        <v>44859</v>
      </c>
      <c r="I83" s="1961"/>
      <c r="J83" s="2196"/>
      <c r="K83" s="1950"/>
      <c r="L83" s="166"/>
      <c r="M83" s="190"/>
      <c r="N83" s="190"/>
    </row>
    <row r="84" spans="1:14" ht="15">
      <c r="A84" s="1331">
        <v>44861</v>
      </c>
      <c r="B84" s="1321" t="s">
        <v>2518</v>
      </c>
      <c r="C84" s="1321" t="s">
        <v>4131</v>
      </c>
      <c r="D84" s="608" t="s">
        <v>3373</v>
      </c>
      <c r="E84" s="1329">
        <v>13.22</v>
      </c>
      <c r="F84" s="1320">
        <v>2.78</v>
      </c>
      <c r="G84" s="611">
        <v>16</v>
      </c>
      <c r="H84" s="1331">
        <v>44862</v>
      </c>
      <c r="I84" s="1961"/>
      <c r="J84" s="2196"/>
      <c r="K84" s="1950"/>
      <c r="L84" s="166"/>
      <c r="M84" s="190"/>
      <c r="N84" s="190"/>
    </row>
    <row r="85" spans="1:14" ht="15">
      <c r="A85" s="1331">
        <v>44861</v>
      </c>
      <c r="B85" s="1321" t="s">
        <v>2518</v>
      </c>
      <c r="C85" s="1321" t="s">
        <v>4131</v>
      </c>
      <c r="D85" s="608" t="s">
        <v>3374</v>
      </c>
      <c r="E85" s="1329">
        <v>105.79</v>
      </c>
      <c r="F85" s="1320">
        <v>22.22</v>
      </c>
      <c r="G85" s="611">
        <v>128</v>
      </c>
      <c r="H85" s="1331">
        <v>44862</v>
      </c>
      <c r="I85" s="1961"/>
      <c r="J85" s="2196"/>
      <c r="K85" s="1950"/>
      <c r="L85" s="166"/>
      <c r="M85" s="190"/>
      <c r="N85" s="190"/>
    </row>
    <row r="86" spans="1:14" ht="15">
      <c r="A86" s="1331">
        <v>44865</v>
      </c>
      <c r="B86" s="1321" t="s">
        <v>2518</v>
      </c>
      <c r="C86" s="1321" t="s">
        <v>4131</v>
      </c>
      <c r="D86" s="608" t="s">
        <v>3375</v>
      </c>
      <c r="E86" s="1329">
        <v>965.29</v>
      </c>
      <c r="F86" s="1320">
        <v>202.71</v>
      </c>
      <c r="G86" s="611">
        <v>1168</v>
      </c>
      <c r="H86" s="1331">
        <v>44866</v>
      </c>
      <c r="I86" s="1961"/>
      <c r="J86" s="2196"/>
      <c r="K86" s="1950"/>
      <c r="L86" s="166"/>
      <c r="M86" s="190"/>
      <c r="N86" s="190"/>
    </row>
    <row r="87" spans="1:14" ht="15">
      <c r="A87" s="1331">
        <v>44868.000497685185</v>
      </c>
      <c r="B87" s="1321" t="s">
        <v>2518</v>
      </c>
      <c r="C87" s="1321" t="s">
        <v>4131</v>
      </c>
      <c r="D87" s="608" t="s">
        <v>3416</v>
      </c>
      <c r="E87" s="1329">
        <v>11.07</v>
      </c>
      <c r="F87" s="1320">
        <v>2.33</v>
      </c>
      <c r="G87" s="611">
        <v>13.4</v>
      </c>
      <c r="H87" s="1331">
        <v>44869.000497685185</v>
      </c>
      <c r="I87" s="1961"/>
      <c r="J87" s="2196"/>
      <c r="K87" s="1950"/>
      <c r="L87" s="166"/>
      <c r="M87" s="190"/>
      <c r="N87" s="190"/>
    </row>
    <row r="88" spans="1:14" ht="15">
      <c r="A88" s="1331">
        <v>44872</v>
      </c>
      <c r="B88" s="1321" t="s">
        <v>2518</v>
      </c>
      <c r="C88" s="1321" t="s">
        <v>4131</v>
      </c>
      <c r="D88" s="608" t="s">
        <v>3456</v>
      </c>
      <c r="E88" s="1329">
        <v>2.63</v>
      </c>
      <c r="F88" s="1320">
        <v>0.55000000000000004</v>
      </c>
      <c r="G88" s="611">
        <v>3.18</v>
      </c>
      <c r="H88" s="1331">
        <v>44873</v>
      </c>
      <c r="I88" s="1961"/>
      <c r="J88" s="2196"/>
      <c r="K88" s="1950"/>
      <c r="L88" s="166"/>
      <c r="M88" s="190"/>
      <c r="N88" s="190"/>
    </row>
    <row r="89" spans="1:14" ht="15">
      <c r="A89" s="1331">
        <v>44873</v>
      </c>
      <c r="B89" s="1321" t="s">
        <v>2518</v>
      </c>
      <c r="C89" s="1321" t="s">
        <v>4131</v>
      </c>
      <c r="D89" s="608" t="s">
        <v>3457</v>
      </c>
      <c r="E89" s="1329">
        <v>96.33</v>
      </c>
      <c r="F89" s="1320">
        <v>20.23</v>
      </c>
      <c r="G89" s="611">
        <v>116.56</v>
      </c>
      <c r="H89" s="1331">
        <v>44874</v>
      </c>
      <c r="I89" s="1961"/>
      <c r="J89" s="2196"/>
      <c r="K89" s="1950"/>
      <c r="L89" s="166"/>
      <c r="M89" s="190"/>
      <c r="N89" s="190"/>
    </row>
    <row r="90" spans="1:14" ht="15">
      <c r="A90" s="1331">
        <v>44873</v>
      </c>
      <c r="B90" s="1321" t="s">
        <v>2518</v>
      </c>
      <c r="C90" s="1321" t="s">
        <v>4131</v>
      </c>
      <c r="D90" s="608" t="s">
        <v>3458</v>
      </c>
      <c r="E90" s="1329">
        <v>5.16</v>
      </c>
      <c r="F90" s="1320">
        <v>1.08</v>
      </c>
      <c r="G90" s="611">
        <v>6.24</v>
      </c>
      <c r="H90" s="1331">
        <v>44874</v>
      </c>
      <c r="I90" s="1961"/>
      <c r="J90" s="2196"/>
      <c r="K90" s="1950"/>
      <c r="L90" s="166"/>
      <c r="M90" s="190"/>
      <c r="N90" s="190"/>
    </row>
    <row r="91" spans="1:14" ht="15">
      <c r="A91" s="1331">
        <v>44873</v>
      </c>
      <c r="B91" s="1321" t="s">
        <v>2518</v>
      </c>
      <c r="C91" s="1321" t="s">
        <v>4131</v>
      </c>
      <c r="D91" s="608" t="s">
        <v>3459</v>
      </c>
      <c r="E91" s="1329">
        <v>9.7899999999999991</v>
      </c>
      <c r="F91" s="1320">
        <v>2.06</v>
      </c>
      <c r="G91" s="611">
        <v>11.84</v>
      </c>
      <c r="H91" s="1331">
        <v>44874</v>
      </c>
      <c r="I91" s="1961"/>
      <c r="J91" s="2196"/>
      <c r="K91" s="1950"/>
      <c r="L91" s="166"/>
      <c r="M91" s="190"/>
      <c r="N91" s="190"/>
    </row>
    <row r="92" spans="1:14" ht="15">
      <c r="A92" s="1331">
        <v>44876</v>
      </c>
      <c r="B92" s="1321" t="s">
        <v>2518</v>
      </c>
      <c r="C92" s="1321" t="s">
        <v>4131</v>
      </c>
      <c r="D92" s="608" t="s">
        <v>3460</v>
      </c>
      <c r="E92" s="1329">
        <v>64.459999999999994</v>
      </c>
      <c r="F92" s="1320">
        <v>13.54</v>
      </c>
      <c r="G92" s="611">
        <v>78</v>
      </c>
      <c r="H92" s="1331">
        <v>44877</v>
      </c>
      <c r="I92" s="1961"/>
      <c r="J92" s="2196"/>
      <c r="K92" s="1950"/>
      <c r="L92" s="166"/>
      <c r="M92" s="190"/>
      <c r="N92" s="190"/>
    </row>
    <row r="93" spans="1:14" ht="15">
      <c r="A93" s="1331">
        <v>44879</v>
      </c>
      <c r="B93" s="1321" t="s">
        <v>2518</v>
      </c>
      <c r="C93" s="1321" t="s">
        <v>4131</v>
      </c>
      <c r="D93" s="608" t="s">
        <v>3489</v>
      </c>
      <c r="E93" s="1329">
        <v>1818.18</v>
      </c>
      <c r="F93" s="1320">
        <v>381.82</v>
      </c>
      <c r="G93" s="611">
        <v>2200</v>
      </c>
      <c r="H93" s="1331">
        <v>44880</v>
      </c>
      <c r="I93" s="1961"/>
      <c r="J93" s="2196"/>
      <c r="K93" s="1950"/>
      <c r="L93" s="166"/>
      <c r="M93" s="190"/>
      <c r="N93" s="190"/>
    </row>
    <row r="94" spans="1:14" ht="15">
      <c r="A94" s="1331">
        <v>44879</v>
      </c>
      <c r="B94" s="1321" t="s">
        <v>2518</v>
      </c>
      <c r="C94" s="1321" t="s">
        <v>4131</v>
      </c>
      <c r="D94" s="608" t="s">
        <v>3490</v>
      </c>
      <c r="E94" s="1329">
        <v>14.28</v>
      </c>
      <c r="F94" s="1320">
        <v>3</v>
      </c>
      <c r="G94" s="611">
        <v>17.28</v>
      </c>
      <c r="H94" s="1331">
        <v>44880</v>
      </c>
      <c r="I94" s="1961"/>
      <c r="J94" s="2196"/>
      <c r="K94" s="1950"/>
      <c r="L94" s="166"/>
      <c r="M94" s="190"/>
      <c r="N94" s="190"/>
    </row>
    <row r="95" spans="1:14" ht="15">
      <c r="A95" s="1331">
        <v>44879</v>
      </c>
      <c r="B95" s="1321" t="s">
        <v>2518</v>
      </c>
      <c r="C95" s="1321" t="s">
        <v>4131</v>
      </c>
      <c r="D95" s="608" t="s">
        <v>3491</v>
      </c>
      <c r="E95" s="1329">
        <v>5.03</v>
      </c>
      <c r="F95" s="1320">
        <v>1.06</v>
      </c>
      <c r="G95" s="611">
        <v>6.08</v>
      </c>
      <c r="H95" s="1331">
        <v>44880</v>
      </c>
      <c r="I95" s="1961"/>
      <c r="J95" s="2196"/>
      <c r="K95" s="1950"/>
      <c r="L95" s="166"/>
      <c r="M95" s="190"/>
      <c r="N95" s="190"/>
    </row>
    <row r="96" spans="1:14" ht="15">
      <c r="A96" s="1331">
        <v>44879</v>
      </c>
      <c r="B96" s="1321" t="s">
        <v>2518</v>
      </c>
      <c r="C96" s="1321" t="s">
        <v>4131</v>
      </c>
      <c r="D96" s="608" t="s">
        <v>3492</v>
      </c>
      <c r="E96" s="1329">
        <v>342.48</v>
      </c>
      <c r="F96" s="1320">
        <v>71.92</v>
      </c>
      <c r="G96" s="611">
        <v>414.4</v>
      </c>
      <c r="H96" s="1331">
        <v>44880</v>
      </c>
      <c r="I96" s="1961"/>
      <c r="J96" s="2196"/>
      <c r="K96" s="1950"/>
      <c r="L96" s="166"/>
      <c r="M96" s="190"/>
      <c r="N96" s="190"/>
    </row>
    <row r="97" spans="1:14" ht="15">
      <c r="A97" s="1331">
        <v>44880</v>
      </c>
      <c r="B97" s="1321" t="s">
        <v>2518</v>
      </c>
      <c r="C97" s="1321" t="s">
        <v>4131</v>
      </c>
      <c r="D97" s="608" t="s">
        <v>3493</v>
      </c>
      <c r="E97" s="1329">
        <v>40.53</v>
      </c>
      <c r="F97" s="1320">
        <v>8.51</v>
      </c>
      <c r="G97" s="611">
        <v>49.04</v>
      </c>
      <c r="H97" s="1331">
        <v>44881</v>
      </c>
      <c r="I97" s="1961"/>
      <c r="J97" s="2196"/>
      <c r="K97" s="1950"/>
      <c r="L97" s="166"/>
      <c r="M97" s="190"/>
      <c r="N97" s="190"/>
    </row>
    <row r="98" spans="1:14" ht="15">
      <c r="A98" s="2193">
        <v>44881</v>
      </c>
      <c r="B98" s="1903" t="s">
        <v>2518</v>
      </c>
      <c r="C98" s="1903" t="s">
        <v>4131</v>
      </c>
      <c r="D98" s="2199" t="s">
        <v>3494</v>
      </c>
      <c r="E98" s="1923">
        <v>1165.29</v>
      </c>
      <c r="F98" s="1921">
        <v>244.71</v>
      </c>
      <c r="G98" s="611">
        <v>788</v>
      </c>
      <c r="H98" s="1331">
        <v>44882</v>
      </c>
      <c r="I98" s="1924"/>
      <c r="J98" s="2194"/>
      <c r="K98" s="1947"/>
      <c r="L98" s="166"/>
      <c r="M98" s="190"/>
      <c r="N98" s="190"/>
    </row>
    <row r="99" spans="1:14" ht="15">
      <c r="A99" s="2194"/>
      <c r="B99" s="1905"/>
      <c r="C99" s="1905"/>
      <c r="D99" s="2200"/>
      <c r="E99" s="1924"/>
      <c r="F99" s="1922"/>
      <c r="G99" s="611">
        <f>1410-788</f>
        <v>622</v>
      </c>
      <c r="H99" s="1331">
        <v>44882</v>
      </c>
      <c r="I99" s="1923">
        <v>714.45</v>
      </c>
      <c r="J99" s="2193">
        <v>44931</v>
      </c>
      <c r="K99" s="1935" t="s">
        <v>3875</v>
      </c>
      <c r="L99" s="166"/>
      <c r="M99" s="190"/>
      <c r="N99" s="190"/>
    </row>
    <row r="100" spans="1:14" ht="15">
      <c r="A100" s="1331">
        <v>44820</v>
      </c>
      <c r="B100" s="1321" t="s">
        <v>2518</v>
      </c>
      <c r="C100" s="1321" t="s">
        <v>4131</v>
      </c>
      <c r="D100" s="608" t="s">
        <v>3017</v>
      </c>
      <c r="E100" s="1329">
        <v>-36.880000000000003</v>
      </c>
      <c r="F100" s="1320">
        <v>0</v>
      </c>
      <c r="G100" s="611">
        <v>-36.880000000000003</v>
      </c>
      <c r="H100" s="1331"/>
      <c r="I100" s="1961"/>
      <c r="J100" s="2196"/>
      <c r="K100" s="1950"/>
      <c r="L100" s="166"/>
      <c r="M100" s="190"/>
      <c r="N100" s="190"/>
    </row>
    <row r="101" spans="1:14" ht="15">
      <c r="A101" s="1331">
        <v>44881</v>
      </c>
      <c r="B101" s="1321" t="s">
        <v>2518</v>
      </c>
      <c r="C101" s="1321" t="s">
        <v>4131</v>
      </c>
      <c r="D101" s="608" t="s">
        <v>3495</v>
      </c>
      <c r="E101" s="1329">
        <v>27.77</v>
      </c>
      <c r="F101" s="1320">
        <v>5.83</v>
      </c>
      <c r="G101" s="611">
        <v>33.6</v>
      </c>
      <c r="H101" s="1331">
        <v>44882</v>
      </c>
      <c r="I101" s="1961"/>
      <c r="J101" s="2196"/>
      <c r="K101" s="1950"/>
      <c r="L101" s="166"/>
      <c r="M101" s="190"/>
      <c r="N101" s="190"/>
    </row>
    <row r="102" spans="1:14" ht="15">
      <c r="A102" s="1331">
        <v>44881</v>
      </c>
      <c r="B102" s="1321" t="s">
        <v>2518</v>
      </c>
      <c r="C102" s="1321" t="s">
        <v>4131</v>
      </c>
      <c r="D102" s="608" t="s">
        <v>3496</v>
      </c>
      <c r="E102" s="1329">
        <v>26.45</v>
      </c>
      <c r="F102" s="1320">
        <v>5.55</v>
      </c>
      <c r="G102" s="611">
        <v>32</v>
      </c>
      <c r="H102" s="1331">
        <v>44882</v>
      </c>
      <c r="I102" s="1961"/>
      <c r="J102" s="2196"/>
      <c r="K102" s="1950"/>
      <c r="L102" s="166"/>
      <c r="M102" s="190"/>
      <c r="N102" s="190"/>
    </row>
    <row r="103" spans="1:14" ht="15">
      <c r="A103" s="1331">
        <v>44882</v>
      </c>
      <c r="B103" s="1321" t="s">
        <v>2518</v>
      </c>
      <c r="C103" s="1321" t="s">
        <v>4131</v>
      </c>
      <c r="D103" s="608" t="s">
        <v>3497</v>
      </c>
      <c r="E103" s="1329">
        <v>23.5</v>
      </c>
      <c r="F103" s="1320">
        <v>4.9400000000000004</v>
      </c>
      <c r="G103" s="611">
        <v>28.44</v>
      </c>
      <c r="H103" s="1331">
        <v>44883</v>
      </c>
      <c r="I103" s="1961"/>
      <c r="J103" s="2196"/>
      <c r="K103" s="1950"/>
      <c r="L103" s="166"/>
      <c r="M103" s="190"/>
      <c r="N103" s="190"/>
    </row>
    <row r="104" spans="1:14" ht="15">
      <c r="A104" s="1331">
        <v>44882</v>
      </c>
      <c r="B104" s="1321" t="s">
        <v>2518</v>
      </c>
      <c r="C104" s="1321" t="s">
        <v>4131</v>
      </c>
      <c r="D104" s="608" t="s">
        <v>3498</v>
      </c>
      <c r="E104" s="1329">
        <v>5.09</v>
      </c>
      <c r="F104" s="1320">
        <v>1.07</v>
      </c>
      <c r="G104" s="611">
        <v>6.16</v>
      </c>
      <c r="H104" s="1331">
        <v>44883</v>
      </c>
      <c r="I104" s="1961"/>
      <c r="J104" s="2196"/>
      <c r="K104" s="1950"/>
      <c r="L104" s="166"/>
      <c r="M104" s="190"/>
      <c r="N104" s="190"/>
    </row>
    <row r="105" spans="1:14" ht="15">
      <c r="A105" s="2193">
        <v>44883</v>
      </c>
      <c r="B105" s="1903" t="s">
        <v>2518</v>
      </c>
      <c r="C105" s="1903" t="s">
        <v>4131</v>
      </c>
      <c r="D105" s="2199" t="s">
        <v>3499</v>
      </c>
      <c r="E105" s="1923">
        <v>53.76</v>
      </c>
      <c r="F105" s="1921">
        <v>11.29</v>
      </c>
      <c r="G105" s="611">
        <v>29.13</v>
      </c>
      <c r="H105" s="1331">
        <v>44884</v>
      </c>
      <c r="I105" s="1924"/>
      <c r="J105" s="2194"/>
      <c r="K105" s="1947"/>
      <c r="L105" s="166"/>
      <c r="M105" s="190"/>
      <c r="N105" s="190"/>
    </row>
    <row r="106" spans="1:14" ht="15">
      <c r="A106" s="2194"/>
      <c r="B106" s="1905"/>
      <c r="C106" s="1905"/>
      <c r="D106" s="2200"/>
      <c r="E106" s="1924"/>
      <c r="F106" s="1922"/>
      <c r="G106" s="611">
        <f>65.05-29.13</f>
        <v>35.92</v>
      </c>
      <c r="H106" s="1331">
        <v>44884</v>
      </c>
      <c r="I106" s="1923">
        <v>1243.3899999999999</v>
      </c>
      <c r="J106" s="2193">
        <v>45036</v>
      </c>
      <c r="K106" s="1935" t="s">
        <v>4854</v>
      </c>
      <c r="L106" s="166"/>
      <c r="M106" s="190"/>
      <c r="N106" s="190"/>
    </row>
    <row r="107" spans="1:14" ht="15">
      <c r="A107" s="1331">
        <v>44887</v>
      </c>
      <c r="B107" s="1321" t="s">
        <v>2518</v>
      </c>
      <c r="C107" s="1321" t="s">
        <v>4131</v>
      </c>
      <c r="D107" s="608" t="s">
        <v>3542</v>
      </c>
      <c r="E107" s="1329">
        <v>48.84</v>
      </c>
      <c r="F107" s="1320">
        <v>10.26</v>
      </c>
      <c r="G107" s="611">
        <v>59.1</v>
      </c>
      <c r="H107" s="1331">
        <v>44888</v>
      </c>
      <c r="I107" s="1961"/>
      <c r="J107" s="2196"/>
      <c r="K107" s="1950"/>
      <c r="L107" s="166"/>
      <c r="M107" s="190"/>
      <c r="N107" s="190"/>
    </row>
    <row r="108" spans="1:14" ht="15">
      <c r="A108" s="1331">
        <v>44887</v>
      </c>
      <c r="B108" s="1321" t="s">
        <v>2518</v>
      </c>
      <c r="C108" s="1321" t="s">
        <v>4131</v>
      </c>
      <c r="D108" s="608" t="s">
        <v>3543</v>
      </c>
      <c r="E108" s="1329">
        <v>22.4</v>
      </c>
      <c r="F108" s="1320">
        <v>4.7</v>
      </c>
      <c r="G108" s="611">
        <v>27.1</v>
      </c>
      <c r="H108" s="1331">
        <v>44888</v>
      </c>
      <c r="I108" s="1961"/>
      <c r="J108" s="2196"/>
      <c r="K108" s="1950"/>
      <c r="L108" s="166"/>
      <c r="M108" s="190"/>
      <c r="N108" s="190"/>
    </row>
    <row r="109" spans="1:14" ht="15">
      <c r="A109" s="1331">
        <v>44888</v>
      </c>
      <c r="B109" s="1321" t="s">
        <v>2518</v>
      </c>
      <c r="C109" s="1321" t="s">
        <v>4131</v>
      </c>
      <c r="D109" s="608" t="s">
        <v>3544</v>
      </c>
      <c r="E109" s="1329">
        <v>186.4</v>
      </c>
      <c r="F109" s="1320">
        <v>39.14</v>
      </c>
      <c r="G109" s="611">
        <v>225.54</v>
      </c>
      <c r="H109" s="1331">
        <v>44889</v>
      </c>
      <c r="I109" s="1961"/>
      <c r="J109" s="2196"/>
      <c r="K109" s="1950"/>
      <c r="L109" s="166"/>
      <c r="M109" s="190"/>
      <c r="N109" s="190"/>
    </row>
    <row r="110" spans="1:14" ht="15">
      <c r="A110" s="1331">
        <v>44889</v>
      </c>
      <c r="B110" s="1321" t="s">
        <v>2518</v>
      </c>
      <c r="C110" s="1321" t="s">
        <v>4131</v>
      </c>
      <c r="D110" s="608" t="s">
        <v>3545</v>
      </c>
      <c r="E110" s="1329">
        <v>35.6</v>
      </c>
      <c r="F110" s="1320">
        <v>7.48</v>
      </c>
      <c r="G110" s="611">
        <v>43.08</v>
      </c>
      <c r="H110" s="1331">
        <v>44890</v>
      </c>
      <c r="I110" s="1961"/>
      <c r="J110" s="2196"/>
      <c r="K110" s="1950"/>
      <c r="L110" s="166"/>
      <c r="M110" s="190"/>
      <c r="N110" s="190"/>
    </row>
    <row r="111" spans="1:14" ht="15">
      <c r="A111" s="1331">
        <v>44889</v>
      </c>
      <c r="B111" s="1321" t="s">
        <v>2518</v>
      </c>
      <c r="C111" s="1321" t="s">
        <v>4131</v>
      </c>
      <c r="D111" s="608" t="s">
        <v>3546</v>
      </c>
      <c r="E111" s="1329">
        <v>23.2</v>
      </c>
      <c r="F111" s="1320">
        <v>4.87</v>
      </c>
      <c r="G111" s="611">
        <v>28.07</v>
      </c>
      <c r="H111" s="1331">
        <v>44890</v>
      </c>
      <c r="I111" s="1961"/>
      <c r="J111" s="2196"/>
      <c r="K111" s="1950"/>
      <c r="L111" s="166"/>
      <c r="M111" s="190"/>
      <c r="N111" s="190"/>
    </row>
    <row r="112" spans="1:14" ht="15">
      <c r="A112" s="1331">
        <v>44889</v>
      </c>
      <c r="B112" s="1321" t="s">
        <v>2518</v>
      </c>
      <c r="C112" s="1321" t="s">
        <v>4131</v>
      </c>
      <c r="D112" s="608" t="s">
        <v>3547</v>
      </c>
      <c r="E112" s="1329">
        <v>82.24</v>
      </c>
      <c r="F112" s="1320">
        <v>17.27</v>
      </c>
      <c r="G112" s="611">
        <v>99.51</v>
      </c>
      <c r="H112" s="1331">
        <v>44890</v>
      </c>
      <c r="I112" s="1961"/>
      <c r="J112" s="2196"/>
      <c r="K112" s="1950"/>
      <c r="L112" s="166"/>
      <c r="M112" s="190"/>
      <c r="N112" s="190"/>
    </row>
    <row r="113" spans="1:14" ht="15">
      <c r="A113" s="1331">
        <v>44889</v>
      </c>
      <c r="B113" s="1321" t="s">
        <v>2518</v>
      </c>
      <c r="C113" s="1321" t="s">
        <v>4131</v>
      </c>
      <c r="D113" s="608" t="s">
        <v>3548</v>
      </c>
      <c r="E113" s="1329">
        <v>168</v>
      </c>
      <c r="F113" s="1320">
        <v>35.28</v>
      </c>
      <c r="G113" s="611">
        <v>203.28</v>
      </c>
      <c r="H113" s="1331">
        <v>44890</v>
      </c>
      <c r="I113" s="1961"/>
      <c r="J113" s="2196"/>
      <c r="K113" s="1950"/>
      <c r="L113" s="166"/>
      <c r="M113" s="190"/>
      <c r="N113" s="190"/>
    </row>
    <row r="114" spans="1:14" ht="15">
      <c r="A114" s="1331">
        <v>44894</v>
      </c>
      <c r="B114" s="1321" t="s">
        <v>2518</v>
      </c>
      <c r="C114" s="1321" t="s">
        <v>4131</v>
      </c>
      <c r="D114" s="608" t="s">
        <v>3624</v>
      </c>
      <c r="E114" s="1329">
        <v>176.4</v>
      </c>
      <c r="F114" s="1320">
        <v>37.04</v>
      </c>
      <c r="G114" s="611">
        <v>213.44</v>
      </c>
      <c r="H114" s="1331">
        <v>44895</v>
      </c>
      <c r="I114" s="1961"/>
      <c r="J114" s="2196"/>
      <c r="K114" s="1950"/>
      <c r="L114" s="166"/>
      <c r="M114" s="190"/>
      <c r="N114" s="190"/>
    </row>
    <row r="115" spans="1:14" ht="15">
      <c r="A115" s="1331">
        <v>44894</v>
      </c>
      <c r="B115" s="1321" t="s">
        <v>2518</v>
      </c>
      <c r="C115" s="1321" t="s">
        <v>4131</v>
      </c>
      <c r="D115" s="608" t="s">
        <v>3625</v>
      </c>
      <c r="E115" s="1329">
        <v>78.959999999999994</v>
      </c>
      <c r="F115" s="1320">
        <v>16.579999999999998</v>
      </c>
      <c r="G115" s="611">
        <v>95.54</v>
      </c>
      <c r="H115" s="1331">
        <v>44895</v>
      </c>
      <c r="I115" s="1961"/>
      <c r="J115" s="2196"/>
      <c r="K115" s="1950"/>
      <c r="L115" s="166"/>
      <c r="M115" s="190"/>
      <c r="N115" s="190"/>
    </row>
    <row r="116" spans="1:14" ht="15">
      <c r="A116" s="1331">
        <v>44894</v>
      </c>
      <c r="B116" s="1321" t="s">
        <v>2518</v>
      </c>
      <c r="C116" s="1321" t="s">
        <v>4131</v>
      </c>
      <c r="D116" s="608" t="s">
        <v>3626</v>
      </c>
      <c r="E116" s="1329">
        <v>9.7200000000000006</v>
      </c>
      <c r="F116" s="1320">
        <v>2.04</v>
      </c>
      <c r="G116" s="611">
        <v>11.76</v>
      </c>
      <c r="H116" s="1331">
        <v>44895</v>
      </c>
      <c r="I116" s="1961"/>
      <c r="J116" s="2196"/>
      <c r="K116" s="1950"/>
      <c r="L116" s="166"/>
      <c r="M116" s="190"/>
      <c r="N116" s="190"/>
    </row>
    <row r="117" spans="1:14" ht="15">
      <c r="A117" s="1331">
        <v>44895</v>
      </c>
      <c r="B117" s="1321" t="s">
        <v>2518</v>
      </c>
      <c r="C117" s="1321" t="s">
        <v>4131</v>
      </c>
      <c r="D117" s="608" t="s">
        <v>3627</v>
      </c>
      <c r="E117" s="1329">
        <v>12.64</v>
      </c>
      <c r="F117" s="1320">
        <v>2.65</v>
      </c>
      <c r="G117" s="611">
        <v>15.29</v>
      </c>
      <c r="H117" s="1331">
        <v>44896</v>
      </c>
      <c r="I117" s="1961"/>
      <c r="J117" s="2196"/>
      <c r="K117" s="1950"/>
      <c r="L117" s="166"/>
      <c r="M117" s="190"/>
      <c r="N117" s="190"/>
    </row>
    <row r="118" spans="1:14" ht="15">
      <c r="A118" s="1331">
        <v>44895</v>
      </c>
      <c r="B118" s="1321" t="s">
        <v>2518</v>
      </c>
      <c r="C118" s="1321" t="s">
        <v>4131</v>
      </c>
      <c r="D118" s="608" t="s">
        <v>3628</v>
      </c>
      <c r="E118" s="1329">
        <v>153.52000000000001</v>
      </c>
      <c r="F118" s="1320">
        <v>32.24</v>
      </c>
      <c r="G118" s="611">
        <v>185.76</v>
      </c>
      <c r="H118" s="1331">
        <v>44896</v>
      </c>
      <c r="I118" s="1924"/>
      <c r="J118" s="2194"/>
      <c r="K118" s="1947"/>
      <c r="L118" s="166"/>
      <c r="M118" s="190"/>
    </row>
    <row r="119" spans="1:14" ht="15">
      <c r="A119" s="1331">
        <v>44897</v>
      </c>
      <c r="B119" s="1321" t="s">
        <v>2518</v>
      </c>
      <c r="C119" s="1321" t="s">
        <v>4131</v>
      </c>
      <c r="D119" s="608" t="s">
        <v>3629</v>
      </c>
      <c r="E119" s="1329">
        <v>26.88</v>
      </c>
      <c r="F119" s="1320">
        <v>5.65</v>
      </c>
      <c r="G119" s="611">
        <v>32.520000000000003</v>
      </c>
      <c r="H119" s="1331">
        <v>44898</v>
      </c>
      <c r="I119" s="1329">
        <v>32.520000000000003</v>
      </c>
      <c r="J119" s="1331">
        <v>44977</v>
      </c>
      <c r="K119" s="1319" t="s">
        <v>4855</v>
      </c>
      <c r="L119" s="166"/>
      <c r="M119" s="190"/>
    </row>
    <row r="120" spans="1:14" s="388" customFormat="1" ht="15">
      <c r="A120" s="1331">
        <v>44901</v>
      </c>
      <c r="B120" s="1321" t="s">
        <v>2518</v>
      </c>
      <c r="C120" s="1321" t="s">
        <v>4131</v>
      </c>
      <c r="D120" s="608" t="s">
        <v>3675</v>
      </c>
      <c r="E120" s="1329">
        <v>3146.02</v>
      </c>
      <c r="F120" s="1320">
        <v>0</v>
      </c>
      <c r="G120" s="611">
        <v>3146.02</v>
      </c>
      <c r="H120" s="1331">
        <v>44905</v>
      </c>
      <c r="I120" s="1329">
        <v>3146.02</v>
      </c>
      <c r="J120" s="1331">
        <v>44931</v>
      </c>
      <c r="K120" s="1319" t="s">
        <v>3875</v>
      </c>
      <c r="L120" s="166" t="s">
        <v>3676</v>
      </c>
      <c r="M120" s="190"/>
    </row>
    <row r="121" spans="1:14" ht="15">
      <c r="A121" s="1331">
        <v>44902.000497685185</v>
      </c>
      <c r="B121" s="1321" t="s">
        <v>2518</v>
      </c>
      <c r="C121" s="1321" t="s">
        <v>4131</v>
      </c>
      <c r="D121" s="608" t="s">
        <v>3667</v>
      </c>
      <c r="E121" s="1329">
        <v>560</v>
      </c>
      <c r="F121" s="1320">
        <v>117.6</v>
      </c>
      <c r="G121" s="611">
        <v>677.6</v>
      </c>
      <c r="H121" s="1331">
        <v>44903</v>
      </c>
      <c r="I121" s="1923">
        <v>1402.39</v>
      </c>
      <c r="J121" s="2193">
        <v>44977</v>
      </c>
      <c r="K121" s="1935" t="s">
        <v>4855</v>
      </c>
      <c r="L121" s="166"/>
      <c r="M121" s="190"/>
    </row>
    <row r="122" spans="1:14" ht="15">
      <c r="A122" s="1331">
        <v>44902.000497685185</v>
      </c>
      <c r="B122" s="1321" t="s">
        <v>2518</v>
      </c>
      <c r="C122" s="1321" t="s">
        <v>4131</v>
      </c>
      <c r="D122" s="608" t="s">
        <v>3668</v>
      </c>
      <c r="E122" s="1329">
        <v>64.8</v>
      </c>
      <c r="F122" s="1320">
        <v>13.61</v>
      </c>
      <c r="G122" s="611">
        <v>78.41</v>
      </c>
      <c r="H122" s="1331">
        <v>44903</v>
      </c>
      <c r="I122" s="1961"/>
      <c r="J122" s="2196"/>
      <c r="K122" s="1950"/>
      <c r="L122" s="166"/>
      <c r="M122" s="190"/>
    </row>
    <row r="123" spans="1:14" ht="15">
      <c r="A123" s="1331">
        <v>44902.000497685185</v>
      </c>
      <c r="B123" s="1321" t="s">
        <v>2518</v>
      </c>
      <c r="C123" s="1321" t="s">
        <v>4131</v>
      </c>
      <c r="D123" s="608" t="s">
        <v>3669</v>
      </c>
      <c r="E123" s="1329">
        <v>98.8</v>
      </c>
      <c r="F123" s="1320">
        <v>20.75</v>
      </c>
      <c r="G123" s="611">
        <v>119.55</v>
      </c>
      <c r="H123" s="1331">
        <v>44903</v>
      </c>
      <c r="I123" s="1961"/>
      <c r="J123" s="2196"/>
      <c r="K123" s="1950"/>
      <c r="L123" s="166"/>
      <c r="M123" s="190"/>
    </row>
    <row r="124" spans="1:14" ht="15">
      <c r="A124" s="1331">
        <v>44907</v>
      </c>
      <c r="B124" s="1321" t="s">
        <v>2518</v>
      </c>
      <c r="C124" s="1321" t="s">
        <v>4131</v>
      </c>
      <c r="D124" s="608" t="s">
        <v>3709</v>
      </c>
      <c r="E124" s="1329">
        <v>56.68</v>
      </c>
      <c r="F124" s="1320">
        <v>11.9</v>
      </c>
      <c r="G124" s="611">
        <v>68.58</v>
      </c>
      <c r="H124" s="1331">
        <v>44908</v>
      </c>
      <c r="I124" s="1961"/>
      <c r="J124" s="2196"/>
      <c r="K124" s="1950"/>
      <c r="L124" s="166"/>
      <c r="M124" s="190"/>
    </row>
    <row r="125" spans="1:14" ht="15">
      <c r="A125" s="1331">
        <v>44907</v>
      </c>
      <c r="B125" s="1321" t="s">
        <v>2518</v>
      </c>
      <c r="C125" s="1321" t="s">
        <v>4131</v>
      </c>
      <c r="D125" s="608" t="s">
        <v>3710</v>
      </c>
      <c r="E125" s="1329">
        <v>201</v>
      </c>
      <c r="F125" s="1320">
        <v>42.21</v>
      </c>
      <c r="G125" s="611">
        <v>243.21</v>
      </c>
      <c r="H125" s="1331">
        <v>44908</v>
      </c>
      <c r="I125" s="1961"/>
      <c r="J125" s="2196"/>
      <c r="K125" s="1950"/>
      <c r="L125" s="166"/>
      <c r="M125" s="190"/>
    </row>
    <row r="126" spans="1:14" ht="15">
      <c r="A126" s="1331">
        <v>44910</v>
      </c>
      <c r="B126" s="1321" t="s">
        <v>2518</v>
      </c>
      <c r="C126" s="1321" t="s">
        <v>4131</v>
      </c>
      <c r="D126" s="608" t="s">
        <v>3711</v>
      </c>
      <c r="E126" s="1329">
        <v>8.7200000000000006</v>
      </c>
      <c r="F126" s="1320">
        <v>1.83</v>
      </c>
      <c r="G126" s="611">
        <v>10.55</v>
      </c>
      <c r="H126" s="1331">
        <v>44911</v>
      </c>
      <c r="I126" s="1961"/>
      <c r="J126" s="2196"/>
      <c r="K126" s="1950"/>
      <c r="L126" s="166"/>
      <c r="M126" s="190"/>
    </row>
    <row r="127" spans="1:14" ht="15">
      <c r="A127" s="1331">
        <v>44910</v>
      </c>
      <c r="B127" s="1321" t="s">
        <v>2518</v>
      </c>
      <c r="C127" s="1321" t="s">
        <v>4131</v>
      </c>
      <c r="D127" s="608" t="s">
        <v>3712</v>
      </c>
      <c r="E127" s="1329">
        <v>50.4</v>
      </c>
      <c r="F127" s="1320">
        <v>10.58</v>
      </c>
      <c r="G127" s="611">
        <v>60.98</v>
      </c>
      <c r="H127" s="1331">
        <v>44911</v>
      </c>
      <c r="I127" s="1961"/>
      <c r="J127" s="2196"/>
      <c r="K127" s="1950"/>
      <c r="L127" s="166"/>
      <c r="M127" s="190"/>
    </row>
    <row r="128" spans="1:14" ht="15">
      <c r="A128" s="1331">
        <v>44910</v>
      </c>
      <c r="B128" s="1321" t="s">
        <v>2518</v>
      </c>
      <c r="C128" s="1321" t="s">
        <v>4131</v>
      </c>
      <c r="D128" s="608" t="s">
        <v>3713</v>
      </c>
      <c r="E128" s="1329">
        <v>44.8</v>
      </c>
      <c r="F128" s="1320">
        <v>9.41</v>
      </c>
      <c r="G128" s="611">
        <v>54.21</v>
      </c>
      <c r="H128" s="1331">
        <v>44911</v>
      </c>
      <c r="I128" s="1961"/>
      <c r="J128" s="2196"/>
      <c r="K128" s="1950"/>
      <c r="L128" s="166"/>
      <c r="M128" s="190"/>
    </row>
    <row r="129" spans="1:13" ht="15">
      <c r="A129" s="1331">
        <v>44911</v>
      </c>
      <c r="B129" s="1321" t="s">
        <v>2518</v>
      </c>
      <c r="C129" s="1321" t="s">
        <v>4131</v>
      </c>
      <c r="D129" s="608" t="s">
        <v>3714</v>
      </c>
      <c r="E129" s="1329">
        <v>33.6</v>
      </c>
      <c r="F129" s="1320">
        <v>7.06</v>
      </c>
      <c r="G129" s="611">
        <v>40.659999999999997</v>
      </c>
      <c r="H129" s="1331">
        <v>44912</v>
      </c>
      <c r="I129" s="1961"/>
      <c r="J129" s="2196"/>
      <c r="K129" s="1950"/>
      <c r="L129" s="166"/>
      <c r="M129" s="190"/>
    </row>
    <row r="130" spans="1:13" ht="15">
      <c r="A130" s="1331">
        <v>44911</v>
      </c>
      <c r="B130" s="1321" t="s">
        <v>2518</v>
      </c>
      <c r="C130" s="1321" t="s">
        <v>4131</v>
      </c>
      <c r="D130" s="608" t="s">
        <v>3715</v>
      </c>
      <c r="E130" s="1329">
        <v>40.200000000000003</v>
      </c>
      <c r="F130" s="1320">
        <v>8.44</v>
      </c>
      <c r="G130" s="611">
        <v>48.64</v>
      </c>
      <c r="H130" s="1331">
        <v>44912</v>
      </c>
      <c r="I130" s="1924"/>
      <c r="J130" s="2194"/>
      <c r="K130" s="1947"/>
      <c r="L130" s="166"/>
      <c r="M130" s="190"/>
    </row>
    <row r="131" spans="1:13" ht="15">
      <c r="A131" s="1331">
        <v>44916</v>
      </c>
      <c r="B131" s="1321" t="s">
        <v>2518</v>
      </c>
      <c r="C131" s="1321" t="s">
        <v>4131</v>
      </c>
      <c r="D131" s="608" t="s">
        <v>3794</v>
      </c>
      <c r="E131" s="1329">
        <v>20.64</v>
      </c>
      <c r="F131" s="1320">
        <v>4.33</v>
      </c>
      <c r="G131" s="611">
        <v>24.97</v>
      </c>
      <c r="H131" s="1331">
        <v>44917</v>
      </c>
      <c r="I131" s="1923">
        <v>685.29000000000008</v>
      </c>
      <c r="J131" s="2193">
        <v>45036</v>
      </c>
      <c r="K131" s="1935" t="s">
        <v>4854</v>
      </c>
      <c r="L131" s="166"/>
      <c r="M131" s="190"/>
    </row>
    <row r="132" spans="1:13" ht="15">
      <c r="A132" s="1331">
        <v>44917</v>
      </c>
      <c r="B132" s="1321" t="s">
        <v>2518</v>
      </c>
      <c r="C132" s="1321" t="s">
        <v>4131</v>
      </c>
      <c r="D132" s="608" t="s">
        <v>3795</v>
      </c>
      <c r="E132" s="1329">
        <v>84.8</v>
      </c>
      <c r="F132" s="1320">
        <v>17.809999999999999</v>
      </c>
      <c r="G132" s="611">
        <v>102.61</v>
      </c>
      <c r="H132" s="1331">
        <v>44918</v>
      </c>
      <c r="I132" s="1961"/>
      <c r="J132" s="2196"/>
      <c r="K132" s="1950"/>
      <c r="L132" s="166"/>
      <c r="M132" s="190"/>
    </row>
    <row r="133" spans="1:13" ht="15">
      <c r="A133" s="1331">
        <v>44918</v>
      </c>
      <c r="B133" s="1321" t="s">
        <v>2518</v>
      </c>
      <c r="C133" s="1321" t="s">
        <v>4131</v>
      </c>
      <c r="D133" s="608" t="s">
        <v>3796</v>
      </c>
      <c r="E133" s="1329">
        <v>150.80000000000001</v>
      </c>
      <c r="F133" s="1320">
        <v>31.67</v>
      </c>
      <c r="G133" s="611">
        <v>182.47</v>
      </c>
      <c r="H133" s="1331">
        <v>44919</v>
      </c>
      <c r="I133" s="1961"/>
      <c r="J133" s="2196"/>
      <c r="K133" s="1950"/>
      <c r="L133" s="166"/>
      <c r="M133" s="190"/>
    </row>
    <row r="134" spans="1:13" ht="15">
      <c r="A134" s="1331">
        <v>44918</v>
      </c>
      <c r="B134" s="1321" t="s">
        <v>2518</v>
      </c>
      <c r="C134" s="1321" t="s">
        <v>4131</v>
      </c>
      <c r="D134" s="608" t="s">
        <v>3797</v>
      </c>
      <c r="E134" s="1329">
        <v>299.72000000000003</v>
      </c>
      <c r="F134" s="1320">
        <v>62.94</v>
      </c>
      <c r="G134" s="611">
        <v>362.66</v>
      </c>
      <c r="H134" s="1331">
        <v>44919</v>
      </c>
      <c r="I134" s="1961"/>
      <c r="J134" s="2196"/>
      <c r="K134" s="1950"/>
      <c r="L134" s="166"/>
      <c r="M134" s="190"/>
    </row>
    <row r="135" spans="1:13" ht="15">
      <c r="A135" s="1331">
        <v>44918</v>
      </c>
      <c r="B135" s="1321" t="s">
        <v>2518</v>
      </c>
      <c r="C135" s="1321" t="s">
        <v>4131</v>
      </c>
      <c r="D135" s="608" t="s">
        <v>3798</v>
      </c>
      <c r="E135" s="1329">
        <v>10.4</v>
      </c>
      <c r="F135" s="1320">
        <v>2.1800000000000002</v>
      </c>
      <c r="G135" s="611">
        <v>12.58</v>
      </c>
      <c r="H135" s="1331">
        <v>44919</v>
      </c>
      <c r="I135" s="1924"/>
      <c r="J135" s="2194"/>
      <c r="K135" s="1947"/>
      <c r="L135" s="166"/>
      <c r="M135" s="190"/>
    </row>
    <row r="136" spans="1:13" ht="15">
      <c r="A136" s="1331">
        <v>44922</v>
      </c>
      <c r="B136" s="1321" t="s">
        <v>2518</v>
      </c>
      <c r="C136" s="1321" t="s">
        <v>4131</v>
      </c>
      <c r="D136" s="608" t="s">
        <v>3829</v>
      </c>
      <c r="E136" s="1329">
        <v>155.52000000000001</v>
      </c>
      <c r="F136" s="1320">
        <v>32.659999999999997</v>
      </c>
      <c r="G136" s="611">
        <v>188.18</v>
      </c>
      <c r="H136" s="1331">
        <v>44903</v>
      </c>
      <c r="I136" s="1921">
        <v>0</v>
      </c>
      <c r="J136" s="2193">
        <v>44961</v>
      </c>
      <c r="K136" s="1935" t="s">
        <v>4040</v>
      </c>
      <c r="L136" s="166" t="s">
        <v>3837</v>
      </c>
      <c r="M136" s="190"/>
    </row>
    <row r="137" spans="1:13" ht="15">
      <c r="A137" s="1331">
        <v>44922</v>
      </c>
      <c r="B137" s="1321" t="s">
        <v>2518</v>
      </c>
      <c r="C137" s="1321" t="s">
        <v>4131</v>
      </c>
      <c r="D137" s="608" t="s">
        <v>3830</v>
      </c>
      <c r="E137" s="1329">
        <v>-155.52000000000001</v>
      </c>
      <c r="F137" s="1320">
        <v>-32.659999999999997</v>
      </c>
      <c r="G137" s="611">
        <v>-188.18</v>
      </c>
      <c r="H137" s="1331"/>
      <c r="I137" s="1922"/>
      <c r="J137" s="2194"/>
      <c r="K137" s="1947"/>
      <c r="L137" s="166"/>
      <c r="M137" s="190"/>
    </row>
    <row r="138" spans="1:13" ht="15">
      <c r="A138" s="1331">
        <v>44922</v>
      </c>
      <c r="B138" s="1321" t="s">
        <v>2518</v>
      </c>
      <c r="C138" s="1321" t="s">
        <v>4131</v>
      </c>
      <c r="D138" s="608" t="s">
        <v>3831</v>
      </c>
      <c r="E138" s="1329">
        <v>7.44</v>
      </c>
      <c r="F138" s="1320">
        <v>1.56</v>
      </c>
      <c r="G138" s="611">
        <v>9</v>
      </c>
      <c r="H138" s="1331">
        <v>44923</v>
      </c>
      <c r="I138" s="1923">
        <v>2615.6800000000003</v>
      </c>
      <c r="J138" s="2193">
        <v>45036</v>
      </c>
      <c r="K138" s="1935" t="s">
        <v>4854</v>
      </c>
      <c r="L138" s="166"/>
      <c r="M138" s="190"/>
    </row>
    <row r="139" spans="1:13" ht="15">
      <c r="A139" s="1331">
        <v>44923</v>
      </c>
      <c r="B139" s="1321" t="s">
        <v>2518</v>
      </c>
      <c r="C139" s="1321" t="s">
        <v>4131</v>
      </c>
      <c r="D139" s="608" t="s">
        <v>3832</v>
      </c>
      <c r="E139" s="1329">
        <v>367.52</v>
      </c>
      <c r="F139" s="1320">
        <v>77.180000000000007</v>
      </c>
      <c r="G139" s="611">
        <v>444.7</v>
      </c>
      <c r="H139" s="1331">
        <v>44924</v>
      </c>
      <c r="I139" s="1961"/>
      <c r="J139" s="2196"/>
      <c r="K139" s="1950"/>
      <c r="L139" s="166"/>
      <c r="M139" s="190"/>
    </row>
    <row r="140" spans="1:13" ht="15">
      <c r="A140" s="1331">
        <v>44923</v>
      </c>
      <c r="B140" s="1321" t="s">
        <v>2518</v>
      </c>
      <c r="C140" s="1321" t="s">
        <v>4131</v>
      </c>
      <c r="D140" s="608" t="s">
        <v>3833</v>
      </c>
      <c r="E140" s="1329">
        <v>26.72</v>
      </c>
      <c r="F140" s="1320">
        <v>5.61</v>
      </c>
      <c r="G140" s="611">
        <v>32.33</v>
      </c>
      <c r="H140" s="1331">
        <v>44924</v>
      </c>
      <c r="I140" s="1961"/>
      <c r="J140" s="2196"/>
      <c r="K140" s="1950"/>
      <c r="L140" s="166"/>
      <c r="M140" s="190"/>
    </row>
    <row r="141" spans="1:13" ht="15">
      <c r="A141" s="1331">
        <v>44924</v>
      </c>
      <c r="B141" s="1321" t="s">
        <v>2518</v>
      </c>
      <c r="C141" s="1321" t="s">
        <v>4131</v>
      </c>
      <c r="D141" s="608" t="s">
        <v>3834</v>
      </c>
      <c r="E141" s="1329">
        <v>0.48</v>
      </c>
      <c r="F141" s="1320">
        <v>0.1</v>
      </c>
      <c r="G141" s="611">
        <v>0.57999999999999996</v>
      </c>
      <c r="H141" s="1331">
        <v>44925</v>
      </c>
      <c r="I141" s="1961"/>
      <c r="J141" s="2196"/>
      <c r="K141" s="1950"/>
      <c r="L141" s="166"/>
      <c r="M141" s="190"/>
    </row>
    <row r="142" spans="1:13" ht="15">
      <c r="A142" s="1331">
        <v>44924</v>
      </c>
      <c r="B142" s="1321" t="s">
        <v>2518</v>
      </c>
      <c r="C142" s="1321" t="s">
        <v>4131</v>
      </c>
      <c r="D142" s="608" t="s">
        <v>3835</v>
      </c>
      <c r="E142" s="1329">
        <v>1152</v>
      </c>
      <c r="F142" s="1320">
        <v>241.92</v>
      </c>
      <c r="G142" s="611">
        <v>1393.92</v>
      </c>
      <c r="H142" s="1331">
        <v>44925</v>
      </c>
      <c r="I142" s="1961"/>
      <c r="J142" s="2196"/>
      <c r="K142" s="1950"/>
      <c r="L142" s="166"/>
      <c r="M142" s="190"/>
    </row>
    <row r="143" spans="1:13" ht="15">
      <c r="A143" s="1331">
        <v>44924</v>
      </c>
      <c r="B143" s="1321" t="s">
        <v>2518</v>
      </c>
      <c r="C143" s="1321" t="s">
        <v>4131</v>
      </c>
      <c r="D143" s="608" t="s">
        <v>3836</v>
      </c>
      <c r="E143" s="1329">
        <v>113.56</v>
      </c>
      <c r="F143" s="1320">
        <v>23.85</v>
      </c>
      <c r="G143" s="611">
        <v>137.41</v>
      </c>
      <c r="H143" s="1331">
        <v>44925</v>
      </c>
      <c r="I143" s="1961"/>
      <c r="J143" s="2196"/>
      <c r="K143" s="1950"/>
      <c r="L143" s="166"/>
      <c r="M143" s="190"/>
    </row>
    <row r="144" spans="1:13" ht="15">
      <c r="A144" s="1331">
        <v>44928</v>
      </c>
      <c r="B144" s="1321" t="s">
        <v>2518</v>
      </c>
      <c r="C144" s="1321" t="s">
        <v>4131</v>
      </c>
      <c r="D144" s="608" t="s">
        <v>3868</v>
      </c>
      <c r="E144" s="1329">
        <v>494</v>
      </c>
      <c r="F144" s="1320">
        <v>103.74</v>
      </c>
      <c r="G144" s="611">
        <v>597.74</v>
      </c>
      <c r="H144" s="1331">
        <v>44929.000497685185</v>
      </c>
      <c r="I144" s="1924"/>
      <c r="J144" s="2194"/>
      <c r="K144" s="1947"/>
      <c r="L144" s="166"/>
      <c r="M144" s="190"/>
    </row>
    <row r="145" spans="1:13" ht="15">
      <c r="A145" s="2193">
        <v>44935</v>
      </c>
      <c r="B145" s="1903" t="s">
        <v>2518</v>
      </c>
      <c r="C145" s="1903" t="s">
        <v>4131</v>
      </c>
      <c r="D145" s="2199" t="s">
        <v>3919</v>
      </c>
      <c r="E145" s="1923">
        <v>130</v>
      </c>
      <c r="F145" s="1921">
        <v>27.3</v>
      </c>
      <c r="G145" s="611">
        <v>128.38</v>
      </c>
      <c r="H145" s="1331">
        <v>44936</v>
      </c>
      <c r="I145" s="1329">
        <v>128.38</v>
      </c>
      <c r="J145" s="1331">
        <v>44977</v>
      </c>
      <c r="K145" s="1319" t="s">
        <v>4855</v>
      </c>
      <c r="L145" s="166" t="s">
        <v>3920</v>
      </c>
      <c r="M145" s="190"/>
    </row>
    <row r="146" spans="1:13" ht="15">
      <c r="A146" s="2194"/>
      <c r="B146" s="1905"/>
      <c r="C146" s="1905"/>
      <c r="D146" s="2200"/>
      <c r="E146" s="1924"/>
      <c r="F146" s="1922"/>
      <c r="G146" s="611">
        <f>157.3-128.38</f>
        <v>28.920000000000016</v>
      </c>
      <c r="H146" s="1331">
        <v>44936</v>
      </c>
      <c r="I146" s="1329">
        <v>28.920000000000016</v>
      </c>
      <c r="J146" s="1331">
        <v>45036</v>
      </c>
      <c r="K146" s="1319" t="s">
        <v>4854</v>
      </c>
      <c r="L146" s="166"/>
      <c r="M146" s="190"/>
    </row>
    <row r="147" spans="1:13" ht="15">
      <c r="A147" s="1416"/>
      <c r="B147" s="1397"/>
      <c r="C147" s="1397"/>
      <c r="D147" s="1417"/>
      <c r="E147" s="1399"/>
      <c r="F147" s="1398"/>
      <c r="G147" s="605"/>
      <c r="H147" s="601"/>
      <c r="I147" s="1413"/>
      <c r="J147" s="1414"/>
      <c r="K147" s="1401"/>
      <c r="L147" s="166"/>
      <c r="M147" s="190"/>
    </row>
    <row r="148" spans="1:13" ht="15">
      <c r="A148" s="1416"/>
      <c r="B148" s="1397"/>
      <c r="C148" s="1397"/>
      <c r="D148" s="1417"/>
      <c r="E148" s="1399"/>
      <c r="F148" s="1398"/>
      <c r="G148" s="605"/>
      <c r="H148" s="601"/>
      <c r="I148" s="1413"/>
      <c r="J148" s="1414"/>
      <c r="K148" s="1401"/>
      <c r="L148" s="166"/>
      <c r="M148" s="190"/>
    </row>
    <row r="149" spans="1:13" ht="15">
      <c r="A149" s="1407"/>
      <c r="B149" s="1391"/>
      <c r="C149" s="1391"/>
      <c r="D149" s="1408"/>
      <c r="E149" s="1393"/>
      <c r="F149" s="1392"/>
      <c r="G149" s="611"/>
      <c r="H149" s="1414"/>
      <c r="I149" s="1413"/>
      <c r="J149" s="1414"/>
      <c r="K149" s="1401"/>
      <c r="L149" s="166"/>
      <c r="M149" s="190"/>
    </row>
    <row r="150" spans="1:13" ht="15">
      <c r="A150" s="1407"/>
      <c r="B150" s="1391"/>
      <c r="C150" s="1391"/>
      <c r="D150" s="1408"/>
      <c r="E150" s="1393"/>
      <c r="F150" s="1392"/>
      <c r="G150" s="611"/>
      <c r="H150" s="1414"/>
      <c r="I150" s="1413"/>
      <c r="J150" s="1414"/>
      <c r="K150" s="1401"/>
      <c r="L150" s="166"/>
      <c r="M150" s="190"/>
    </row>
    <row r="151" spans="1:13" ht="15">
      <c r="A151" s="601"/>
      <c r="B151" s="601"/>
      <c r="C151" s="601"/>
      <c r="D151" s="602"/>
      <c r="E151" s="603"/>
      <c r="F151" s="604"/>
      <c r="G151" s="605"/>
      <c r="H151" s="601"/>
      <c r="I151" s="1204"/>
      <c r="J151" s="1043"/>
      <c r="K151" s="211"/>
      <c r="L151" s="166"/>
      <c r="M151" s="190"/>
    </row>
    <row r="152" spans="1:13" ht="15">
      <c r="A152" s="601"/>
      <c r="B152" s="601"/>
      <c r="C152" s="601"/>
      <c r="D152" s="602"/>
      <c r="E152" s="603"/>
      <c r="F152" s="604"/>
      <c r="G152" s="605"/>
      <c r="H152" s="601"/>
      <c r="I152" s="1204"/>
      <c r="J152" s="985"/>
      <c r="K152" s="211"/>
      <c r="L152" s="166"/>
      <c r="M152" s="190"/>
    </row>
    <row r="153" spans="1:13" ht="15">
      <c r="A153" s="601"/>
      <c r="B153" s="601"/>
      <c r="C153" s="601"/>
      <c r="D153" s="602"/>
      <c r="E153" s="603"/>
      <c r="F153" s="604"/>
      <c r="G153" s="605"/>
      <c r="H153" s="601"/>
      <c r="I153" s="1204"/>
      <c r="J153" s="607"/>
      <c r="K153" s="211"/>
      <c r="L153" s="166"/>
      <c r="M153" s="190"/>
    </row>
    <row r="154" spans="1:13" ht="15">
      <c r="A154" s="615"/>
      <c r="B154" s="1133"/>
      <c r="C154" s="1133"/>
      <c r="D154" s="608"/>
      <c r="E154" s="616"/>
      <c r="F154" s="1144" t="s">
        <v>545</v>
      </c>
      <c r="G154" s="617">
        <f>SUM(G2:G153)-SUM(I2:I153)</f>
        <v>0</v>
      </c>
      <c r="H154" s="618"/>
      <c r="I154" s="1204"/>
      <c r="J154" s="615"/>
      <c r="K154" s="211"/>
      <c r="L154" s="207"/>
      <c r="M154" s="190"/>
    </row>
    <row r="155" spans="1:13">
      <c r="M155" s="190"/>
    </row>
    <row r="156" spans="1:13">
      <c r="M156" s="190"/>
    </row>
    <row r="157" spans="1:13">
      <c r="M157" s="190"/>
    </row>
  </sheetData>
  <mergeCells count="58">
    <mergeCell ref="K106:K118"/>
    <mergeCell ref="J106:J118"/>
    <mergeCell ref="I106:I118"/>
    <mergeCell ref="K138:K144"/>
    <mergeCell ref="J138:J144"/>
    <mergeCell ref="I138:I144"/>
    <mergeCell ref="A145:A146"/>
    <mergeCell ref="K121:K130"/>
    <mergeCell ref="J121:J130"/>
    <mergeCell ref="I121:I130"/>
    <mergeCell ref="F145:F146"/>
    <mergeCell ref="E145:E146"/>
    <mergeCell ref="D145:D146"/>
    <mergeCell ref="C145:C146"/>
    <mergeCell ref="B145:B146"/>
    <mergeCell ref="K136:K137"/>
    <mergeCell ref="J136:J137"/>
    <mergeCell ref="I136:I137"/>
    <mergeCell ref="K131:K135"/>
    <mergeCell ref="J131:J135"/>
    <mergeCell ref="I131:I135"/>
    <mergeCell ref="I3:I7"/>
    <mergeCell ref="L3:L7"/>
    <mergeCell ref="K3:K7"/>
    <mergeCell ref="J3:J7"/>
    <mergeCell ref="I10:I15"/>
    <mergeCell ref="K10:K15"/>
    <mergeCell ref="J10:J15"/>
    <mergeCell ref="L10:L15"/>
    <mergeCell ref="L16:L20"/>
    <mergeCell ref="K16:K20"/>
    <mergeCell ref="J16:J20"/>
    <mergeCell ref="K25:K72"/>
    <mergeCell ref="I25:I72"/>
    <mergeCell ref="J25:J72"/>
    <mergeCell ref="K21:K24"/>
    <mergeCell ref="J21:J24"/>
    <mergeCell ref="I21:I24"/>
    <mergeCell ref="L21:L24"/>
    <mergeCell ref="I16:I20"/>
    <mergeCell ref="K73:K98"/>
    <mergeCell ref="J73:J98"/>
    <mergeCell ref="I73:I98"/>
    <mergeCell ref="K99:K105"/>
    <mergeCell ref="J99:J105"/>
    <mergeCell ref="D105:D106"/>
    <mergeCell ref="A105:A106"/>
    <mergeCell ref="I99:I105"/>
    <mergeCell ref="F98:F99"/>
    <mergeCell ref="E98:E99"/>
    <mergeCell ref="D98:D99"/>
    <mergeCell ref="A98:A99"/>
    <mergeCell ref="B105:B106"/>
    <mergeCell ref="C105:C106"/>
    <mergeCell ref="B98:B99"/>
    <mergeCell ref="C98:C99"/>
    <mergeCell ref="F105:F106"/>
    <mergeCell ref="E105:E106"/>
  </mergeCells>
  <phoneticPr fontId="15" type="noConversion"/>
  <hyperlinks>
    <hyperlink ref="F154" location="汇总!A1" display="剩余欠款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L24"/>
  <sheetViews>
    <sheetView workbookViewId="0">
      <pane ySplit="1" topLeftCell="A2" activePane="bottomLeft" state="frozen"/>
      <selection activeCell="C33" sqref="C33"/>
      <selection pane="bottomLeft" activeCell="F18" sqref="F18"/>
    </sheetView>
  </sheetViews>
  <sheetFormatPr defaultColWidth="8.75" defaultRowHeight="14.25"/>
  <cols>
    <col min="1" max="1" width="13.5" style="56" customWidth="1"/>
    <col min="2" max="2" width="8.875" style="56" bestFit="1" customWidth="1"/>
    <col min="3" max="3" width="22.375" style="56" bestFit="1" customWidth="1"/>
    <col min="4" max="4" width="15" style="56" bestFit="1" customWidth="1"/>
    <col min="5" max="5" width="14.375" style="56" customWidth="1"/>
    <col min="6" max="6" width="10.5" style="56" customWidth="1"/>
    <col min="7" max="7" width="14.375" style="56" customWidth="1"/>
    <col min="8" max="8" width="16.75" style="56" bestFit="1" customWidth="1"/>
    <col min="9" max="9" width="14.125" style="56" bestFit="1" customWidth="1"/>
    <col min="10" max="10" width="12" style="55" bestFit="1" customWidth="1"/>
    <col min="11" max="11" width="11.375" style="56" bestFit="1" customWidth="1"/>
    <col min="12" max="12" width="18.375" style="56" bestFit="1" customWidth="1"/>
    <col min="13" max="16384" width="8.75" style="56"/>
  </cols>
  <sheetData>
    <row r="1" spans="1:12" s="96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6" t="s">
        <v>542</v>
      </c>
    </row>
    <row r="2" spans="1:12" ht="15">
      <c r="A2" s="1918">
        <v>44517</v>
      </c>
      <c r="B2" s="1918" t="s">
        <v>4130</v>
      </c>
      <c r="C2" s="1918" t="s">
        <v>4611</v>
      </c>
      <c r="D2" s="1929" t="s">
        <v>549</v>
      </c>
      <c r="E2" s="1927">
        <v>2246.25</v>
      </c>
      <c r="F2" s="1927">
        <v>0</v>
      </c>
      <c r="G2" s="2002">
        <v>2246.25</v>
      </c>
      <c r="H2" s="1918">
        <v>44547</v>
      </c>
      <c r="I2" s="769">
        <v>2000</v>
      </c>
      <c r="J2" s="620">
        <v>44613</v>
      </c>
      <c r="K2" s="236" t="s">
        <v>550</v>
      </c>
      <c r="L2" s="103"/>
    </row>
    <row r="3" spans="1:12" ht="15">
      <c r="A3" s="1920"/>
      <c r="B3" s="1920"/>
      <c r="C3" s="1920"/>
      <c r="D3" s="1930"/>
      <c r="E3" s="1928"/>
      <c r="F3" s="1928"/>
      <c r="G3" s="2003"/>
      <c r="H3" s="1920"/>
      <c r="I3" s="769">
        <v>246.25</v>
      </c>
      <c r="J3" s="620">
        <v>44623</v>
      </c>
      <c r="K3" s="443" t="s">
        <v>550</v>
      </c>
      <c r="L3" s="219"/>
    </row>
    <row r="4" spans="1:12" ht="15">
      <c r="A4" s="620">
        <v>44622</v>
      </c>
      <c r="B4" s="1124" t="s">
        <v>4130</v>
      </c>
      <c r="C4" s="1124" t="s">
        <v>4610</v>
      </c>
      <c r="D4" s="621" t="s">
        <v>551</v>
      </c>
      <c r="E4" s="731">
        <v>-23.85</v>
      </c>
      <c r="F4" s="731">
        <v>0</v>
      </c>
      <c r="G4" s="769">
        <v>-23.85</v>
      </c>
      <c r="H4" s="620" t="s">
        <v>1529</v>
      </c>
      <c r="I4" s="769">
        <v>-23.85</v>
      </c>
      <c r="J4" s="620">
        <v>44623</v>
      </c>
      <c r="K4" s="236" t="s">
        <v>550</v>
      </c>
      <c r="L4" s="103"/>
    </row>
    <row r="5" spans="1:12" ht="15">
      <c r="A5" s="632">
        <v>44678</v>
      </c>
      <c r="B5" s="1124" t="s">
        <v>521</v>
      </c>
      <c r="C5" s="1254" t="s">
        <v>4611</v>
      </c>
      <c r="D5" s="615" t="s">
        <v>2011</v>
      </c>
      <c r="E5" s="731">
        <v>1593</v>
      </c>
      <c r="F5" s="731">
        <v>0</v>
      </c>
      <c r="G5" s="731">
        <v>1593</v>
      </c>
      <c r="H5" s="632">
        <v>44708</v>
      </c>
      <c r="I5" s="731">
        <v>1593</v>
      </c>
      <c r="J5" s="632">
        <v>44755</v>
      </c>
      <c r="K5" s="474" t="s">
        <v>550</v>
      </c>
      <c r="L5" s="219"/>
    </row>
    <row r="6" spans="1:12" ht="15">
      <c r="A6" s="632">
        <v>44685</v>
      </c>
      <c r="B6" s="1124" t="s">
        <v>521</v>
      </c>
      <c r="C6" s="1254" t="s">
        <v>4610</v>
      </c>
      <c r="D6" s="615" t="s">
        <v>2059</v>
      </c>
      <c r="E6" s="731">
        <v>1027.43</v>
      </c>
      <c r="F6" s="731">
        <v>0</v>
      </c>
      <c r="G6" s="731">
        <v>1027.43</v>
      </c>
      <c r="H6" s="632">
        <v>44715</v>
      </c>
      <c r="I6" s="731">
        <v>1027.43</v>
      </c>
      <c r="J6" s="632">
        <v>44755</v>
      </c>
      <c r="K6" s="474" t="s">
        <v>550</v>
      </c>
      <c r="L6" s="219"/>
    </row>
    <row r="7" spans="1:12" ht="15">
      <c r="A7" s="632">
        <v>44727</v>
      </c>
      <c r="B7" s="1124" t="s">
        <v>521</v>
      </c>
      <c r="C7" s="1254" t="s">
        <v>4610</v>
      </c>
      <c r="D7" s="615" t="s">
        <v>2298</v>
      </c>
      <c r="E7" s="731">
        <v>1722.23</v>
      </c>
      <c r="F7" s="731">
        <v>0</v>
      </c>
      <c r="G7" s="731">
        <v>1722.23</v>
      </c>
      <c r="H7" s="632">
        <v>44757</v>
      </c>
      <c r="I7" s="731">
        <v>1722.23</v>
      </c>
      <c r="J7" s="632">
        <v>44783</v>
      </c>
      <c r="K7" s="498" t="s">
        <v>550</v>
      </c>
      <c r="L7" s="219"/>
    </row>
    <row r="8" spans="1:12" ht="15">
      <c r="A8" s="632">
        <v>44746.000497685185</v>
      </c>
      <c r="B8" s="1124" t="s">
        <v>521</v>
      </c>
      <c r="C8" s="1254" t="s">
        <v>4610</v>
      </c>
      <c r="D8" s="615" t="s">
        <v>2392</v>
      </c>
      <c r="E8" s="731">
        <v>744</v>
      </c>
      <c r="F8" s="731">
        <v>0</v>
      </c>
      <c r="G8" s="731">
        <v>744</v>
      </c>
      <c r="H8" s="632">
        <v>44746.000497685185</v>
      </c>
      <c r="I8" s="731">
        <v>744</v>
      </c>
      <c r="J8" s="632">
        <v>44783</v>
      </c>
      <c r="K8" s="498" t="s">
        <v>550</v>
      </c>
      <c r="L8" s="219"/>
    </row>
    <row r="9" spans="1:12" ht="15">
      <c r="A9" s="623"/>
      <c r="B9" s="623"/>
      <c r="C9" s="623"/>
      <c r="D9" s="624"/>
      <c r="E9" s="624"/>
      <c r="F9" s="624"/>
      <c r="G9" s="732"/>
      <c r="H9" s="623"/>
      <c r="I9" s="732"/>
      <c r="J9" s="620"/>
      <c r="K9" s="83"/>
      <c r="L9" s="219"/>
    </row>
    <row r="10" spans="1:12" ht="15">
      <c r="A10" s="623"/>
      <c r="B10" s="623"/>
      <c r="C10" s="623"/>
      <c r="D10" s="624"/>
      <c r="E10" s="624"/>
      <c r="F10" s="624"/>
      <c r="G10" s="732"/>
      <c r="H10" s="623"/>
      <c r="I10" s="732"/>
      <c r="J10" s="620"/>
      <c r="K10" s="83"/>
      <c r="L10" s="219"/>
    </row>
    <row r="11" spans="1:12" ht="15">
      <c r="A11" s="623"/>
      <c r="B11" s="623"/>
      <c r="C11" s="623"/>
      <c r="D11" s="624"/>
      <c r="E11" s="624"/>
      <c r="F11" s="624"/>
      <c r="G11" s="732"/>
      <c r="H11" s="623"/>
      <c r="I11" s="732"/>
      <c r="J11" s="620"/>
      <c r="K11" s="83"/>
      <c r="L11" s="219"/>
    </row>
    <row r="12" spans="1:12" ht="15">
      <c r="A12" s="623"/>
      <c r="B12" s="623"/>
      <c r="C12" s="623"/>
      <c r="D12" s="624"/>
      <c r="E12" s="624"/>
      <c r="F12" s="624"/>
      <c r="G12" s="732"/>
      <c r="H12" s="623"/>
      <c r="I12" s="732"/>
      <c r="J12" s="620"/>
      <c r="K12" s="83"/>
      <c r="L12" s="219"/>
    </row>
    <row r="13" spans="1:12" ht="15">
      <c r="A13" s="623"/>
      <c r="B13" s="623"/>
      <c r="C13" s="623"/>
      <c r="D13" s="624"/>
      <c r="E13" s="624"/>
      <c r="F13" s="624"/>
      <c r="G13" s="732"/>
      <c r="H13" s="623"/>
      <c r="I13" s="732"/>
      <c r="J13" s="620"/>
      <c r="K13" s="83"/>
      <c r="L13" s="219"/>
    </row>
    <row r="14" spans="1:12" ht="15">
      <c r="A14" s="623"/>
      <c r="B14" s="623"/>
      <c r="C14" s="623"/>
      <c r="D14" s="624"/>
      <c r="E14" s="624"/>
      <c r="F14" s="624"/>
      <c r="G14" s="732"/>
      <c r="H14" s="623"/>
      <c r="I14" s="732"/>
      <c r="J14" s="620"/>
      <c r="K14" s="83"/>
      <c r="L14" s="219"/>
    </row>
    <row r="15" spans="1:12" ht="15">
      <c r="A15" s="623"/>
      <c r="B15" s="623"/>
      <c r="C15" s="623"/>
      <c r="D15" s="624"/>
      <c r="E15" s="624"/>
      <c r="F15" s="624"/>
      <c r="G15" s="732"/>
      <c r="H15" s="623"/>
      <c r="I15" s="732"/>
      <c r="J15" s="620"/>
      <c r="K15" s="83"/>
      <c r="L15" s="219"/>
    </row>
    <row r="16" spans="1:12" ht="15">
      <c r="A16" s="624"/>
      <c r="B16" s="624"/>
      <c r="C16" s="624"/>
      <c r="D16" s="624"/>
      <c r="E16" s="624"/>
      <c r="F16" s="624"/>
      <c r="G16" s="732"/>
      <c r="H16" s="623"/>
      <c r="I16" s="732"/>
      <c r="J16" s="620"/>
      <c r="K16" s="219"/>
      <c r="L16" s="219"/>
    </row>
    <row r="17" spans="1:12" ht="15">
      <c r="A17" s="624"/>
      <c r="B17" s="624"/>
      <c r="C17" s="624"/>
      <c r="D17" s="624"/>
      <c r="E17" s="624"/>
      <c r="F17" s="624"/>
      <c r="G17" s="732"/>
      <c r="H17" s="623"/>
      <c r="I17" s="732"/>
      <c r="J17" s="620"/>
      <c r="K17" s="219"/>
      <c r="L17" s="219"/>
    </row>
    <row r="18" spans="1:12" ht="15">
      <c r="A18" s="621"/>
      <c r="B18" s="1125"/>
      <c r="C18" s="1125"/>
      <c r="D18" s="619"/>
      <c r="E18" s="619"/>
      <c r="F18" s="1144" t="s">
        <v>545</v>
      </c>
      <c r="G18" s="770">
        <f>SUM(G2:G17)-SUM(I2:I17)</f>
        <v>0</v>
      </c>
      <c r="H18" s="620"/>
      <c r="I18" s="769"/>
      <c r="J18" s="620"/>
      <c r="K18" s="88"/>
      <c r="L18" s="103"/>
    </row>
    <row r="19" spans="1:12">
      <c r="A19" s="102"/>
      <c r="B19" s="168"/>
      <c r="C19" s="168"/>
      <c r="D19" s="102"/>
      <c r="E19" s="168"/>
      <c r="F19" s="168"/>
      <c r="G19" s="102"/>
      <c r="H19" s="168"/>
      <c r="I19" s="102"/>
      <c r="J19" s="237"/>
      <c r="K19" s="102"/>
    </row>
    <row r="20" spans="1:12">
      <c r="A20" s="102"/>
      <c r="B20" s="168"/>
      <c r="C20" s="168"/>
      <c r="D20" s="102"/>
      <c r="E20" s="168"/>
      <c r="F20" s="168"/>
      <c r="G20" s="102"/>
      <c r="H20" s="168"/>
      <c r="I20" s="102"/>
      <c r="J20" s="237"/>
      <c r="K20" s="102"/>
    </row>
    <row r="21" spans="1:12">
      <c r="A21" s="102"/>
      <c r="B21" s="168"/>
      <c r="C21" s="168"/>
      <c r="D21" s="102"/>
      <c r="E21" s="168"/>
      <c r="F21" s="168"/>
      <c r="G21" s="102"/>
      <c r="H21" s="168"/>
      <c r="I21" s="102"/>
      <c r="J21" s="237"/>
      <c r="K21" s="102"/>
    </row>
    <row r="22" spans="1:12">
      <c r="A22" s="102"/>
      <c r="B22" s="168"/>
      <c r="C22" s="168"/>
      <c r="D22" s="102"/>
      <c r="E22" s="168"/>
      <c r="F22" s="168"/>
      <c r="G22" s="102"/>
      <c r="H22" s="168"/>
      <c r="I22" s="102"/>
      <c r="J22" s="237"/>
      <c r="K22" s="102"/>
    </row>
    <row r="23" spans="1:12">
      <c r="A23" s="102"/>
      <c r="B23" s="168"/>
      <c r="C23" s="168"/>
      <c r="D23" s="102"/>
      <c r="E23" s="168"/>
      <c r="F23" s="168"/>
      <c r="G23" s="102"/>
      <c r="H23" s="168"/>
      <c r="I23" s="102"/>
      <c r="J23" s="237"/>
      <c r="K23" s="102"/>
    </row>
    <row r="24" spans="1:12">
      <c r="A24" s="102"/>
      <c r="B24" s="168"/>
      <c r="C24" s="168"/>
      <c r="D24" s="102"/>
      <c r="E24" s="168"/>
      <c r="F24" s="168"/>
      <c r="G24" s="102"/>
      <c r="H24" s="168"/>
      <c r="I24" s="102"/>
      <c r="J24" s="237"/>
      <c r="K24" s="102"/>
    </row>
  </sheetData>
  <mergeCells count="8">
    <mergeCell ref="H2:H3"/>
    <mergeCell ref="G2:G3"/>
    <mergeCell ref="D2:D3"/>
    <mergeCell ref="A2:A3"/>
    <mergeCell ref="F2:F3"/>
    <mergeCell ref="E2:E3"/>
    <mergeCell ref="C2:C3"/>
    <mergeCell ref="B2:B3"/>
  </mergeCells>
  <phoneticPr fontId="15" type="noConversion"/>
  <hyperlinks>
    <hyperlink ref="F18" location="汇总!A1" display="剩余欠款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69"/>
  <sheetViews>
    <sheetView workbookViewId="0">
      <pane ySplit="1" topLeftCell="A26" activePane="bottomLeft" state="frozen"/>
      <selection pane="bottomLeft" activeCell="F58" sqref="F58"/>
    </sheetView>
  </sheetViews>
  <sheetFormatPr defaultRowHeight="14.25"/>
  <cols>
    <col min="1" max="1" width="12" style="272" bestFit="1" customWidth="1"/>
    <col min="2" max="2" width="12" style="272" customWidth="1"/>
    <col min="3" max="3" width="26.125" style="272" bestFit="1" customWidth="1"/>
    <col min="4" max="4" width="16.125" style="99" bestFit="1" customWidth="1"/>
    <col min="5" max="5" width="13.875" style="99" customWidth="1"/>
    <col min="6" max="6" width="13.875" style="826" customWidth="1"/>
    <col min="7" max="7" width="11.5" style="99" bestFit="1" customWidth="1"/>
    <col min="8" max="8" width="16.75" style="99" bestFit="1" customWidth="1"/>
    <col min="9" max="9" width="14.125" style="99" bestFit="1" customWidth="1"/>
    <col min="10" max="10" width="12" style="99" bestFit="1" customWidth="1"/>
    <col min="11" max="11" width="22.75" style="99" bestFit="1" customWidth="1"/>
    <col min="12" max="12" width="37.125" style="99" bestFit="1" customWidth="1"/>
    <col min="13" max="16384" width="9" style="129"/>
  </cols>
  <sheetData>
    <row r="1" spans="1:13" customFormat="1" ht="18.75">
      <c r="A1" s="635" t="s">
        <v>3087</v>
      </c>
      <c r="B1" s="255" t="s">
        <v>516</v>
      </c>
      <c r="C1" s="255" t="s">
        <v>515</v>
      </c>
      <c r="D1" s="636" t="s">
        <v>3088</v>
      </c>
      <c r="E1" s="637" t="s">
        <v>3089</v>
      </c>
      <c r="F1" s="638" t="s">
        <v>3090</v>
      </c>
      <c r="G1" s="636" t="s">
        <v>3091</v>
      </c>
      <c r="H1" s="636" t="s">
        <v>4099</v>
      </c>
      <c r="I1" s="637" t="s">
        <v>3092</v>
      </c>
      <c r="J1" s="636" t="s">
        <v>4100</v>
      </c>
      <c r="K1" s="257" t="s">
        <v>541</v>
      </c>
      <c r="L1" s="256" t="s">
        <v>542</v>
      </c>
    </row>
    <row r="2" spans="1:13" customFormat="1" ht="15">
      <c r="A2" s="620">
        <v>44441</v>
      </c>
      <c r="B2" s="1124" t="s">
        <v>519</v>
      </c>
      <c r="C2" s="1124" t="s">
        <v>1823</v>
      </c>
      <c r="D2" s="621" t="s">
        <v>1825</v>
      </c>
      <c r="E2" s="613">
        <v>7651.82</v>
      </c>
      <c r="F2" s="614">
        <v>0</v>
      </c>
      <c r="G2" s="622">
        <v>7651.82</v>
      </c>
      <c r="H2" s="620">
        <v>44442</v>
      </c>
      <c r="I2" s="1915">
        <v>8462.7900000000009</v>
      </c>
      <c r="J2" s="1948">
        <v>44467</v>
      </c>
      <c r="K2" s="1879" t="s">
        <v>550</v>
      </c>
      <c r="L2" s="226"/>
      <c r="M2" s="102"/>
    </row>
    <row r="3" spans="1:13" customFormat="1" ht="15">
      <c r="A3" s="620">
        <v>44442</v>
      </c>
      <c r="B3" s="1124" t="s">
        <v>519</v>
      </c>
      <c r="C3" s="1124" t="s">
        <v>1823</v>
      </c>
      <c r="D3" s="621" t="s">
        <v>569</v>
      </c>
      <c r="E3" s="613">
        <v>810.97</v>
      </c>
      <c r="F3" s="614">
        <v>0</v>
      </c>
      <c r="G3" s="622">
        <v>810.97</v>
      </c>
      <c r="H3" s="620">
        <v>44443</v>
      </c>
      <c r="I3" s="1917"/>
      <c r="J3" s="1949"/>
      <c r="K3" s="1879"/>
      <c r="L3" s="226"/>
      <c r="M3" s="102"/>
    </row>
    <row r="4" spans="1:13" customFormat="1" ht="15">
      <c r="A4" s="620">
        <v>44586</v>
      </c>
      <c r="B4" s="1124" t="s">
        <v>519</v>
      </c>
      <c r="C4" s="1124" t="s">
        <v>1823</v>
      </c>
      <c r="D4" s="621" t="s">
        <v>570</v>
      </c>
      <c r="E4" s="613">
        <v>4303.8</v>
      </c>
      <c r="F4" s="614">
        <v>0</v>
      </c>
      <c r="G4" s="622">
        <v>4303.8</v>
      </c>
      <c r="H4" s="620">
        <v>44587</v>
      </c>
      <c r="I4" s="639">
        <v>4303.8</v>
      </c>
      <c r="J4" s="620">
        <v>44608</v>
      </c>
      <c r="K4" s="228" t="s">
        <v>544</v>
      </c>
      <c r="L4" s="226"/>
      <c r="M4" s="102"/>
    </row>
    <row r="5" spans="1:13" customFormat="1" ht="15">
      <c r="A5" s="620">
        <v>44670</v>
      </c>
      <c r="B5" s="1124" t="s">
        <v>519</v>
      </c>
      <c r="C5" s="1124" t="s">
        <v>1823</v>
      </c>
      <c r="D5" s="621" t="s">
        <v>1937</v>
      </c>
      <c r="E5" s="613">
        <v>4905.1400000000003</v>
      </c>
      <c r="F5" s="614">
        <v>0</v>
      </c>
      <c r="G5" s="622">
        <v>4905.1400000000003</v>
      </c>
      <c r="H5" s="620">
        <v>44730</v>
      </c>
      <c r="I5" s="639"/>
      <c r="J5" s="620"/>
      <c r="K5" s="364"/>
      <c r="L5" s="226"/>
      <c r="M5" s="168"/>
    </row>
    <row r="6" spans="1:13" customFormat="1" ht="15">
      <c r="A6" s="620">
        <v>44670</v>
      </c>
      <c r="B6" s="1124" t="s">
        <v>519</v>
      </c>
      <c r="C6" s="1124" t="s">
        <v>1823</v>
      </c>
      <c r="D6" s="621" t="s">
        <v>1939</v>
      </c>
      <c r="E6" s="613">
        <v>-4905.1400000000003</v>
      </c>
      <c r="F6" s="614">
        <v>0</v>
      </c>
      <c r="G6" s="622">
        <v>-4905.1400000000003</v>
      </c>
      <c r="H6" s="620"/>
      <c r="I6" s="639"/>
      <c r="J6" s="620"/>
      <c r="K6" s="364"/>
      <c r="L6" s="226" t="s">
        <v>1940</v>
      </c>
      <c r="M6" s="168"/>
    </row>
    <row r="7" spans="1:13" customFormat="1" ht="15">
      <c r="A7" s="620">
        <v>44670</v>
      </c>
      <c r="B7" s="1124" t="s">
        <v>519</v>
      </c>
      <c r="C7" s="1124" t="s">
        <v>1823</v>
      </c>
      <c r="D7" s="621" t="s">
        <v>1938</v>
      </c>
      <c r="E7" s="613">
        <v>4905.1400000000003</v>
      </c>
      <c r="F7" s="614">
        <v>0</v>
      </c>
      <c r="G7" s="622">
        <v>4905.1400000000003</v>
      </c>
      <c r="H7" s="620">
        <v>44671</v>
      </c>
      <c r="I7" s="639">
        <v>4905.1400000000003</v>
      </c>
      <c r="J7" s="620">
        <v>44672</v>
      </c>
      <c r="K7" s="364" t="s">
        <v>544</v>
      </c>
      <c r="L7" s="226"/>
      <c r="M7" s="168"/>
    </row>
    <row r="8" spans="1:13" customFormat="1" ht="15">
      <c r="A8" s="620">
        <v>44721</v>
      </c>
      <c r="B8" s="1124" t="s">
        <v>519</v>
      </c>
      <c r="C8" s="1124" t="s">
        <v>1823</v>
      </c>
      <c r="D8" s="621" t="s">
        <v>2254</v>
      </c>
      <c r="E8" s="613">
        <v>5714.15</v>
      </c>
      <c r="F8" s="614">
        <v>0</v>
      </c>
      <c r="G8" s="622">
        <v>5714.15</v>
      </c>
      <c r="H8" s="620">
        <v>44722</v>
      </c>
      <c r="I8" s="639">
        <v>5714.15</v>
      </c>
      <c r="J8" s="620">
        <v>44725</v>
      </c>
      <c r="K8" s="420" t="s">
        <v>544</v>
      </c>
      <c r="L8" s="226"/>
      <c r="M8" s="102"/>
    </row>
    <row r="9" spans="1:13" customFormat="1" ht="15">
      <c r="A9" s="632">
        <v>44767</v>
      </c>
      <c r="B9" s="1124" t="s">
        <v>519</v>
      </c>
      <c r="C9" s="1124" t="s">
        <v>1823</v>
      </c>
      <c r="D9" s="615" t="s">
        <v>2521</v>
      </c>
      <c r="E9" s="613">
        <v>6312.32</v>
      </c>
      <c r="F9" s="614">
        <v>1325.59</v>
      </c>
      <c r="G9" s="631">
        <v>7637.9</v>
      </c>
      <c r="H9" s="632">
        <v>44768</v>
      </c>
      <c r="I9" s="639">
        <v>7637.9</v>
      </c>
      <c r="J9" s="620">
        <v>44769</v>
      </c>
      <c r="K9" s="483" t="s">
        <v>544</v>
      </c>
      <c r="L9" s="226"/>
      <c r="M9" s="168"/>
    </row>
    <row r="10" spans="1:13" customFormat="1" ht="15">
      <c r="A10" s="632">
        <v>44781.000497685185</v>
      </c>
      <c r="B10" s="1124" t="s">
        <v>519</v>
      </c>
      <c r="C10" s="1124" t="s">
        <v>1823</v>
      </c>
      <c r="D10" s="615" t="s">
        <v>2646</v>
      </c>
      <c r="E10" s="609">
        <v>7637.9</v>
      </c>
      <c r="F10" s="814">
        <v>0</v>
      </c>
      <c r="G10" s="631">
        <v>7637.9</v>
      </c>
      <c r="H10" s="632">
        <v>44782.000497685185</v>
      </c>
      <c r="I10" s="1927">
        <v>0</v>
      </c>
      <c r="J10" s="1903">
        <v>44791</v>
      </c>
      <c r="K10" s="1935" t="s">
        <v>2977</v>
      </c>
      <c r="L10" s="166" t="s">
        <v>2648</v>
      </c>
      <c r="M10" s="168"/>
    </row>
    <row r="11" spans="1:13" customFormat="1" ht="15">
      <c r="A11" s="632">
        <v>44781.000497685185</v>
      </c>
      <c r="B11" s="1124" t="s">
        <v>519</v>
      </c>
      <c r="C11" s="1124" t="s">
        <v>1823</v>
      </c>
      <c r="D11" s="615" t="s">
        <v>2647</v>
      </c>
      <c r="E11" s="609">
        <v>-6312.32</v>
      </c>
      <c r="F11" s="814">
        <v>-1325.59</v>
      </c>
      <c r="G11" s="631">
        <v>-7637.9</v>
      </c>
      <c r="H11" s="632" t="s">
        <v>1529</v>
      </c>
      <c r="I11" s="1928"/>
      <c r="J11" s="1905"/>
      <c r="K11" s="1947"/>
      <c r="L11" s="166" t="s">
        <v>2976</v>
      </c>
      <c r="M11" s="168"/>
    </row>
    <row r="12" spans="1:13" customFormat="1" ht="15">
      <c r="A12" s="632">
        <v>44811</v>
      </c>
      <c r="B12" s="1124" t="s">
        <v>519</v>
      </c>
      <c r="C12" s="1124" t="s">
        <v>1823</v>
      </c>
      <c r="D12" s="615" t="s">
        <v>2947</v>
      </c>
      <c r="E12" s="609">
        <v>830.98</v>
      </c>
      <c r="F12" s="814">
        <v>0</v>
      </c>
      <c r="G12" s="631">
        <v>830.98</v>
      </c>
      <c r="H12" s="632">
        <v>44812</v>
      </c>
      <c r="I12" s="1923">
        <v>3554.73</v>
      </c>
      <c r="J12" s="1903">
        <v>44811</v>
      </c>
      <c r="K12" s="1935" t="s">
        <v>2975</v>
      </c>
      <c r="L12" s="166"/>
      <c r="M12" s="168"/>
    </row>
    <row r="13" spans="1:13" customFormat="1" ht="15">
      <c r="A13" s="632">
        <v>44811</v>
      </c>
      <c r="B13" s="1124" t="s">
        <v>519</v>
      </c>
      <c r="C13" s="1124" t="s">
        <v>1823</v>
      </c>
      <c r="D13" s="615" t="s">
        <v>2948</v>
      </c>
      <c r="E13" s="609">
        <v>2723.75</v>
      </c>
      <c r="F13" s="814">
        <v>0</v>
      </c>
      <c r="G13" s="631">
        <v>2723.75</v>
      </c>
      <c r="H13" s="632">
        <v>44812</v>
      </c>
      <c r="I13" s="1924"/>
      <c r="J13" s="1905"/>
      <c r="K13" s="1947"/>
      <c r="L13" s="166"/>
      <c r="M13" s="168"/>
    </row>
    <row r="14" spans="1:13" customFormat="1" ht="15">
      <c r="A14" s="815">
        <v>44831</v>
      </c>
      <c r="B14" s="1124" t="s">
        <v>519</v>
      </c>
      <c r="C14" s="1124" t="s">
        <v>1823</v>
      </c>
      <c r="D14" s="817" t="s">
        <v>3140</v>
      </c>
      <c r="E14" s="822">
        <v>2212.84</v>
      </c>
      <c r="F14" s="814">
        <v>0</v>
      </c>
      <c r="G14" s="631">
        <v>2212.84</v>
      </c>
      <c r="H14" s="815">
        <v>44832.000497685185</v>
      </c>
      <c r="I14" s="611">
        <v>2212.84</v>
      </c>
      <c r="J14" s="815">
        <v>44833</v>
      </c>
      <c r="K14" s="813" t="s">
        <v>3198</v>
      </c>
      <c r="L14" s="219"/>
      <c r="M14" s="168"/>
    </row>
    <row r="15" spans="1:13" customFormat="1" ht="15">
      <c r="A15" s="885">
        <v>44867.000497685185</v>
      </c>
      <c r="B15" s="1124" t="s">
        <v>519</v>
      </c>
      <c r="C15" s="1124" t="s">
        <v>1823</v>
      </c>
      <c r="D15" s="886" t="s">
        <v>3405</v>
      </c>
      <c r="E15" s="887">
        <v>4528.13</v>
      </c>
      <c r="F15" s="884">
        <v>0</v>
      </c>
      <c r="G15" s="631">
        <v>4528.13</v>
      </c>
      <c r="H15" s="885">
        <v>44868.000497685185</v>
      </c>
      <c r="I15" s="611">
        <v>4528.13</v>
      </c>
      <c r="J15" s="885">
        <v>44867</v>
      </c>
      <c r="K15" s="883" t="s">
        <v>3418</v>
      </c>
      <c r="L15" s="219"/>
      <c r="M15" s="168"/>
    </row>
    <row r="16" spans="1:13" customFormat="1" ht="15">
      <c r="A16" s="623">
        <v>44874</v>
      </c>
      <c r="B16" s="623" t="s">
        <v>519</v>
      </c>
      <c r="C16" s="623" t="s">
        <v>1823</v>
      </c>
      <c r="D16" s="624" t="s">
        <v>3426</v>
      </c>
      <c r="E16" s="603">
        <v>-29.01</v>
      </c>
      <c r="F16" s="604">
        <v>0</v>
      </c>
      <c r="G16" s="606">
        <v>-29.01</v>
      </c>
      <c r="H16" s="623"/>
      <c r="I16" s="611"/>
      <c r="J16" s="885"/>
      <c r="K16" s="883"/>
      <c r="L16" s="219" t="s">
        <v>3427</v>
      </c>
      <c r="M16" s="168"/>
    </row>
    <row r="17" spans="1:13" customFormat="1" ht="15">
      <c r="A17" s="931">
        <v>44894</v>
      </c>
      <c r="B17" s="1124" t="s">
        <v>519</v>
      </c>
      <c r="C17" s="1124" t="s">
        <v>1823</v>
      </c>
      <c r="D17" s="936" t="s">
        <v>3587</v>
      </c>
      <c r="E17" s="950">
        <v>2850.39</v>
      </c>
      <c r="F17" s="930">
        <v>0</v>
      </c>
      <c r="G17" s="631">
        <v>2850.39</v>
      </c>
      <c r="H17" s="931">
        <v>44895</v>
      </c>
      <c r="I17" s="611">
        <v>2850.39</v>
      </c>
      <c r="J17" s="931">
        <v>44894</v>
      </c>
      <c r="K17" s="929" t="s">
        <v>544</v>
      </c>
      <c r="L17" s="166"/>
      <c r="M17" s="168"/>
    </row>
    <row r="18" spans="1:13" customFormat="1" ht="15">
      <c r="A18" s="1065">
        <v>44928</v>
      </c>
      <c r="B18" s="1124" t="s">
        <v>519</v>
      </c>
      <c r="C18" s="1124" t="s">
        <v>1823</v>
      </c>
      <c r="D18" s="1068" t="s">
        <v>3850</v>
      </c>
      <c r="E18" s="1081">
        <v>5114.3500000000004</v>
      </c>
      <c r="F18" s="1064">
        <v>0</v>
      </c>
      <c r="G18" s="631">
        <v>5114.3500000000004</v>
      </c>
      <c r="H18" s="1065">
        <v>44929.000497685185</v>
      </c>
      <c r="I18" s="611">
        <v>5114.3500000000004</v>
      </c>
      <c r="J18" s="1065">
        <v>44942</v>
      </c>
      <c r="K18" s="1063" t="s">
        <v>544</v>
      </c>
      <c r="L18" s="166"/>
      <c r="M18" s="168"/>
    </row>
    <row r="19" spans="1:13" customFormat="1" ht="15">
      <c r="A19" s="623">
        <v>44967</v>
      </c>
      <c r="B19" s="623" t="s">
        <v>519</v>
      </c>
      <c r="C19" s="623" t="s">
        <v>1823</v>
      </c>
      <c r="D19" s="624" t="s">
        <v>4044</v>
      </c>
      <c r="E19" s="603">
        <v>-1.19</v>
      </c>
      <c r="F19" s="604">
        <v>0</v>
      </c>
      <c r="G19" s="606">
        <v>-1.19</v>
      </c>
      <c r="H19" s="623"/>
      <c r="I19" s="611"/>
      <c r="J19" s="1116"/>
      <c r="K19" s="1114"/>
      <c r="L19" s="166"/>
      <c r="M19" s="168"/>
    </row>
    <row r="20" spans="1:13" customFormat="1" ht="15">
      <c r="A20" s="1152">
        <v>44967</v>
      </c>
      <c r="B20" s="1152" t="s">
        <v>519</v>
      </c>
      <c r="C20" s="1152" t="s">
        <v>1823</v>
      </c>
      <c r="D20" s="1154" t="s">
        <v>4045</v>
      </c>
      <c r="E20" s="1159">
        <v>2759.61</v>
      </c>
      <c r="F20" s="1151">
        <v>0</v>
      </c>
      <c r="G20" s="631">
        <v>2759.61</v>
      </c>
      <c r="H20" s="1152">
        <v>44968</v>
      </c>
      <c r="I20" s="1951">
        <v>2753.01</v>
      </c>
      <c r="J20" s="1903">
        <v>44970</v>
      </c>
      <c r="K20" s="1935" t="s">
        <v>4840</v>
      </c>
      <c r="L20" s="166"/>
      <c r="M20" s="168"/>
    </row>
    <row r="21" spans="1:13" customFormat="1" ht="15">
      <c r="A21" s="1152">
        <v>44967</v>
      </c>
      <c r="B21" s="1152" t="s">
        <v>519</v>
      </c>
      <c r="C21" s="1152" t="s">
        <v>1823</v>
      </c>
      <c r="D21" s="1154" t="s">
        <v>4046</v>
      </c>
      <c r="E21" s="1159">
        <v>-3.39</v>
      </c>
      <c r="F21" s="1151">
        <v>0</v>
      </c>
      <c r="G21" s="631">
        <v>-3.39</v>
      </c>
      <c r="H21" s="1152"/>
      <c r="I21" s="1952"/>
      <c r="J21" s="1904"/>
      <c r="K21" s="1950"/>
      <c r="L21" s="166"/>
      <c r="M21" s="168"/>
    </row>
    <row r="22" spans="1:13" customFormat="1" ht="15">
      <c r="A22" s="1152">
        <v>44967</v>
      </c>
      <c r="B22" s="1152" t="s">
        <v>519</v>
      </c>
      <c r="C22" s="1152" t="s">
        <v>1823</v>
      </c>
      <c r="D22" s="1154" t="s">
        <v>4047</v>
      </c>
      <c r="E22" s="1159">
        <v>-3.21</v>
      </c>
      <c r="F22" s="1151">
        <v>0</v>
      </c>
      <c r="G22" s="631">
        <v>-3.21</v>
      </c>
      <c r="H22" s="1152">
        <v>44968</v>
      </c>
      <c r="I22" s="1953"/>
      <c r="J22" s="1905"/>
      <c r="K22" s="1947"/>
      <c r="L22" s="166" t="s">
        <v>4050</v>
      </c>
      <c r="M22" s="168"/>
    </row>
    <row r="23" spans="1:13" customFormat="1" ht="15">
      <c r="A23" s="1116">
        <v>44967</v>
      </c>
      <c r="B23" s="1124" t="s">
        <v>519</v>
      </c>
      <c r="C23" s="1124" t="s">
        <v>1823</v>
      </c>
      <c r="D23" s="1117" t="s">
        <v>4048</v>
      </c>
      <c r="E23" s="1119">
        <v>-3.21</v>
      </c>
      <c r="F23" s="1115">
        <v>0</v>
      </c>
      <c r="G23" s="631">
        <v>-3.21</v>
      </c>
      <c r="H23" s="1116"/>
      <c r="I23" s="1933">
        <v>0</v>
      </c>
      <c r="J23" s="1903">
        <v>44967</v>
      </c>
      <c r="K23" s="1935" t="s">
        <v>4071</v>
      </c>
      <c r="L23" s="166"/>
      <c r="M23" s="168"/>
    </row>
    <row r="24" spans="1:13" customFormat="1" ht="15">
      <c r="A24" s="1116">
        <v>44967</v>
      </c>
      <c r="B24" s="1124" t="s">
        <v>519</v>
      </c>
      <c r="C24" s="1124" t="s">
        <v>1823</v>
      </c>
      <c r="D24" s="1117" t="s">
        <v>4049</v>
      </c>
      <c r="E24" s="1119">
        <v>3.21</v>
      </c>
      <c r="F24" s="1115">
        <v>0</v>
      </c>
      <c r="G24" s="631">
        <v>3.21</v>
      </c>
      <c r="H24" s="1116">
        <v>44968</v>
      </c>
      <c r="I24" s="1934"/>
      <c r="J24" s="1905"/>
      <c r="K24" s="1947"/>
      <c r="L24" s="166" t="s">
        <v>4050</v>
      </c>
      <c r="M24" s="168"/>
    </row>
    <row r="25" spans="1:13" s="388" customFormat="1" ht="15">
      <c r="A25" s="1321">
        <v>45030.000497685185</v>
      </c>
      <c r="B25" s="1321" t="s">
        <v>519</v>
      </c>
      <c r="C25" s="1321" t="s">
        <v>1823</v>
      </c>
      <c r="D25" s="1324" t="s">
        <v>4698</v>
      </c>
      <c r="E25" s="1329">
        <v>-2.06</v>
      </c>
      <c r="F25" s="1320">
        <v>0</v>
      </c>
      <c r="G25" s="631">
        <v>-2.06</v>
      </c>
      <c r="H25" s="1321"/>
      <c r="I25" s="1933">
        <v>0</v>
      </c>
      <c r="J25" s="1903">
        <v>45036</v>
      </c>
      <c r="K25" s="1935" t="s">
        <v>4839</v>
      </c>
      <c r="L25" s="166"/>
    </row>
    <row r="26" spans="1:13" s="388" customFormat="1" ht="15">
      <c r="A26" s="1321">
        <v>45036</v>
      </c>
      <c r="B26" s="1321" t="s">
        <v>519</v>
      </c>
      <c r="C26" s="1321" t="s">
        <v>1823</v>
      </c>
      <c r="D26" s="1324" t="s">
        <v>4772</v>
      </c>
      <c r="E26" s="1329">
        <v>2.06</v>
      </c>
      <c r="F26" s="1320">
        <v>0</v>
      </c>
      <c r="G26" s="631">
        <v>2.06</v>
      </c>
      <c r="H26" s="1321">
        <v>45037</v>
      </c>
      <c r="I26" s="1934"/>
      <c r="J26" s="1905"/>
      <c r="K26" s="1947"/>
      <c r="L26" s="166" t="s">
        <v>4773</v>
      </c>
    </row>
    <row r="27" spans="1:13" customFormat="1" ht="15">
      <c r="A27" s="1321">
        <v>44984</v>
      </c>
      <c r="B27" s="1321" t="s">
        <v>519</v>
      </c>
      <c r="C27" s="1321" t="s">
        <v>1823</v>
      </c>
      <c r="D27" s="1324" t="s">
        <v>4336</v>
      </c>
      <c r="E27" s="1329">
        <v>-7.82</v>
      </c>
      <c r="F27" s="1320">
        <v>0</v>
      </c>
      <c r="G27" s="631">
        <v>-7.82</v>
      </c>
      <c r="H27" s="1321"/>
      <c r="I27" s="1951">
        <v>4636.1899999999996</v>
      </c>
      <c r="J27" s="1903">
        <v>45036</v>
      </c>
      <c r="K27" s="1935"/>
      <c r="L27" s="166"/>
      <c r="M27" s="168"/>
    </row>
    <row r="28" spans="1:13" customFormat="1" ht="15">
      <c r="A28" s="1321">
        <v>45034</v>
      </c>
      <c r="B28" s="1321" t="s">
        <v>519</v>
      </c>
      <c r="C28" s="1321" t="s">
        <v>1823</v>
      </c>
      <c r="D28" s="1324" t="s">
        <v>4770</v>
      </c>
      <c r="E28" s="1329">
        <v>4646.87</v>
      </c>
      <c r="F28" s="1320">
        <v>0</v>
      </c>
      <c r="G28" s="631">
        <v>4646.87</v>
      </c>
      <c r="H28" s="1321">
        <v>45035</v>
      </c>
      <c r="I28" s="1952"/>
      <c r="J28" s="1904"/>
      <c r="K28" s="1950"/>
      <c r="L28" s="166"/>
      <c r="M28" s="168"/>
    </row>
    <row r="29" spans="1:13" s="56" customFormat="1" ht="15">
      <c r="A29" s="1321">
        <v>45036</v>
      </c>
      <c r="B29" s="1321" t="s">
        <v>519</v>
      </c>
      <c r="C29" s="1321" t="s">
        <v>1823</v>
      </c>
      <c r="D29" s="1324" t="s">
        <v>4771</v>
      </c>
      <c r="E29" s="1329">
        <v>-2.06</v>
      </c>
      <c r="F29" s="1320">
        <v>0</v>
      </c>
      <c r="G29" s="631">
        <v>-2.06</v>
      </c>
      <c r="H29" s="1321">
        <v>45037</v>
      </c>
      <c r="I29" s="1952"/>
      <c r="J29" s="1904"/>
      <c r="K29" s="1950"/>
      <c r="L29" s="166" t="s">
        <v>4773</v>
      </c>
    </row>
    <row r="30" spans="1:13" customFormat="1" ht="15">
      <c r="A30" s="1941">
        <v>45030.000497685185</v>
      </c>
      <c r="B30" s="1941" t="s">
        <v>519</v>
      </c>
      <c r="C30" s="1941" t="s">
        <v>1823</v>
      </c>
      <c r="D30" s="1954" t="s">
        <v>4697</v>
      </c>
      <c r="E30" s="1945">
        <v>-4.5</v>
      </c>
      <c r="F30" s="1939">
        <v>0</v>
      </c>
      <c r="G30" s="631">
        <v>-0.8</v>
      </c>
      <c r="H30" s="623"/>
      <c r="I30" s="1953"/>
      <c r="J30" s="1905"/>
      <c r="K30" s="1947"/>
      <c r="L30" s="166"/>
      <c r="M30" s="168"/>
    </row>
    <row r="31" spans="1:13" customFormat="1" ht="15">
      <c r="A31" s="1942"/>
      <c r="B31" s="1942"/>
      <c r="C31" s="1942"/>
      <c r="D31" s="1955"/>
      <c r="E31" s="1946"/>
      <c r="F31" s="1940"/>
      <c r="G31" s="606">
        <f>-4.5+0.8</f>
        <v>-3.7</v>
      </c>
      <c r="H31" s="623"/>
      <c r="I31" s="611"/>
      <c r="J31" s="1321"/>
      <c r="K31" s="1319"/>
      <c r="L31" s="166"/>
      <c r="M31" s="168"/>
    </row>
    <row r="32" spans="1:13" customFormat="1" ht="15">
      <c r="A32" s="623">
        <v>45030.000497685185</v>
      </c>
      <c r="B32" s="623" t="s">
        <v>519</v>
      </c>
      <c r="C32" s="623" t="s">
        <v>1823</v>
      </c>
      <c r="D32" s="624" t="s">
        <v>4696</v>
      </c>
      <c r="E32" s="603">
        <v>-4.12</v>
      </c>
      <c r="F32" s="604">
        <v>0</v>
      </c>
      <c r="G32" s="606">
        <v>-4.12</v>
      </c>
      <c r="H32" s="623"/>
      <c r="I32" s="611"/>
      <c r="J32" s="1116"/>
      <c r="K32" s="1114"/>
      <c r="L32" s="166"/>
      <c r="M32" s="168"/>
    </row>
    <row r="33" spans="1:13" s="388" customFormat="1" ht="15">
      <c r="A33" s="1427">
        <v>45062</v>
      </c>
      <c r="B33" s="1427" t="s">
        <v>519</v>
      </c>
      <c r="C33" s="1427" t="s">
        <v>1823</v>
      </c>
      <c r="D33" s="1428" t="s">
        <v>5065</v>
      </c>
      <c r="E33" s="1431">
        <v>-3.35</v>
      </c>
      <c r="F33" s="1426">
        <v>0</v>
      </c>
      <c r="G33" s="631">
        <v>-3.35</v>
      </c>
      <c r="H33" s="1427"/>
      <c r="I33" s="1933">
        <v>0</v>
      </c>
      <c r="J33" s="1903">
        <v>45071</v>
      </c>
      <c r="K33" s="1935" t="s">
        <v>4839</v>
      </c>
      <c r="L33" s="166"/>
    </row>
    <row r="34" spans="1:13" s="388" customFormat="1" ht="15">
      <c r="A34" s="1427">
        <v>45071</v>
      </c>
      <c r="B34" s="1427" t="s">
        <v>519</v>
      </c>
      <c r="C34" s="1427" t="s">
        <v>1823</v>
      </c>
      <c r="D34" s="1428" t="s">
        <v>5173</v>
      </c>
      <c r="E34" s="1431">
        <v>3.35</v>
      </c>
      <c r="F34" s="1426">
        <v>0</v>
      </c>
      <c r="G34" s="631">
        <v>3.35</v>
      </c>
      <c r="H34" s="1427">
        <v>45072</v>
      </c>
      <c r="I34" s="1934"/>
      <c r="J34" s="1905"/>
      <c r="K34" s="1947"/>
      <c r="L34" s="166" t="s">
        <v>5176</v>
      </c>
    </row>
    <row r="35" spans="1:13" s="388" customFormat="1" ht="15">
      <c r="A35" s="1427">
        <v>45062</v>
      </c>
      <c r="B35" s="1427" t="s">
        <v>519</v>
      </c>
      <c r="C35" s="1427" t="s">
        <v>1823</v>
      </c>
      <c r="D35" s="1428" t="s">
        <v>5067</v>
      </c>
      <c r="E35" s="1431">
        <v>-2.33</v>
      </c>
      <c r="F35" s="1426">
        <v>0</v>
      </c>
      <c r="G35" s="631">
        <v>-2.33</v>
      </c>
      <c r="H35" s="1427"/>
      <c r="I35" s="1933">
        <v>0</v>
      </c>
      <c r="J35" s="1903">
        <v>45071</v>
      </c>
      <c r="K35" s="1935" t="s">
        <v>4839</v>
      </c>
      <c r="L35" s="166"/>
    </row>
    <row r="36" spans="1:13" s="388" customFormat="1" ht="15">
      <c r="A36" s="1427">
        <v>45071</v>
      </c>
      <c r="B36" s="1427" t="s">
        <v>519</v>
      </c>
      <c r="C36" s="1427" t="s">
        <v>1823</v>
      </c>
      <c r="D36" s="1428" t="s">
        <v>5175</v>
      </c>
      <c r="E36" s="1431">
        <v>2.33</v>
      </c>
      <c r="F36" s="1426">
        <v>0</v>
      </c>
      <c r="G36" s="631">
        <v>2.33</v>
      </c>
      <c r="H36" s="1427">
        <v>45072</v>
      </c>
      <c r="I36" s="1934"/>
      <c r="J36" s="1905"/>
      <c r="K36" s="1947"/>
      <c r="L36" s="166" t="s">
        <v>5178</v>
      </c>
    </row>
    <row r="37" spans="1:13" customFormat="1" ht="15">
      <c r="A37" s="1427">
        <v>45062</v>
      </c>
      <c r="B37" s="1427" t="s">
        <v>519</v>
      </c>
      <c r="C37" s="1427" t="s">
        <v>1823</v>
      </c>
      <c r="D37" s="1428" t="s">
        <v>5066</v>
      </c>
      <c r="E37" s="1431">
        <v>-1.36</v>
      </c>
      <c r="F37" s="1426">
        <v>0</v>
      </c>
      <c r="G37" s="631">
        <v>-1.36</v>
      </c>
      <c r="H37" s="1427"/>
      <c r="I37" s="1951">
        <v>3730.12</v>
      </c>
      <c r="J37" s="1903">
        <v>45071</v>
      </c>
      <c r="K37" s="1935" t="s">
        <v>6014</v>
      </c>
      <c r="L37" s="166"/>
      <c r="M37" s="168"/>
    </row>
    <row r="38" spans="1:13" customFormat="1" ht="15">
      <c r="A38" s="1427">
        <v>45068</v>
      </c>
      <c r="B38" s="1427" t="s">
        <v>519</v>
      </c>
      <c r="C38" s="1427" t="s">
        <v>1823</v>
      </c>
      <c r="D38" s="1428" t="s">
        <v>5171</v>
      </c>
      <c r="E38" s="1431">
        <v>3737.16</v>
      </c>
      <c r="F38" s="1426">
        <v>0</v>
      </c>
      <c r="G38" s="631">
        <v>3737.16</v>
      </c>
      <c r="H38" s="1427">
        <v>45069</v>
      </c>
      <c r="I38" s="1952"/>
      <c r="J38" s="1904"/>
      <c r="K38" s="1950"/>
      <c r="L38" s="166"/>
      <c r="M38" s="168"/>
    </row>
    <row r="39" spans="1:13" customFormat="1" ht="15">
      <c r="A39" s="1427">
        <v>45070</v>
      </c>
      <c r="B39" s="1427" t="s">
        <v>519</v>
      </c>
      <c r="C39" s="1427" t="s">
        <v>1823</v>
      </c>
      <c r="D39" s="1428" t="s">
        <v>5172</v>
      </c>
      <c r="E39" s="1431">
        <v>-3.35</v>
      </c>
      <c r="F39" s="1426">
        <v>0</v>
      </c>
      <c r="G39" s="631">
        <v>-3.35</v>
      </c>
      <c r="H39" s="1427">
        <v>45072</v>
      </c>
      <c r="I39" s="1952"/>
      <c r="J39" s="1904"/>
      <c r="K39" s="1950"/>
      <c r="L39" s="166" t="s">
        <v>5176</v>
      </c>
      <c r="M39" s="168"/>
    </row>
    <row r="40" spans="1:13" customFormat="1" ht="15">
      <c r="A40" s="1427">
        <v>45071</v>
      </c>
      <c r="B40" s="1427" t="s">
        <v>519</v>
      </c>
      <c r="C40" s="1427" t="s">
        <v>1823</v>
      </c>
      <c r="D40" s="1428" t="s">
        <v>5174</v>
      </c>
      <c r="E40" s="1431">
        <v>-2.33</v>
      </c>
      <c r="F40" s="1426">
        <v>0</v>
      </c>
      <c r="G40" s="631">
        <v>-2.33</v>
      </c>
      <c r="H40" s="1427">
        <v>45072</v>
      </c>
      <c r="I40" s="1953"/>
      <c r="J40" s="1905"/>
      <c r="K40" s="1947"/>
      <c r="L40" s="166" t="s">
        <v>5177</v>
      </c>
      <c r="M40" s="168"/>
    </row>
    <row r="41" spans="1:13" customFormat="1" ht="15">
      <c r="A41" s="623">
        <v>45083</v>
      </c>
      <c r="B41" s="623" t="s">
        <v>519</v>
      </c>
      <c r="C41" s="623" t="s">
        <v>1823</v>
      </c>
      <c r="D41" s="624" t="s">
        <v>5297</v>
      </c>
      <c r="E41" s="603">
        <v>-47.14</v>
      </c>
      <c r="F41" s="604">
        <v>0</v>
      </c>
      <c r="G41" s="606">
        <v>-47.14</v>
      </c>
      <c r="H41" s="623"/>
      <c r="I41" s="1455"/>
      <c r="J41" s="1452"/>
      <c r="K41" s="1453"/>
      <c r="L41" s="166"/>
      <c r="M41" s="168"/>
    </row>
    <row r="42" spans="1:13" customFormat="1" ht="15">
      <c r="A42" s="1484">
        <v>45096</v>
      </c>
      <c r="B42" s="1484" t="s">
        <v>519</v>
      </c>
      <c r="C42" s="1484" t="s">
        <v>1823</v>
      </c>
      <c r="D42" s="1486" t="s">
        <v>5397</v>
      </c>
      <c r="E42" s="1488">
        <v>1980.73</v>
      </c>
      <c r="F42" s="1483">
        <v>0</v>
      </c>
      <c r="G42" s="631">
        <v>1980.73</v>
      </c>
      <c r="H42" s="1484">
        <v>45097</v>
      </c>
      <c r="I42" s="1482">
        <v>1980.73</v>
      </c>
      <c r="J42" s="1477">
        <v>45097</v>
      </c>
      <c r="K42" s="1478" t="s">
        <v>5450</v>
      </c>
      <c r="L42" s="166"/>
      <c r="M42" s="168"/>
    </row>
    <row r="43" spans="1:13" customFormat="1" ht="15">
      <c r="A43" s="1527">
        <v>45117</v>
      </c>
      <c r="B43" s="1527" t="s">
        <v>519</v>
      </c>
      <c r="C43" s="1527" t="s">
        <v>1823</v>
      </c>
      <c r="D43" s="1530" t="s">
        <v>5577</v>
      </c>
      <c r="E43" s="1533">
        <v>1109.46</v>
      </c>
      <c r="F43" s="1526">
        <v>0</v>
      </c>
      <c r="G43" s="631">
        <v>1109.46</v>
      </c>
      <c r="H43" s="1527">
        <v>45118</v>
      </c>
      <c r="I43" s="1524">
        <v>1109.46</v>
      </c>
      <c r="J43" s="1521">
        <v>45118</v>
      </c>
      <c r="K43" s="1522" t="s">
        <v>5873</v>
      </c>
      <c r="L43" s="166"/>
      <c r="M43" s="168"/>
    </row>
    <row r="44" spans="1:13" customFormat="1" ht="15">
      <c r="A44" s="623">
        <v>45145</v>
      </c>
      <c r="B44" s="623" t="s">
        <v>519</v>
      </c>
      <c r="C44" s="623" t="s">
        <v>1823</v>
      </c>
      <c r="D44" s="624" t="s">
        <v>5852</v>
      </c>
      <c r="E44" s="603">
        <v>-52.79</v>
      </c>
      <c r="F44" s="604">
        <v>0</v>
      </c>
      <c r="G44" s="606">
        <v>-52.79</v>
      </c>
      <c r="H44" s="623"/>
      <c r="I44" s="1524"/>
      <c r="J44" s="1521"/>
      <c r="K44" s="1522"/>
      <c r="L44" s="166"/>
      <c r="M44" s="168"/>
    </row>
    <row r="45" spans="1:13" customFormat="1" ht="15">
      <c r="A45" s="1601">
        <v>45145</v>
      </c>
      <c r="B45" s="1601" t="s">
        <v>519</v>
      </c>
      <c r="C45" s="1601" t="s">
        <v>1823</v>
      </c>
      <c r="D45" s="1606" t="s">
        <v>5853</v>
      </c>
      <c r="E45" s="1611">
        <v>3469.15</v>
      </c>
      <c r="F45" s="1600">
        <v>0</v>
      </c>
      <c r="G45" s="631">
        <v>3469.15</v>
      </c>
      <c r="H45" s="1601">
        <v>45146</v>
      </c>
      <c r="I45" s="1596">
        <v>3469.15</v>
      </c>
      <c r="J45" s="1594">
        <v>45146</v>
      </c>
      <c r="K45" s="1595" t="s">
        <v>5874</v>
      </c>
      <c r="L45" s="166"/>
      <c r="M45" s="168"/>
    </row>
    <row r="46" spans="1:13" customFormat="1" ht="15">
      <c r="A46" s="1679">
        <v>45173</v>
      </c>
      <c r="B46" s="1679" t="s">
        <v>5976</v>
      </c>
      <c r="C46" s="1679" t="s">
        <v>1823</v>
      </c>
      <c r="D46" s="1682" t="s">
        <v>5977</v>
      </c>
      <c r="E46" s="1689">
        <v>1557.7</v>
      </c>
      <c r="F46" s="1678">
        <v>0</v>
      </c>
      <c r="G46" s="631">
        <v>1557.7</v>
      </c>
      <c r="H46" s="1679">
        <v>45174</v>
      </c>
      <c r="I46" s="1673">
        <v>1557.7</v>
      </c>
      <c r="J46" s="1669">
        <v>45174</v>
      </c>
      <c r="K46" s="1672" t="s">
        <v>6015</v>
      </c>
      <c r="L46" s="166"/>
      <c r="M46" s="168"/>
    </row>
    <row r="47" spans="1:13" customFormat="1" ht="15">
      <c r="A47" s="1718">
        <v>45189</v>
      </c>
      <c r="B47" s="1718" t="s">
        <v>5976</v>
      </c>
      <c r="C47" s="1718" t="s">
        <v>1823</v>
      </c>
      <c r="D47" s="1720" t="s">
        <v>6076</v>
      </c>
      <c r="E47" s="1724">
        <v>3828.9</v>
      </c>
      <c r="F47" s="1717">
        <v>0</v>
      </c>
      <c r="G47" s="631">
        <v>3828.9</v>
      </c>
      <c r="H47" s="1718">
        <v>45190</v>
      </c>
      <c r="I47" s="611">
        <v>3828.9</v>
      </c>
      <c r="J47" s="1718">
        <v>45189</v>
      </c>
      <c r="K47" s="1716" t="s">
        <v>6130</v>
      </c>
      <c r="L47" s="166"/>
      <c r="M47" s="168"/>
    </row>
    <row r="48" spans="1:13" customFormat="1" ht="15">
      <c r="A48" s="1820">
        <v>45229</v>
      </c>
      <c r="B48" s="1820" t="s">
        <v>519</v>
      </c>
      <c r="C48" s="1820" t="s">
        <v>1823</v>
      </c>
      <c r="D48" s="1821" t="s">
        <v>6455</v>
      </c>
      <c r="E48" s="1823">
        <v>2827</v>
      </c>
      <c r="F48" s="1819">
        <v>0</v>
      </c>
      <c r="G48" s="631">
        <v>2827</v>
      </c>
      <c r="H48" s="1820">
        <v>45230</v>
      </c>
      <c r="I48" s="611">
        <v>2827</v>
      </c>
      <c r="J48" s="1820">
        <v>45229</v>
      </c>
      <c r="K48" s="1818" t="s">
        <v>1817</v>
      </c>
      <c r="L48" s="166"/>
      <c r="M48" s="168"/>
    </row>
    <row r="49" spans="1:13" customFormat="1" ht="28.5">
      <c r="A49" s="623">
        <v>45247</v>
      </c>
      <c r="B49" s="623" t="s">
        <v>519</v>
      </c>
      <c r="C49" s="623" t="s">
        <v>1823</v>
      </c>
      <c r="D49" s="624" t="s">
        <v>6544</v>
      </c>
      <c r="E49" s="603">
        <v>-10.050000000000001</v>
      </c>
      <c r="F49" s="604">
        <v>0</v>
      </c>
      <c r="G49" s="606">
        <v>-10.050000000000001</v>
      </c>
      <c r="H49" s="623">
        <v>45248</v>
      </c>
      <c r="I49" s="611"/>
      <c r="J49" s="1718"/>
      <c r="K49" s="1716"/>
      <c r="L49" s="917" t="s">
        <v>6545</v>
      </c>
      <c r="M49" s="168"/>
    </row>
    <row r="50" spans="1:13" customFormat="1" ht="15">
      <c r="A50" s="623"/>
      <c r="B50" s="623"/>
      <c r="C50" s="623"/>
      <c r="D50" s="624"/>
      <c r="E50" s="603"/>
      <c r="F50" s="604"/>
      <c r="G50" s="606"/>
      <c r="H50" s="623"/>
      <c r="I50" s="611"/>
      <c r="J50" s="1718"/>
      <c r="K50" s="1716"/>
      <c r="L50" s="166"/>
      <c r="M50" s="168"/>
    </row>
    <row r="51" spans="1:13" customFormat="1" ht="15">
      <c r="A51" s="623"/>
      <c r="B51" s="623"/>
      <c r="C51" s="623"/>
      <c r="D51" s="624"/>
      <c r="E51" s="603"/>
      <c r="F51" s="604"/>
      <c r="G51" s="606"/>
      <c r="H51" s="623"/>
      <c r="I51" s="611"/>
      <c r="J51" s="1718"/>
      <c r="K51" s="1716"/>
      <c r="L51" s="166"/>
      <c r="M51" s="168"/>
    </row>
    <row r="52" spans="1:13" customFormat="1" ht="15">
      <c r="A52" s="623"/>
      <c r="B52" s="623"/>
      <c r="C52" s="623"/>
      <c r="D52" s="624"/>
      <c r="E52" s="603"/>
      <c r="F52" s="604"/>
      <c r="G52" s="606"/>
      <c r="H52" s="623"/>
      <c r="I52" s="611"/>
      <c r="J52" s="1718"/>
      <c r="K52" s="1716"/>
      <c r="L52" s="166"/>
      <c r="M52" s="168"/>
    </row>
    <row r="53" spans="1:13" customFormat="1" ht="15">
      <c r="A53" s="623"/>
      <c r="B53" s="623"/>
      <c r="C53" s="623"/>
      <c r="D53" s="624"/>
      <c r="E53" s="603"/>
      <c r="F53" s="604"/>
      <c r="G53" s="606"/>
      <c r="H53" s="623"/>
      <c r="I53" s="611"/>
      <c r="J53" s="1718"/>
      <c r="K53" s="1716"/>
      <c r="L53" s="166"/>
      <c r="M53" s="168"/>
    </row>
    <row r="54" spans="1:13" customFormat="1" ht="15">
      <c r="A54" s="623"/>
      <c r="B54" s="623"/>
      <c r="C54" s="623"/>
      <c r="D54" s="624"/>
      <c r="E54" s="603"/>
      <c r="F54" s="604"/>
      <c r="G54" s="606"/>
      <c r="H54" s="623"/>
      <c r="I54" s="611"/>
      <c r="J54" s="1718"/>
      <c r="K54" s="1716"/>
      <c r="L54" s="166"/>
      <c r="M54" s="168"/>
    </row>
    <row r="55" spans="1:13" customFormat="1" ht="15">
      <c r="A55" s="623"/>
      <c r="B55" s="623"/>
      <c r="C55" s="623"/>
      <c r="D55" s="624"/>
      <c r="E55" s="603"/>
      <c r="F55" s="604"/>
      <c r="G55" s="606"/>
      <c r="H55" s="623"/>
      <c r="I55" s="611"/>
      <c r="J55" s="1403"/>
      <c r="K55" s="1401"/>
      <c r="L55" s="166"/>
      <c r="M55" s="168"/>
    </row>
    <row r="56" spans="1:13" customFormat="1" ht="15">
      <c r="A56" s="623"/>
      <c r="B56" s="623"/>
      <c r="C56" s="623"/>
      <c r="D56" s="624"/>
      <c r="E56" s="603"/>
      <c r="F56" s="604"/>
      <c r="G56" s="606"/>
      <c r="H56" s="623"/>
      <c r="I56" s="611"/>
      <c r="J56" s="1294"/>
      <c r="K56" s="1292"/>
      <c r="L56" s="166"/>
      <c r="M56" s="168"/>
    </row>
    <row r="57" spans="1:13" customFormat="1" ht="15">
      <c r="A57" s="623"/>
      <c r="B57" s="623"/>
      <c r="C57" s="623"/>
      <c r="D57" s="624"/>
      <c r="E57" s="603"/>
      <c r="F57" s="604"/>
      <c r="G57" s="606"/>
      <c r="H57" s="623"/>
      <c r="I57" s="611"/>
      <c r="J57" s="885"/>
      <c r="K57" s="883"/>
      <c r="L57" s="219"/>
      <c r="M57" s="168"/>
    </row>
    <row r="58" spans="1:13" customFormat="1" ht="15">
      <c r="A58" s="641"/>
      <c r="B58" s="1124"/>
      <c r="C58" s="1124"/>
      <c r="D58" s="619"/>
      <c r="E58" s="619"/>
      <c r="F58" s="1144" t="s">
        <v>545</v>
      </c>
      <c r="G58" s="625">
        <f>SUM(G2:G57)-SUM(I2:I57)</f>
        <v>-148.0000000000291</v>
      </c>
      <c r="H58" s="620"/>
      <c r="I58" s="639"/>
      <c r="J58" s="620"/>
      <c r="K58" s="226"/>
      <c r="L58" s="226"/>
      <c r="M58" s="102"/>
    </row>
    <row r="59" spans="1:13">
      <c r="A59" s="271"/>
      <c r="B59" s="271"/>
      <c r="C59" s="271"/>
      <c r="D59" s="135"/>
      <c r="E59" s="135"/>
      <c r="F59" s="519"/>
      <c r="G59" s="173"/>
      <c r="H59" s="173"/>
      <c r="I59" s="173"/>
      <c r="J59" s="173"/>
      <c r="K59" s="173"/>
      <c r="L59" s="173"/>
      <c r="M59" s="173"/>
    </row>
    <row r="60" spans="1:13">
      <c r="A60" s="271"/>
      <c r="B60" s="271"/>
      <c r="C60" s="271"/>
      <c r="D60" s="173"/>
      <c r="E60" s="173"/>
      <c r="F60" s="825"/>
      <c r="G60" s="173"/>
      <c r="H60" s="173"/>
      <c r="I60" s="173"/>
      <c r="J60" s="173"/>
      <c r="K60" s="173"/>
      <c r="L60" s="173"/>
      <c r="M60" s="173"/>
    </row>
    <row r="61" spans="1:13">
      <c r="A61" s="271"/>
      <c r="B61" s="271"/>
      <c r="C61" s="271"/>
      <c r="D61" s="173"/>
      <c r="E61" s="173"/>
      <c r="F61" s="825"/>
      <c r="G61" s="173"/>
      <c r="H61" s="173"/>
      <c r="I61" s="173"/>
      <c r="J61" s="173"/>
      <c r="K61" s="173"/>
      <c r="L61" s="173"/>
      <c r="M61" s="173"/>
    </row>
    <row r="62" spans="1:13">
      <c r="A62" s="271"/>
      <c r="B62" s="271"/>
      <c r="C62" s="271"/>
      <c r="D62" s="173"/>
      <c r="E62" s="173"/>
      <c r="F62" s="825"/>
      <c r="G62" s="173"/>
      <c r="H62" s="173"/>
      <c r="I62" s="173"/>
      <c r="J62" s="173"/>
      <c r="K62" s="173"/>
      <c r="L62" s="173"/>
      <c r="M62" s="173"/>
    </row>
    <row r="63" spans="1:13">
      <c r="A63" s="271"/>
      <c r="B63" s="271"/>
      <c r="C63" s="271"/>
      <c r="D63" s="173"/>
      <c r="E63" s="173"/>
      <c r="F63" s="825"/>
      <c r="G63" s="173"/>
      <c r="H63" s="173"/>
      <c r="I63" s="173"/>
      <c r="J63" s="173"/>
      <c r="K63" s="173"/>
      <c r="L63" s="173"/>
      <c r="M63" s="173"/>
    </row>
    <row r="64" spans="1:13">
      <c r="A64" s="271"/>
      <c r="B64" s="271"/>
      <c r="C64" s="271"/>
      <c r="D64" s="173"/>
      <c r="E64" s="173"/>
      <c r="F64" s="825"/>
      <c r="G64" s="173"/>
      <c r="H64" s="173"/>
      <c r="I64" s="173"/>
      <c r="J64" s="173"/>
      <c r="K64" s="173"/>
      <c r="L64" s="173"/>
      <c r="M64" s="173"/>
    </row>
    <row r="65" spans="1:13">
      <c r="A65" s="271"/>
      <c r="B65" s="271"/>
      <c r="C65" s="271"/>
      <c r="D65" s="173"/>
      <c r="E65" s="173"/>
      <c r="F65" s="825"/>
      <c r="G65" s="173"/>
      <c r="H65" s="173"/>
      <c r="I65" s="173"/>
      <c r="J65" s="173"/>
      <c r="K65" s="173"/>
      <c r="L65" s="173"/>
      <c r="M65" s="173"/>
    </row>
    <row r="66" spans="1:13">
      <c r="A66" s="271"/>
      <c r="B66" s="271"/>
      <c r="C66" s="271"/>
      <c r="D66" s="173"/>
      <c r="E66" s="173"/>
      <c r="F66" s="825"/>
      <c r="G66" s="173"/>
      <c r="H66" s="173"/>
      <c r="I66" s="173"/>
      <c r="J66" s="173"/>
      <c r="K66" s="173"/>
      <c r="L66" s="173"/>
      <c r="M66" s="173"/>
    </row>
    <row r="67" spans="1:13">
      <c r="A67" s="271"/>
      <c r="B67" s="271"/>
      <c r="C67" s="271"/>
      <c r="D67" s="173"/>
      <c r="E67" s="173"/>
      <c r="F67" s="825"/>
      <c r="G67" s="173"/>
      <c r="H67" s="173"/>
      <c r="I67" s="173"/>
      <c r="J67" s="173"/>
      <c r="K67" s="173"/>
      <c r="L67" s="173"/>
      <c r="M67" s="173"/>
    </row>
    <row r="68" spans="1:13">
      <c r="A68" s="271"/>
      <c r="B68" s="271"/>
      <c r="C68" s="271"/>
      <c r="D68" s="173"/>
      <c r="E68" s="173"/>
      <c r="F68" s="825"/>
      <c r="G68" s="173"/>
      <c r="H68" s="173"/>
      <c r="I68" s="173"/>
      <c r="J68" s="173"/>
      <c r="K68" s="173"/>
      <c r="L68" s="173"/>
      <c r="M68" s="173"/>
    </row>
    <row r="69" spans="1:13">
      <c r="A69" s="271"/>
      <c r="B69" s="271"/>
      <c r="C69" s="271"/>
      <c r="D69" s="173"/>
      <c r="E69" s="173"/>
      <c r="F69" s="825"/>
      <c r="G69" s="173"/>
      <c r="H69" s="173"/>
      <c r="I69" s="173"/>
      <c r="J69" s="173"/>
      <c r="K69" s="173"/>
      <c r="L69" s="173"/>
      <c r="M69" s="173"/>
    </row>
  </sheetData>
  <mergeCells count="36">
    <mergeCell ref="K37:K40"/>
    <mergeCell ref="J37:J40"/>
    <mergeCell ref="I37:I40"/>
    <mergeCell ref="I35:I36"/>
    <mergeCell ref="J35:J36"/>
    <mergeCell ref="K35:K36"/>
    <mergeCell ref="I33:I34"/>
    <mergeCell ref="J33:J34"/>
    <mergeCell ref="K33:K34"/>
    <mergeCell ref="D30:D31"/>
    <mergeCell ref="C30:C31"/>
    <mergeCell ref="B30:B31"/>
    <mergeCell ref="A30:A31"/>
    <mergeCell ref="K25:K26"/>
    <mergeCell ref="J25:J26"/>
    <mergeCell ref="I25:I26"/>
    <mergeCell ref="F30:F31"/>
    <mergeCell ref="K27:K30"/>
    <mergeCell ref="J27:J30"/>
    <mergeCell ref="I27:I30"/>
    <mergeCell ref="E30:E31"/>
    <mergeCell ref="K23:K24"/>
    <mergeCell ref="J23:J24"/>
    <mergeCell ref="I23:I24"/>
    <mergeCell ref="I2:I3"/>
    <mergeCell ref="J2:J3"/>
    <mergeCell ref="K2:K3"/>
    <mergeCell ref="I12:I13"/>
    <mergeCell ref="K12:K13"/>
    <mergeCell ref="J12:J13"/>
    <mergeCell ref="K10:K11"/>
    <mergeCell ref="J10:J11"/>
    <mergeCell ref="I10:I11"/>
    <mergeCell ref="K20:K22"/>
    <mergeCell ref="J20:J22"/>
    <mergeCell ref="I20:I22"/>
  </mergeCells>
  <phoneticPr fontId="15" type="noConversion"/>
  <hyperlinks>
    <hyperlink ref="F58" location="汇总!A1" display="剩余欠款"/>
  </hyperlinks>
  <pageMargins left="0.7" right="0.7" top="0.75" bottom="0.75" header="0.3" footer="0.3"/>
  <pageSetup paperSize="9" orientation="portrait" horizontalDpi="0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N64"/>
  <sheetViews>
    <sheetView workbookViewId="0">
      <pane ySplit="1" topLeftCell="A38" activePane="bottomLeft" state="frozen"/>
      <selection activeCell="C33" sqref="C33"/>
      <selection pane="bottomLeft" activeCell="F64" sqref="F64"/>
    </sheetView>
  </sheetViews>
  <sheetFormatPr defaultColWidth="8.75" defaultRowHeight="14.25"/>
  <cols>
    <col min="1" max="1" width="13.25" style="424" bestFit="1" customWidth="1"/>
    <col min="2" max="2" width="9" style="424" bestFit="1" customWidth="1"/>
    <col min="3" max="3" width="21.375" style="424" bestFit="1" customWidth="1"/>
    <col min="4" max="4" width="15" style="387" bestFit="1" customWidth="1"/>
    <col min="5" max="5" width="11.5" style="387" customWidth="1"/>
    <col min="6" max="6" width="11.5" style="544" customWidth="1"/>
    <col min="7" max="7" width="12.75" style="424" bestFit="1" customWidth="1"/>
    <col min="8" max="8" width="16.75" style="424" bestFit="1" customWidth="1"/>
    <col min="9" max="9" width="14.5" style="424" bestFit="1" customWidth="1"/>
    <col min="10" max="10" width="12" style="424" bestFit="1" customWidth="1"/>
    <col min="11" max="11" width="25" style="424" bestFit="1" customWidth="1"/>
    <col min="12" max="12" width="54" style="424" customWidth="1"/>
    <col min="13" max="13" width="9.5" style="424" bestFit="1" customWidth="1"/>
    <col min="14" max="16384" width="8.75" style="424"/>
  </cols>
  <sheetData>
    <row r="1" spans="1:14" s="164" customFormat="1" ht="18.75">
      <c r="A1" s="255" t="s">
        <v>6279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7" t="s">
        <v>4099</v>
      </c>
      <c r="I1" s="257" t="s">
        <v>3043</v>
      </c>
      <c r="J1" s="257" t="s">
        <v>4100</v>
      </c>
      <c r="K1" s="257" t="s">
        <v>541</v>
      </c>
      <c r="L1" s="257" t="s">
        <v>542</v>
      </c>
    </row>
    <row r="2" spans="1:14" ht="15">
      <c r="A2" s="1918">
        <v>44523</v>
      </c>
      <c r="B2" s="1918" t="s">
        <v>4130</v>
      </c>
      <c r="C2" s="1918" t="s">
        <v>4409</v>
      </c>
      <c r="D2" s="1929" t="s">
        <v>1793</v>
      </c>
      <c r="E2" s="1915">
        <v>22302.54</v>
      </c>
      <c r="F2" s="2002">
        <v>0</v>
      </c>
      <c r="G2" s="2048">
        <v>12572</v>
      </c>
      <c r="H2" s="1918">
        <v>44523</v>
      </c>
      <c r="I2" s="1189">
        <v>2572</v>
      </c>
      <c r="J2" s="620">
        <v>44631</v>
      </c>
      <c r="K2" s="420" t="s">
        <v>550</v>
      </c>
      <c r="L2" s="423"/>
    </row>
    <row r="3" spans="1:14" ht="15">
      <c r="A3" s="1919"/>
      <c r="B3" s="1919"/>
      <c r="C3" s="1919"/>
      <c r="D3" s="1977"/>
      <c r="E3" s="1916"/>
      <c r="F3" s="2038"/>
      <c r="G3" s="2050"/>
      <c r="H3" s="1920"/>
      <c r="I3" s="1189">
        <v>10000</v>
      </c>
      <c r="J3" s="620">
        <v>44720</v>
      </c>
      <c r="K3" s="420" t="s">
        <v>550</v>
      </c>
      <c r="L3" s="423"/>
    </row>
    <row r="4" spans="1:14" ht="15">
      <c r="A4" s="1920"/>
      <c r="B4" s="1920"/>
      <c r="C4" s="1920"/>
      <c r="D4" s="1930"/>
      <c r="E4" s="1917"/>
      <c r="F4" s="2003"/>
      <c r="G4" s="1187">
        <v>9730.5400000000009</v>
      </c>
      <c r="H4" s="653">
        <v>44523</v>
      </c>
      <c r="I4" s="2048">
        <v>12106.34</v>
      </c>
      <c r="J4" s="1918">
        <v>44726</v>
      </c>
      <c r="K4" s="1968" t="s">
        <v>2292</v>
      </c>
      <c r="L4" s="2051" t="s">
        <v>2337</v>
      </c>
    </row>
    <row r="5" spans="1:14" ht="15">
      <c r="A5" s="620">
        <v>44537</v>
      </c>
      <c r="B5" s="1124" t="s">
        <v>4130</v>
      </c>
      <c r="C5" s="1124" t="s">
        <v>4409</v>
      </c>
      <c r="D5" s="621" t="s">
        <v>1794</v>
      </c>
      <c r="E5" s="613">
        <v>-175.5</v>
      </c>
      <c r="F5" s="633">
        <v>0</v>
      </c>
      <c r="G5" s="1188">
        <v>-175.5</v>
      </c>
      <c r="H5" s="620" t="s">
        <v>1529</v>
      </c>
      <c r="I5" s="2049"/>
      <c r="J5" s="1919"/>
      <c r="K5" s="1962"/>
      <c r="L5" s="2052"/>
    </row>
    <row r="6" spans="1:14" ht="15">
      <c r="A6" s="620">
        <v>44540</v>
      </c>
      <c r="B6" s="1124" t="s">
        <v>4130</v>
      </c>
      <c r="C6" s="1124" t="s">
        <v>4409</v>
      </c>
      <c r="D6" s="621" t="s">
        <v>1795</v>
      </c>
      <c r="E6" s="613">
        <v>-20.7</v>
      </c>
      <c r="F6" s="633">
        <v>0</v>
      </c>
      <c r="G6" s="1189">
        <v>-20.7</v>
      </c>
      <c r="H6" s="620" t="s">
        <v>1529</v>
      </c>
      <c r="I6" s="2049"/>
      <c r="J6" s="1919"/>
      <c r="K6" s="1962"/>
      <c r="L6" s="2052"/>
    </row>
    <row r="7" spans="1:14" ht="15">
      <c r="A7" s="620">
        <v>44589</v>
      </c>
      <c r="B7" s="1124" t="s">
        <v>4130</v>
      </c>
      <c r="C7" s="1124" t="s">
        <v>4409</v>
      </c>
      <c r="D7" s="621" t="s">
        <v>1796</v>
      </c>
      <c r="E7" s="613">
        <v>2572.0500000000002</v>
      </c>
      <c r="F7" s="633">
        <v>0</v>
      </c>
      <c r="G7" s="1189">
        <f>2572.05-0.05</f>
        <v>2572</v>
      </c>
      <c r="H7" s="620">
        <v>44589</v>
      </c>
      <c r="I7" s="2050"/>
      <c r="J7" s="1920"/>
      <c r="K7" s="1957"/>
      <c r="L7" s="2053"/>
    </row>
    <row r="8" spans="1:14" ht="15">
      <c r="A8" s="620">
        <v>44631</v>
      </c>
      <c r="B8" s="1124" t="s">
        <v>4107</v>
      </c>
      <c r="C8" s="1124" t="s">
        <v>4409</v>
      </c>
      <c r="D8" s="621" t="s">
        <v>1797</v>
      </c>
      <c r="E8" s="613">
        <v>3053.08</v>
      </c>
      <c r="F8" s="633">
        <v>0</v>
      </c>
      <c r="G8" s="1189">
        <v>3053.08</v>
      </c>
      <c r="H8" s="620">
        <v>44631</v>
      </c>
      <c r="I8" s="1188">
        <v>3053.08</v>
      </c>
      <c r="J8" s="620">
        <v>44648</v>
      </c>
      <c r="K8" s="420" t="s">
        <v>550</v>
      </c>
      <c r="L8" s="309"/>
    </row>
    <row r="9" spans="1:14" ht="15">
      <c r="A9" s="620">
        <v>44698</v>
      </c>
      <c r="B9" s="1124" t="s">
        <v>521</v>
      </c>
      <c r="C9" s="1124" t="s">
        <v>4409</v>
      </c>
      <c r="D9" s="621" t="s">
        <v>2141</v>
      </c>
      <c r="E9" s="613">
        <v>-4576.3500000000004</v>
      </c>
      <c r="F9" s="633">
        <v>0</v>
      </c>
      <c r="G9" s="1189">
        <v>-4576.3500000000004</v>
      </c>
      <c r="H9" s="620"/>
      <c r="I9" s="2048">
        <v>-4628.1000000000004</v>
      </c>
      <c r="J9" s="1918">
        <v>44726</v>
      </c>
      <c r="K9" s="1968" t="s">
        <v>2292</v>
      </c>
      <c r="L9" s="2051" t="s">
        <v>2337</v>
      </c>
    </row>
    <row r="10" spans="1:14" ht="15">
      <c r="A10" s="620">
        <v>44698</v>
      </c>
      <c r="B10" s="1124" t="s">
        <v>521</v>
      </c>
      <c r="C10" s="1124" t="s">
        <v>4409</v>
      </c>
      <c r="D10" s="621" t="s">
        <v>2142</v>
      </c>
      <c r="E10" s="613">
        <v>-51.75</v>
      </c>
      <c r="F10" s="633">
        <v>0</v>
      </c>
      <c r="G10" s="1189">
        <v>-51.75</v>
      </c>
      <c r="H10" s="620"/>
      <c r="I10" s="2050"/>
      <c r="J10" s="1920"/>
      <c r="K10" s="1957"/>
      <c r="L10" s="2053"/>
    </row>
    <row r="11" spans="1:14" ht="15">
      <c r="A11" s="1903">
        <v>44708</v>
      </c>
      <c r="B11" s="1918" t="s">
        <v>521</v>
      </c>
      <c r="C11" s="1918" t="s">
        <v>4409</v>
      </c>
      <c r="D11" s="1909" t="s">
        <v>2189</v>
      </c>
      <c r="E11" s="1923">
        <v>16992.64</v>
      </c>
      <c r="F11" s="1927">
        <v>0</v>
      </c>
      <c r="G11" s="1189">
        <v>5310</v>
      </c>
      <c r="H11" s="1101">
        <v>44708</v>
      </c>
      <c r="I11" s="1192">
        <v>5310</v>
      </c>
      <c r="J11" s="981">
        <v>44900</v>
      </c>
      <c r="K11" s="420" t="s">
        <v>3670</v>
      </c>
      <c r="L11" s="423"/>
      <c r="M11" s="190"/>
      <c r="N11" s="190"/>
    </row>
    <row r="12" spans="1:14" ht="15">
      <c r="A12" s="1904"/>
      <c r="B12" s="1919"/>
      <c r="C12" s="1919"/>
      <c r="D12" s="1910"/>
      <c r="E12" s="1961"/>
      <c r="F12" s="1960"/>
      <c r="G12" s="1189">
        <v>2276</v>
      </c>
      <c r="H12" s="1101">
        <v>44708</v>
      </c>
      <c r="I12" s="1188">
        <v>2276</v>
      </c>
      <c r="J12" s="979">
        <v>44943</v>
      </c>
      <c r="K12" s="978" t="s">
        <v>4004</v>
      </c>
      <c r="L12" s="423"/>
      <c r="M12" s="190"/>
      <c r="N12" s="190"/>
    </row>
    <row r="13" spans="1:14" ht="15">
      <c r="A13" s="1905"/>
      <c r="B13" s="1920"/>
      <c r="C13" s="1920"/>
      <c r="D13" s="1911"/>
      <c r="E13" s="1924"/>
      <c r="F13" s="1928"/>
      <c r="G13" s="1189">
        <v>9406.64</v>
      </c>
      <c r="H13" s="1101">
        <v>44708</v>
      </c>
      <c r="I13" s="1912">
        <v>0</v>
      </c>
      <c r="J13" s="1918">
        <v>44957</v>
      </c>
      <c r="K13" s="1968" t="s">
        <v>4016</v>
      </c>
      <c r="L13" s="423"/>
      <c r="M13" s="190"/>
      <c r="N13" s="190"/>
    </row>
    <row r="14" spans="1:14" ht="15">
      <c r="A14" s="1101">
        <v>44734</v>
      </c>
      <c r="B14" s="1124" t="s">
        <v>521</v>
      </c>
      <c r="C14" s="1124" t="s">
        <v>4409</v>
      </c>
      <c r="D14" s="1102" t="s">
        <v>2336</v>
      </c>
      <c r="E14" s="1103">
        <v>2409.75</v>
      </c>
      <c r="F14" s="649">
        <v>0</v>
      </c>
      <c r="G14" s="1189">
        <v>2409.75</v>
      </c>
      <c r="H14" s="1101">
        <v>44734</v>
      </c>
      <c r="I14" s="1913"/>
      <c r="J14" s="1919"/>
      <c r="K14" s="1962"/>
      <c r="L14" s="423"/>
      <c r="M14" s="190"/>
      <c r="N14" s="190"/>
    </row>
    <row r="15" spans="1:14" ht="15">
      <c r="A15" s="1101">
        <v>44762.000497685185</v>
      </c>
      <c r="B15" s="1124" t="s">
        <v>521</v>
      </c>
      <c r="C15" s="1124" t="s">
        <v>4409</v>
      </c>
      <c r="D15" s="1102" t="s">
        <v>2490</v>
      </c>
      <c r="E15" s="1103">
        <v>1618.47</v>
      </c>
      <c r="F15" s="649">
        <v>0</v>
      </c>
      <c r="G15" s="1189">
        <v>1618.47</v>
      </c>
      <c r="H15" s="1101">
        <v>44762</v>
      </c>
      <c r="I15" s="1913"/>
      <c r="J15" s="1919"/>
      <c r="K15" s="1962"/>
      <c r="L15" s="423"/>
      <c r="M15" s="190"/>
      <c r="N15" s="190"/>
    </row>
    <row r="16" spans="1:14" ht="15">
      <c r="A16" s="1101">
        <v>44789.000497685185</v>
      </c>
      <c r="B16" s="1124" t="s">
        <v>2518</v>
      </c>
      <c r="C16" s="1124" t="s">
        <v>4409</v>
      </c>
      <c r="D16" s="1102" t="s">
        <v>2816</v>
      </c>
      <c r="E16" s="1103">
        <v>-426.93</v>
      </c>
      <c r="F16" s="649">
        <v>0</v>
      </c>
      <c r="G16" s="1189">
        <v>-426.93</v>
      </c>
      <c r="H16" s="1101" t="s">
        <v>1529</v>
      </c>
      <c r="I16" s="1913"/>
      <c r="J16" s="1919"/>
      <c r="K16" s="1962"/>
      <c r="L16" s="423"/>
      <c r="M16" s="190"/>
      <c r="N16" s="190"/>
    </row>
    <row r="17" spans="1:14" ht="15">
      <c r="A17" s="1101">
        <v>44820</v>
      </c>
      <c r="B17" s="1124" t="s">
        <v>2518</v>
      </c>
      <c r="C17" s="1124" t="s">
        <v>4409</v>
      </c>
      <c r="D17" s="1102" t="s">
        <v>3009</v>
      </c>
      <c r="E17" s="1103">
        <v>-75.5</v>
      </c>
      <c r="F17" s="649">
        <v>0</v>
      </c>
      <c r="G17" s="1189">
        <v>-75.5</v>
      </c>
      <c r="H17" s="1101"/>
      <c r="I17" s="1913"/>
      <c r="J17" s="1919"/>
      <c r="K17" s="1962"/>
      <c r="L17" s="423"/>
      <c r="M17" s="190"/>
      <c r="N17" s="190"/>
    </row>
    <row r="18" spans="1:14" ht="15">
      <c r="A18" s="1101">
        <v>44820</v>
      </c>
      <c r="B18" s="1124" t="s">
        <v>2518</v>
      </c>
      <c r="C18" s="1124" t="s">
        <v>4409</v>
      </c>
      <c r="D18" s="1102" t="s">
        <v>3010</v>
      </c>
      <c r="E18" s="1103">
        <v>-3564.02</v>
      </c>
      <c r="F18" s="649">
        <v>0</v>
      </c>
      <c r="G18" s="1189">
        <v>-3564.02</v>
      </c>
      <c r="H18" s="1101"/>
      <c r="I18" s="1913"/>
      <c r="J18" s="1919"/>
      <c r="K18" s="1962"/>
      <c r="L18" s="423"/>
      <c r="M18" s="190"/>
      <c r="N18" s="190"/>
    </row>
    <row r="19" spans="1:14" ht="15">
      <c r="A19" s="1101">
        <v>44820</v>
      </c>
      <c r="B19" s="1124" t="s">
        <v>2518</v>
      </c>
      <c r="C19" s="1124" t="s">
        <v>4409</v>
      </c>
      <c r="D19" s="1102" t="s">
        <v>3011</v>
      </c>
      <c r="E19" s="1103">
        <v>-509.29</v>
      </c>
      <c r="F19" s="649">
        <v>0</v>
      </c>
      <c r="G19" s="1189">
        <v>-509.29</v>
      </c>
      <c r="H19" s="1101"/>
      <c r="I19" s="1913"/>
      <c r="J19" s="1919"/>
      <c r="K19" s="1962"/>
      <c r="L19" s="423"/>
      <c r="M19" s="190"/>
      <c r="N19" s="190"/>
    </row>
    <row r="20" spans="1:14" ht="15">
      <c r="A20" s="1101">
        <v>44915</v>
      </c>
      <c r="B20" s="1124" t="s">
        <v>2518</v>
      </c>
      <c r="C20" s="1124" t="s">
        <v>4409</v>
      </c>
      <c r="D20" s="1102" t="s">
        <v>3781</v>
      </c>
      <c r="E20" s="1103">
        <v>-2686.6</v>
      </c>
      <c r="F20" s="649">
        <v>0</v>
      </c>
      <c r="G20" s="1189">
        <v>-2686.6</v>
      </c>
      <c r="H20" s="1101"/>
      <c r="I20" s="1913"/>
      <c r="J20" s="1919"/>
      <c r="K20" s="1962"/>
      <c r="L20" s="423"/>
      <c r="M20" s="190"/>
      <c r="N20" s="190"/>
    </row>
    <row r="21" spans="1:14" ht="15">
      <c r="A21" s="1101">
        <v>44915</v>
      </c>
      <c r="B21" s="1124" t="s">
        <v>2518</v>
      </c>
      <c r="C21" s="1124" t="s">
        <v>4409</v>
      </c>
      <c r="D21" s="1102" t="s">
        <v>3782</v>
      </c>
      <c r="E21" s="1103">
        <v>-7206.08</v>
      </c>
      <c r="F21" s="649">
        <v>0</v>
      </c>
      <c r="G21" s="1189">
        <v>-7206.08</v>
      </c>
      <c r="H21" s="1101"/>
      <c r="I21" s="1913"/>
      <c r="J21" s="1919"/>
      <c r="K21" s="1962"/>
      <c r="L21" s="423"/>
      <c r="M21" s="190"/>
      <c r="N21" s="190"/>
    </row>
    <row r="22" spans="1:14" ht="15">
      <c r="A22" s="1101">
        <v>44915</v>
      </c>
      <c r="B22" s="1124" t="s">
        <v>2518</v>
      </c>
      <c r="C22" s="1124" t="s">
        <v>4409</v>
      </c>
      <c r="D22" s="1102" t="s">
        <v>3783</v>
      </c>
      <c r="E22" s="1103">
        <v>-18.2</v>
      </c>
      <c r="F22" s="649">
        <v>0</v>
      </c>
      <c r="G22" s="1189">
        <v>-18.2</v>
      </c>
      <c r="H22" s="1101"/>
      <c r="I22" s="1913"/>
      <c r="J22" s="1919"/>
      <c r="K22" s="1962"/>
      <c r="L22" s="423"/>
      <c r="M22" s="190"/>
      <c r="N22" s="190"/>
    </row>
    <row r="23" spans="1:14" ht="15">
      <c r="A23" s="1903">
        <v>44781.000497685185</v>
      </c>
      <c r="B23" s="1903" t="s">
        <v>2518</v>
      </c>
      <c r="C23" s="1903" t="s">
        <v>4409</v>
      </c>
      <c r="D23" s="1909" t="s">
        <v>2699</v>
      </c>
      <c r="E23" s="1923">
        <v>1118.46</v>
      </c>
      <c r="F23" s="1927">
        <v>0</v>
      </c>
      <c r="G23" s="1191">
        <v>1051.76</v>
      </c>
      <c r="H23" s="1170">
        <v>44782.000497685185</v>
      </c>
      <c r="I23" s="1914"/>
      <c r="J23" s="1920"/>
      <c r="K23" s="1957"/>
      <c r="L23" s="423"/>
      <c r="M23" s="190"/>
      <c r="N23" s="190"/>
    </row>
    <row r="24" spans="1:14" ht="15">
      <c r="A24" s="1905"/>
      <c r="B24" s="1905"/>
      <c r="C24" s="1905"/>
      <c r="D24" s="1911"/>
      <c r="E24" s="1924"/>
      <c r="F24" s="1928"/>
      <c r="G24" s="1191">
        <v>66.7</v>
      </c>
      <c r="H24" s="1170">
        <v>44782.000497685185</v>
      </c>
      <c r="I24" s="2313">
        <v>5184.17</v>
      </c>
      <c r="J24" s="1918">
        <v>44979</v>
      </c>
      <c r="K24" s="1968" t="s">
        <v>4246</v>
      </c>
      <c r="L24" s="423"/>
      <c r="M24" s="190"/>
      <c r="N24" s="190"/>
    </row>
    <row r="25" spans="1:14" ht="15">
      <c r="A25" s="1170">
        <v>44874</v>
      </c>
      <c r="B25" s="1170" t="s">
        <v>2518</v>
      </c>
      <c r="C25" s="1170" t="s">
        <v>4409</v>
      </c>
      <c r="D25" s="1173" t="s">
        <v>3449</v>
      </c>
      <c r="E25" s="1179">
        <v>2647.68</v>
      </c>
      <c r="F25" s="649">
        <v>0</v>
      </c>
      <c r="G25" s="1191">
        <v>2647.68</v>
      </c>
      <c r="H25" s="1170">
        <v>44875</v>
      </c>
      <c r="I25" s="2314"/>
      <c r="J25" s="1919"/>
      <c r="K25" s="1962"/>
      <c r="L25" s="423"/>
      <c r="M25" s="190"/>
      <c r="N25" s="190"/>
    </row>
    <row r="26" spans="1:14" ht="15">
      <c r="A26" s="1170">
        <v>44890</v>
      </c>
      <c r="B26" s="1170" t="s">
        <v>2518</v>
      </c>
      <c r="C26" s="1170" t="s">
        <v>4409</v>
      </c>
      <c r="D26" s="1173" t="s">
        <v>3532</v>
      </c>
      <c r="E26" s="1179">
        <v>684.99</v>
      </c>
      <c r="F26" s="649">
        <v>0</v>
      </c>
      <c r="G26" s="1191">
        <v>684.99</v>
      </c>
      <c r="H26" s="1170">
        <v>44891</v>
      </c>
      <c r="I26" s="2314"/>
      <c r="J26" s="1919"/>
      <c r="K26" s="1962"/>
      <c r="L26" s="423"/>
      <c r="M26" s="190"/>
      <c r="N26" s="190"/>
    </row>
    <row r="27" spans="1:14" ht="15">
      <c r="A27" s="1170">
        <v>44900.000497685185</v>
      </c>
      <c r="B27" s="1170" t="s">
        <v>2518</v>
      </c>
      <c r="C27" s="1170" t="s">
        <v>4409</v>
      </c>
      <c r="D27" s="1173" t="s">
        <v>3662</v>
      </c>
      <c r="E27" s="1179">
        <v>832.34</v>
      </c>
      <c r="F27" s="649">
        <v>0</v>
      </c>
      <c r="G27" s="1191">
        <v>832.34</v>
      </c>
      <c r="H27" s="1170">
        <v>44901</v>
      </c>
      <c r="I27" s="2314"/>
      <c r="J27" s="1919"/>
      <c r="K27" s="1962"/>
      <c r="L27" s="423"/>
      <c r="M27" s="190"/>
      <c r="N27" s="190"/>
    </row>
    <row r="28" spans="1:14" ht="15">
      <c r="A28" s="1170">
        <v>44925</v>
      </c>
      <c r="B28" s="1170" t="s">
        <v>2518</v>
      </c>
      <c r="C28" s="1170" t="s">
        <v>4409</v>
      </c>
      <c r="D28" s="1173" t="s">
        <v>3820</v>
      </c>
      <c r="E28" s="1179">
        <v>952.46</v>
      </c>
      <c r="F28" s="649">
        <v>0</v>
      </c>
      <c r="G28" s="1191">
        <v>952.46</v>
      </c>
      <c r="H28" s="1170">
        <v>44926</v>
      </c>
      <c r="I28" s="2315"/>
      <c r="J28" s="1920"/>
      <c r="K28" s="1957"/>
      <c r="L28" s="423"/>
      <c r="M28" s="190"/>
      <c r="N28" s="190"/>
    </row>
    <row r="29" spans="1:14" ht="15">
      <c r="A29" s="1215">
        <v>44935</v>
      </c>
      <c r="B29" s="1215" t="s">
        <v>2518</v>
      </c>
      <c r="C29" s="1215" t="s">
        <v>4409</v>
      </c>
      <c r="D29" s="1216" t="s">
        <v>3893</v>
      </c>
      <c r="E29" s="1220">
        <v>657.02</v>
      </c>
      <c r="F29" s="649">
        <v>0</v>
      </c>
      <c r="G29" s="1191">
        <v>657.02</v>
      </c>
      <c r="H29" s="1215">
        <v>44995</v>
      </c>
      <c r="I29" s="2310">
        <v>890.98</v>
      </c>
      <c r="J29" s="1918">
        <v>44993</v>
      </c>
      <c r="K29" s="1956" t="s">
        <v>4477</v>
      </c>
      <c r="L29" s="423"/>
      <c r="M29" s="190"/>
      <c r="N29" s="190"/>
    </row>
    <row r="30" spans="1:14" ht="15">
      <c r="A30" s="1215">
        <v>44939</v>
      </c>
      <c r="B30" s="1215" t="s">
        <v>2518</v>
      </c>
      <c r="C30" s="1215" t="s">
        <v>4409</v>
      </c>
      <c r="D30" s="1216" t="s">
        <v>3894</v>
      </c>
      <c r="E30" s="1220">
        <v>27.72</v>
      </c>
      <c r="F30" s="649">
        <v>0</v>
      </c>
      <c r="G30" s="1191">
        <v>27.72</v>
      </c>
      <c r="H30" s="1215">
        <v>44999</v>
      </c>
      <c r="I30" s="2311"/>
      <c r="J30" s="1919"/>
      <c r="K30" s="2028"/>
      <c r="L30" s="423"/>
      <c r="M30" s="190"/>
      <c r="N30" s="190"/>
    </row>
    <row r="31" spans="1:14" ht="15">
      <c r="A31" s="1215">
        <v>44942</v>
      </c>
      <c r="B31" s="1215" t="s">
        <v>2518</v>
      </c>
      <c r="C31" s="1215" t="s">
        <v>4409</v>
      </c>
      <c r="D31" s="1216" t="s">
        <v>3965</v>
      </c>
      <c r="E31" s="1220">
        <v>543.05999999999995</v>
      </c>
      <c r="F31" s="649">
        <v>0</v>
      </c>
      <c r="G31" s="1191">
        <v>543.05999999999995</v>
      </c>
      <c r="H31" s="1215">
        <v>45002</v>
      </c>
      <c r="I31" s="2311"/>
      <c r="J31" s="1919"/>
      <c r="K31" s="2028"/>
      <c r="L31" s="423"/>
      <c r="M31" s="190"/>
      <c r="N31" s="190"/>
    </row>
    <row r="32" spans="1:14" ht="15">
      <c r="A32" s="1215">
        <v>44972</v>
      </c>
      <c r="B32" s="1215" t="s">
        <v>2518</v>
      </c>
      <c r="C32" s="1215" t="s">
        <v>4409</v>
      </c>
      <c r="D32" s="1216" t="s">
        <v>4170</v>
      </c>
      <c r="E32" s="1220">
        <v>-18.690000000000001</v>
      </c>
      <c r="F32" s="649">
        <v>0</v>
      </c>
      <c r="G32" s="1191">
        <v>-18.690000000000001</v>
      </c>
      <c r="H32" s="1215"/>
      <c r="I32" s="2311"/>
      <c r="J32" s="1919"/>
      <c r="K32" s="2028"/>
      <c r="L32" s="423"/>
      <c r="M32" s="190"/>
      <c r="N32" s="190"/>
    </row>
    <row r="33" spans="1:14" ht="15">
      <c r="A33" s="1215">
        <v>44974</v>
      </c>
      <c r="B33" s="1215" t="s">
        <v>2518</v>
      </c>
      <c r="C33" s="1215" t="s">
        <v>4409</v>
      </c>
      <c r="D33" s="1216" t="s">
        <v>4172</v>
      </c>
      <c r="E33" s="1220">
        <v>-250.74</v>
      </c>
      <c r="F33" s="649">
        <v>0</v>
      </c>
      <c r="G33" s="1191">
        <v>-250.75</v>
      </c>
      <c r="H33" s="1215"/>
      <c r="I33" s="2311"/>
      <c r="J33" s="1919"/>
      <c r="K33" s="2028"/>
      <c r="L33" s="423"/>
      <c r="M33" s="190"/>
      <c r="N33" s="190"/>
    </row>
    <row r="34" spans="1:14" ht="15">
      <c r="A34" s="1427">
        <v>44974</v>
      </c>
      <c r="B34" s="1427" t="s">
        <v>2518</v>
      </c>
      <c r="C34" s="1427" t="s">
        <v>4409</v>
      </c>
      <c r="D34" s="1428" t="s">
        <v>4173</v>
      </c>
      <c r="E34" s="1431">
        <v>-67.38</v>
      </c>
      <c r="F34" s="649">
        <v>0</v>
      </c>
      <c r="G34" s="1191">
        <v>-67.38</v>
      </c>
      <c r="H34" s="1427"/>
      <c r="I34" s="2312"/>
      <c r="J34" s="1920"/>
      <c r="K34" s="2029"/>
      <c r="L34" s="423"/>
      <c r="M34" s="190"/>
      <c r="N34" s="190"/>
    </row>
    <row r="35" spans="1:14" ht="15">
      <c r="A35" s="1427">
        <v>44972</v>
      </c>
      <c r="B35" s="1427" t="s">
        <v>2518</v>
      </c>
      <c r="C35" s="1427" t="s">
        <v>4409</v>
      </c>
      <c r="D35" s="1428" t="s">
        <v>4169</v>
      </c>
      <c r="E35" s="1431">
        <v>1033.4100000000001</v>
      </c>
      <c r="F35" s="649">
        <v>0</v>
      </c>
      <c r="G35" s="1191">
        <v>1033.4100000000001</v>
      </c>
      <c r="H35" s="1427">
        <v>45032</v>
      </c>
      <c r="I35" s="2313">
        <v>4898.1400000000003</v>
      </c>
      <c r="J35" s="1918">
        <v>45068</v>
      </c>
      <c r="K35" s="1938" t="s">
        <v>5236</v>
      </c>
      <c r="L35" s="1092"/>
      <c r="M35" s="190"/>
      <c r="N35" s="190"/>
    </row>
    <row r="36" spans="1:14" ht="15">
      <c r="A36" s="1427">
        <v>44973</v>
      </c>
      <c r="B36" s="1427" t="s">
        <v>2518</v>
      </c>
      <c r="C36" s="1427" t="s">
        <v>4409</v>
      </c>
      <c r="D36" s="1428" t="s">
        <v>4171</v>
      </c>
      <c r="E36" s="1431">
        <v>502</v>
      </c>
      <c r="F36" s="649">
        <v>0</v>
      </c>
      <c r="G36" s="1191">
        <v>502</v>
      </c>
      <c r="H36" s="1427">
        <v>45033</v>
      </c>
      <c r="I36" s="2314"/>
      <c r="J36" s="1919"/>
      <c r="K36" s="1950"/>
      <c r="L36" s="1092"/>
      <c r="M36" s="190"/>
      <c r="N36" s="190"/>
    </row>
    <row r="37" spans="1:14" ht="15">
      <c r="A37" s="1427">
        <v>44984</v>
      </c>
      <c r="B37" s="1427" t="s">
        <v>2518</v>
      </c>
      <c r="C37" s="1427" t="s">
        <v>4409</v>
      </c>
      <c r="D37" s="1428" t="s">
        <v>4369</v>
      </c>
      <c r="E37" s="1431">
        <v>291.52</v>
      </c>
      <c r="F37" s="649">
        <v>0</v>
      </c>
      <c r="G37" s="1191">
        <v>291.52</v>
      </c>
      <c r="H37" s="1427">
        <v>45044</v>
      </c>
      <c r="I37" s="2314"/>
      <c r="J37" s="1919"/>
      <c r="K37" s="1950"/>
      <c r="L37" s="1092"/>
      <c r="M37" s="190"/>
      <c r="N37" s="190"/>
    </row>
    <row r="38" spans="1:14" ht="15">
      <c r="A38" s="1427">
        <v>44984</v>
      </c>
      <c r="B38" s="1427" t="s">
        <v>2518</v>
      </c>
      <c r="C38" s="1427" t="s">
        <v>4409</v>
      </c>
      <c r="D38" s="1428" t="s">
        <v>4370</v>
      </c>
      <c r="E38" s="1431">
        <v>53.76</v>
      </c>
      <c r="F38" s="649">
        <v>0</v>
      </c>
      <c r="G38" s="1191">
        <v>53.76</v>
      </c>
      <c r="H38" s="1427">
        <v>45044</v>
      </c>
      <c r="I38" s="2314"/>
      <c r="J38" s="1919"/>
      <c r="K38" s="1950"/>
      <c r="L38" s="1092"/>
      <c r="M38" s="190"/>
      <c r="N38" s="190"/>
    </row>
    <row r="39" spans="1:14" ht="15">
      <c r="A39" s="1427">
        <v>44991</v>
      </c>
      <c r="B39" s="1427" t="s">
        <v>2518</v>
      </c>
      <c r="C39" s="1427" t="s">
        <v>4409</v>
      </c>
      <c r="D39" s="1428" t="s">
        <v>4440</v>
      </c>
      <c r="E39" s="1431">
        <v>-54.03</v>
      </c>
      <c r="F39" s="649">
        <v>0</v>
      </c>
      <c r="G39" s="1191">
        <v>-54.03</v>
      </c>
      <c r="H39" s="1427">
        <v>44991</v>
      </c>
      <c r="I39" s="2314"/>
      <c r="J39" s="1919"/>
      <c r="K39" s="1950"/>
      <c r="L39" s="1092" t="s">
        <v>4443</v>
      </c>
      <c r="M39" s="190"/>
      <c r="N39" s="190"/>
    </row>
    <row r="40" spans="1:14" ht="15">
      <c r="A40" s="1427">
        <v>44992</v>
      </c>
      <c r="B40" s="1427" t="s">
        <v>2518</v>
      </c>
      <c r="C40" s="1427" t="s">
        <v>4409</v>
      </c>
      <c r="D40" s="1428" t="s">
        <v>4441</v>
      </c>
      <c r="E40" s="1431">
        <v>424.65</v>
      </c>
      <c r="F40" s="649">
        <v>0</v>
      </c>
      <c r="G40" s="1191">
        <v>424.65</v>
      </c>
      <c r="H40" s="1427">
        <v>44992</v>
      </c>
      <c r="I40" s="2314"/>
      <c r="J40" s="1919"/>
      <c r="K40" s="1950"/>
      <c r="L40" s="1092"/>
      <c r="M40" s="190"/>
      <c r="N40" s="190"/>
    </row>
    <row r="41" spans="1:14" ht="15">
      <c r="A41" s="1427">
        <v>44993</v>
      </c>
      <c r="B41" s="1427" t="s">
        <v>2518</v>
      </c>
      <c r="C41" s="1427" t="s">
        <v>4409</v>
      </c>
      <c r="D41" s="1428" t="s">
        <v>4442</v>
      </c>
      <c r="E41" s="1431">
        <v>369.48</v>
      </c>
      <c r="F41" s="649">
        <v>0</v>
      </c>
      <c r="G41" s="1191">
        <v>369.48</v>
      </c>
      <c r="H41" s="1427">
        <v>44993</v>
      </c>
      <c r="I41" s="2314"/>
      <c r="J41" s="1919"/>
      <c r="K41" s="1950"/>
      <c r="L41" s="1092"/>
      <c r="M41" s="190"/>
      <c r="N41" s="190"/>
    </row>
    <row r="42" spans="1:14" ht="15">
      <c r="A42" s="1427">
        <v>45002</v>
      </c>
      <c r="B42" s="1427" t="s">
        <v>2518</v>
      </c>
      <c r="C42" s="1427" t="s">
        <v>4409</v>
      </c>
      <c r="D42" s="1428" t="s">
        <v>4496</v>
      </c>
      <c r="E42" s="1431">
        <v>-62.23</v>
      </c>
      <c r="F42" s="649">
        <v>0</v>
      </c>
      <c r="G42" s="1191">
        <v>-62.23</v>
      </c>
      <c r="H42" s="1427"/>
      <c r="I42" s="2314"/>
      <c r="J42" s="1919"/>
      <c r="K42" s="1950"/>
      <c r="L42" s="1092"/>
      <c r="M42" s="190"/>
      <c r="N42" s="190"/>
    </row>
    <row r="43" spans="1:14" ht="15">
      <c r="A43" s="1427">
        <v>45012</v>
      </c>
      <c r="B43" s="1427" t="s">
        <v>2518</v>
      </c>
      <c r="C43" s="1427" t="s">
        <v>4409</v>
      </c>
      <c r="D43" s="1428" t="s">
        <v>4639</v>
      </c>
      <c r="E43" s="1431">
        <v>1259.58</v>
      </c>
      <c r="F43" s="649">
        <v>0</v>
      </c>
      <c r="G43" s="1191">
        <v>1259.58</v>
      </c>
      <c r="H43" s="1427">
        <v>45072</v>
      </c>
      <c r="I43" s="2314"/>
      <c r="J43" s="1919"/>
      <c r="K43" s="1950"/>
      <c r="L43" s="1092"/>
      <c r="M43" s="190"/>
      <c r="N43" s="190"/>
    </row>
    <row r="44" spans="1:14" ht="15">
      <c r="A44" s="1427">
        <v>45012</v>
      </c>
      <c r="B44" s="1427" t="s">
        <v>2518</v>
      </c>
      <c r="C44" s="1427" t="s">
        <v>4409</v>
      </c>
      <c r="D44" s="1428" t="s">
        <v>4640</v>
      </c>
      <c r="E44" s="1431">
        <v>1080</v>
      </c>
      <c r="F44" s="649">
        <v>0</v>
      </c>
      <c r="G44" s="1191">
        <v>1080</v>
      </c>
      <c r="H44" s="1427">
        <v>45072</v>
      </c>
      <c r="I44" s="2315"/>
      <c r="J44" s="1920"/>
      <c r="K44" s="1947"/>
      <c r="L44" s="1092"/>
      <c r="M44" s="190"/>
      <c r="N44" s="190"/>
    </row>
    <row r="45" spans="1:14" ht="15">
      <c r="A45" s="1484">
        <v>45036</v>
      </c>
      <c r="B45" s="1484" t="s">
        <v>2518</v>
      </c>
      <c r="C45" s="1484" t="s">
        <v>4409</v>
      </c>
      <c r="D45" s="1486" t="s">
        <v>4811</v>
      </c>
      <c r="E45" s="1488">
        <v>993.75</v>
      </c>
      <c r="F45" s="649">
        <v>0</v>
      </c>
      <c r="G45" s="1191">
        <v>993.75</v>
      </c>
      <c r="H45" s="1484">
        <v>45096</v>
      </c>
      <c r="I45" s="1191">
        <v>993.75</v>
      </c>
      <c r="J45" s="1271">
        <v>45099</v>
      </c>
      <c r="K45" s="1269" t="s">
        <v>5460</v>
      </c>
      <c r="L45" s="423"/>
      <c r="M45" s="190"/>
      <c r="N45" s="190"/>
    </row>
    <row r="46" spans="1:14" ht="15">
      <c r="A46" s="1645">
        <v>45063</v>
      </c>
      <c r="B46" s="1645" t="s">
        <v>2518</v>
      </c>
      <c r="C46" s="1645" t="s">
        <v>4409</v>
      </c>
      <c r="D46" s="1648" t="s">
        <v>5110</v>
      </c>
      <c r="E46" s="1653">
        <v>1488.67</v>
      </c>
      <c r="F46" s="649">
        <v>0</v>
      </c>
      <c r="G46" s="1191">
        <v>1488.67</v>
      </c>
      <c r="H46" s="1645">
        <v>45123</v>
      </c>
      <c r="I46" s="2310">
        <v>5613.9900000000007</v>
      </c>
      <c r="J46" s="1903">
        <v>45162</v>
      </c>
      <c r="K46" s="1938" t="s">
        <v>5936</v>
      </c>
      <c r="L46" s="423"/>
      <c r="M46" s="190"/>
      <c r="N46" s="190"/>
    </row>
    <row r="47" spans="1:14" ht="15">
      <c r="A47" s="1645">
        <v>45099</v>
      </c>
      <c r="B47" s="1645" t="s">
        <v>2518</v>
      </c>
      <c r="C47" s="1645" t="s">
        <v>4409</v>
      </c>
      <c r="D47" s="1648" t="s">
        <v>5415</v>
      </c>
      <c r="E47" s="1653">
        <v>3288.18</v>
      </c>
      <c r="F47" s="649">
        <v>0</v>
      </c>
      <c r="G47" s="1191">
        <v>3288.18</v>
      </c>
      <c r="H47" s="1645">
        <v>45159</v>
      </c>
      <c r="I47" s="2311"/>
      <c r="J47" s="1904"/>
      <c r="K47" s="1950"/>
      <c r="L47" s="423"/>
      <c r="M47" s="190"/>
      <c r="N47" s="190"/>
    </row>
    <row r="48" spans="1:14" ht="15">
      <c r="A48" s="1645">
        <v>45100</v>
      </c>
      <c r="B48" s="1645" t="s">
        <v>2518</v>
      </c>
      <c r="C48" s="1645" t="s">
        <v>4409</v>
      </c>
      <c r="D48" s="1648" t="s">
        <v>5416</v>
      </c>
      <c r="E48" s="1653">
        <v>1348</v>
      </c>
      <c r="F48" s="649">
        <v>0</v>
      </c>
      <c r="G48" s="1191">
        <v>1348</v>
      </c>
      <c r="H48" s="1645">
        <v>45101</v>
      </c>
      <c r="I48" s="2311"/>
      <c r="J48" s="1904"/>
      <c r="K48" s="1950"/>
      <c r="L48" s="423"/>
      <c r="M48" s="190"/>
      <c r="N48" s="190"/>
    </row>
    <row r="49" spans="1:14" ht="15">
      <c r="A49" s="1645">
        <v>45138</v>
      </c>
      <c r="B49" s="1645" t="s">
        <v>5522</v>
      </c>
      <c r="C49" s="1645" t="s">
        <v>4409</v>
      </c>
      <c r="D49" s="1648" t="s">
        <v>5810</v>
      </c>
      <c r="E49" s="1653">
        <v>-103.28</v>
      </c>
      <c r="F49" s="649">
        <v>0</v>
      </c>
      <c r="G49" s="1191">
        <v>-103.28</v>
      </c>
      <c r="H49" s="1645"/>
      <c r="I49" s="2311"/>
      <c r="J49" s="1904"/>
      <c r="K49" s="1950"/>
      <c r="L49" s="423"/>
      <c r="M49" s="190"/>
      <c r="N49" s="190"/>
    </row>
    <row r="50" spans="1:14" ht="15">
      <c r="A50" s="1645">
        <v>45138</v>
      </c>
      <c r="B50" s="1645" t="s">
        <v>5522</v>
      </c>
      <c r="C50" s="1645" t="s">
        <v>4409</v>
      </c>
      <c r="D50" s="1648" t="s">
        <v>5811</v>
      </c>
      <c r="E50" s="1653">
        <v>-4.03</v>
      </c>
      <c r="F50" s="649">
        <v>0</v>
      </c>
      <c r="G50" s="1191">
        <v>-4.03</v>
      </c>
      <c r="H50" s="1645"/>
      <c r="I50" s="2311"/>
      <c r="J50" s="1904"/>
      <c r="K50" s="1950"/>
      <c r="L50" s="423"/>
      <c r="M50" s="190"/>
      <c r="N50" s="190"/>
    </row>
    <row r="51" spans="1:14" ht="15">
      <c r="A51" s="1645">
        <v>45138</v>
      </c>
      <c r="B51" s="1645" t="s">
        <v>5522</v>
      </c>
      <c r="C51" s="1645" t="s">
        <v>4409</v>
      </c>
      <c r="D51" s="1648" t="s">
        <v>5812</v>
      </c>
      <c r="E51" s="1653">
        <v>-403.55</v>
      </c>
      <c r="F51" s="649">
        <v>0</v>
      </c>
      <c r="G51" s="1191">
        <v>-403.55</v>
      </c>
      <c r="H51" s="1645"/>
      <c r="I51" s="2312"/>
      <c r="J51" s="1905"/>
      <c r="K51" s="1947"/>
      <c r="L51" s="423"/>
      <c r="M51" s="190"/>
      <c r="N51" s="190"/>
    </row>
    <row r="52" spans="1:14" ht="15">
      <c r="A52" s="1738">
        <v>45127</v>
      </c>
      <c r="B52" s="1738" t="s">
        <v>5522</v>
      </c>
      <c r="C52" s="1738" t="s">
        <v>4409</v>
      </c>
      <c r="D52" s="1742" t="s">
        <v>5639</v>
      </c>
      <c r="E52" s="1752">
        <v>2392.42</v>
      </c>
      <c r="F52" s="649">
        <v>0</v>
      </c>
      <c r="G52" s="1191">
        <v>2392.42</v>
      </c>
      <c r="H52" s="1738">
        <v>45187</v>
      </c>
      <c r="I52" s="1191">
        <v>2392.42</v>
      </c>
      <c r="J52" s="1738">
        <v>45196</v>
      </c>
      <c r="K52" s="1736" t="s">
        <v>6280</v>
      </c>
      <c r="L52" s="423"/>
      <c r="M52" s="190"/>
      <c r="N52" s="190"/>
    </row>
    <row r="53" spans="1:14" ht="15">
      <c r="A53" s="623">
        <v>45160</v>
      </c>
      <c r="B53" s="623" t="s">
        <v>2518</v>
      </c>
      <c r="C53" s="623" t="s">
        <v>4409</v>
      </c>
      <c r="D53" s="624" t="s">
        <v>5900</v>
      </c>
      <c r="E53" s="603">
        <v>972.3</v>
      </c>
      <c r="F53" s="644">
        <v>0</v>
      </c>
      <c r="G53" s="1190">
        <v>972.3</v>
      </c>
      <c r="H53" s="623">
        <v>45220</v>
      </c>
      <c r="I53" s="1189"/>
      <c r="J53" s="1641"/>
      <c r="K53" s="1639"/>
      <c r="L53" s="423"/>
      <c r="M53" s="190"/>
      <c r="N53" s="190"/>
    </row>
    <row r="54" spans="1:14" ht="15">
      <c r="A54" s="623">
        <v>45197</v>
      </c>
      <c r="B54" s="623" t="s">
        <v>2518</v>
      </c>
      <c r="C54" s="623" t="s">
        <v>4409</v>
      </c>
      <c r="D54" s="624" t="s">
        <v>6201</v>
      </c>
      <c r="E54" s="603">
        <v>1283.2</v>
      </c>
      <c r="F54" s="644">
        <v>0</v>
      </c>
      <c r="G54" s="1190">
        <v>1283.2</v>
      </c>
      <c r="H54" s="623">
        <v>45256</v>
      </c>
      <c r="I54" s="1189"/>
      <c r="J54" s="1641"/>
      <c r="K54" s="1639"/>
      <c r="L54" s="423"/>
      <c r="M54" s="190"/>
      <c r="N54" s="190"/>
    </row>
    <row r="55" spans="1:14" ht="15">
      <c r="A55" s="623">
        <v>45197</v>
      </c>
      <c r="B55" s="623" t="s">
        <v>2518</v>
      </c>
      <c r="C55" s="623" t="s">
        <v>4409</v>
      </c>
      <c r="D55" s="624" t="s">
        <v>6202</v>
      </c>
      <c r="E55" s="603">
        <v>278.04000000000002</v>
      </c>
      <c r="F55" s="644">
        <v>0</v>
      </c>
      <c r="G55" s="1190">
        <v>278.04000000000002</v>
      </c>
      <c r="H55" s="623">
        <v>45256</v>
      </c>
      <c r="I55" s="1189"/>
      <c r="J55" s="1641"/>
      <c r="K55" s="1639"/>
      <c r="L55" s="423"/>
      <c r="M55" s="190"/>
      <c r="N55" s="190"/>
    </row>
    <row r="56" spans="1:14" ht="15">
      <c r="A56" s="623">
        <v>45197</v>
      </c>
      <c r="B56" s="623" t="s">
        <v>2518</v>
      </c>
      <c r="C56" s="623" t="s">
        <v>4409</v>
      </c>
      <c r="D56" s="624" t="s">
        <v>6203</v>
      </c>
      <c r="E56" s="603">
        <v>180</v>
      </c>
      <c r="F56" s="644">
        <v>0</v>
      </c>
      <c r="G56" s="1190">
        <v>180</v>
      </c>
      <c r="H56" s="623">
        <v>45256</v>
      </c>
      <c r="I56" s="1189"/>
      <c r="J56" s="1641"/>
      <c r="K56" s="1639"/>
      <c r="L56" s="423"/>
      <c r="M56" s="190"/>
      <c r="N56" s="190"/>
    </row>
    <row r="57" spans="1:14" ht="15">
      <c r="A57" s="623">
        <v>45198</v>
      </c>
      <c r="B57" s="623" t="s">
        <v>2518</v>
      </c>
      <c r="C57" s="623" t="s">
        <v>4409</v>
      </c>
      <c r="D57" s="624" t="s">
        <v>6204</v>
      </c>
      <c r="E57" s="603">
        <v>1418.76</v>
      </c>
      <c r="F57" s="644">
        <v>0</v>
      </c>
      <c r="G57" s="1190">
        <v>1418.76</v>
      </c>
      <c r="H57" s="623">
        <v>45257</v>
      </c>
      <c r="I57" s="1189"/>
      <c r="J57" s="1641"/>
      <c r="K57" s="1639"/>
      <c r="L57" s="423"/>
      <c r="M57" s="190"/>
      <c r="N57" s="190"/>
    </row>
    <row r="58" spans="1:14" ht="15">
      <c r="A58" s="623">
        <v>45230</v>
      </c>
      <c r="B58" s="623" t="s">
        <v>2518</v>
      </c>
      <c r="C58" s="623" t="s">
        <v>4409</v>
      </c>
      <c r="D58" s="624" t="s">
        <v>6480</v>
      </c>
      <c r="E58" s="603">
        <v>-1047.5</v>
      </c>
      <c r="F58" s="644">
        <v>0</v>
      </c>
      <c r="G58" s="1190">
        <v>-1047.5</v>
      </c>
      <c r="H58" s="623"/>
      <c r="I58" s="1189"/>
      <c r="J58" s="1546"/>
      <c r="K58" s="1538"/>
      <c r="L58" s="423"/>
      <c r="M58" s="190"/>
      <c r="N58" s="190"/>
    </row>
    <row r="59" spans="1:14" ht="15">
      <c r="A59" s="623"/>
      <c r="B59" s="623"/>
      <c r="C59" s="623"/>
      <c r="D59" s="624"/>
      <c r="E59" s="603"/>
      <c r="F59" s="644"/>
      <c r="G59" s="1190"/>
      <c r="H59" s="623"/>
      <c r="I59" s="1189"/>
      <c r="J59" s="1546"/>
      <c r="K59" s="1538"/>
      <c r="L59" s="423"/>
      <c r="M59" s="190"/>
      <c r="N59" s="190"/>
    </row>
    <row r="60" spans="1:14" ht="15">
      <c r="A60" s="623"/>
      <c r="B60" s="623"/>
      <c r="C60" s="623"/>
      <c r="D60" s="624"/>
      <c r="E60" s="603"/>
      <c r="F60" s="644"/>
      <c r="G60" s="1190"/>
      <c r="H60" s="623"/>
      <c r="I60" s="1189"/>
      <c r="J60" s="1479"/>
      <c r="K60" s="1476"/>
      <c r="L60" s="423"/>
      <c r="M60" s="190"/>
      <c r="N60" s="190"/>
    </row>
    <row r="61" spans="1:14" ht="15">
      <c r="A61" s="623"/>
      <c r="B61" s="623"/>
      <c r="C61" s="623"/>
      <c r="D61" s="624"/>
      <c r="E61" s="603"/>
      <c r="F61" s="644"/>
      <c r="G61" s="1190"/>
      <c r="H61" s="623"/>
      <c r="I61" s="1189"/>
      <c r="J61" s="1198"/>
      <c r="K61" s="1194"/>
      <c r="L61" s="423"/>
      <c r="M61" s="190"/>
      <c r="N61" s="190"/>
    </row>
    <row r="62" spans="1:14" ht="15">
      <c r="A62" s="623"/>
      <c r="B62" s="623"/>
      <c r="C62" s="623"/>
      <c r="D62" s="624"/>
      <c r="E62" s="603"/>
      <c r="F62" s="644"/>
      <c r="G62" s="1186"/>
      <c r="H62" s="623"/>
      <c r="I62" s="1185"/>
      <c r="J62" s="979"/>
      <c r="K62" s="978"/>
      <c r="L62" s="423"/>
      <c r="M62" s="190"/>
      <c r="N62" s="190"/>
    </row>
    <row r="63" spans="1:14" ht="15">
      <c r="A63" s="623"/>
      <c r="B63" s="623"/>
      <c r="C63" s="623"/>
      <c r="D63" s="624"/>
      <c r="E63" s="603"/>
      <c r="F63" s="644"/>
      <c r="G63" s="1186"/>
      <c r="H63" s="623"/>
      <c r="I63" s="1185"/>
      <c r="J63" s="620"/>
      <c r="K63" s="538"/>
      <c r="L63" s="423"/>
    </row>
    <row r="64" spans="1:14" ht="15">
      <c r="A64" s="750"/>
      <c r="B64" s="750"/>
      <c r="C64" s="750"/>
      <c r="D64" s="621"/>
      <c r="E64" s="619"/>
      <c r="F64" s="1144" t="s">
        <v>545</v>
      </c>
      <c r="G64" s="1193">
        <f>SUM(G2:G63)-SUM(I2:I63)</f>
        <v>3084.7999999999956</v>
      </c>
      <c r="H64" s="596"/>
      <c r="I64" s="1185"/>
      <c r="J64" s="750"/>
      <c r="K64" s="118"/>
      <c r="L64" s="423"/>
    </row>
  </sheetData>
  <mergeCells count="43">
    <mergeCell ref="K46:K51"/>
    <mergeCell ref="J46:J51"/>
    <mergeCell ref="I46:I51"/>
    <mergeCell ref="K35:K44"/>
    <mergeCell ref="J35:J44"/>
    <mergeCell ref="I35:I44"/>
    <mergeCell ref="K29:K34"/>
    <mergeCell ref="J29:J34"/>
    <mergeCell ref="I29:I34"/>
    <mergeCell ref="K13:K23"/>
    <mergeCell ref="J13:J23"/>
    <mergeCell ref="I13:I23"/>
    <mergeCell ref="I24:I28"/>
    <mergeCell ref="K24:K28"/>
    <mergeCell ref="J24:J28"/>
    <mergeCell ref="A11:A13"/>
    <mergeCell ref="F11:F13"/>
    <mergeCell ref="E11:E13"/>
    <mergeCell ref="D11:D13"/>
    <mergeCell ref="C23:C24"/>
    <mergeCell ref="B23:B24"/>
    <mergeCell ref="C11:C13"/>
    <mergeCell ref="B11:B13"/>
    <mergeCell ref="F23:F24"/>
    <mergeCell ref="E23:E24"/>
    <mergeCell ref="D23:D24"/>
    <mergeCell ref="A23:A24"/>
    <mergeCell ref="I9:I10"/>
    <mergeCell ref="I4:I7"/>
    <mergeCell ref="A2:A4"/>
    <mergeCell ref="D2:D4"/>
    <mergeCell ref="F2:F4"/>
    <mergeCell ref="E2:E4"/>
    <mergeCell ref="H2:H3"/>
    <mergeCell ref="G2:G3"/>
    <mergeCell ref="C2:C4"/>
    <mergeCell ref="B2:B4"/>
    <mergeCell ref="K4:K7"/>
    <mergeCell ref="K9:K10"/>
    <mergeCell ref="J9:J10"/>
    <mergeCell ref="J4:J7"/>
    <mergeCell ref="L9:L10"/>
    <mergeCell ref="L4:L7"/>
  </mergeCells>
  <phoneticPr fontId="15" type="noConversion"/>
  <hyperlinks>
    <hyperlink ref="F64" location="汇总!A1" display="剩余欠款"/>
  </hyperlinks>
  <pageMargins left="0.7" right="0.7" top="0.75" bottom="0.75" header="0.3" footer="0.3"/>
  <pageSetup paperSize="9" orientation="portrait" horizontalDpi="0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N99"/>
  <sheetViews>
    <sheetView workbookViewId="0">
      <pane ySplit="1" topLeftCell="A60" activePane="bottomLeft" state="frozen"/>
      <selection pane="bottomLeft" activeCell="F90" sqref="F90"/>
    </sheetView>
  </sheetViews>
  <sheetFormatPr defaultColWidth="8.75" defaultRowHeight="14.25"/>
  <cols>
    <col min="1" max="1" width="15.125" style="56" bestFit="1" customWidth="1"/>
    <col min="2" max="2" width="9" style="56" bestFit="1" customWidth="1"/>
    <col min="3" max="3" width="25.75" style="56" bestFit="1" customWidth="1"/>
    <col min="4" max="4" width="15" style="56" bestFit="1" customWidth="1"/>
    <col min="5" max="5" width="12" style="521" bestFit="1" customWidth="1"/>
    <col min="6" max="6" width="12" style="522" customWidth="1"/>
    <col min="7" max="7" width="18.375" style="56" bestFit="1" customWidth="1"/>
    <col min="8" max="8" width="16.75" style="56" bestFit="1" customWidth="1"/>
    <col min="9" max="9" width="14.125" style="56" bestFit="1" customWidth="1"/>
    <col min="10" max="10" width="14" style="55" bestFit="1" customWidth="1"/>
    <col min="11" max="11" width="23.875" style="56" bestFit="1" customWidth="1"/>
    <col min="12" max="12" width="28.25" style="56" bestFit="1" customWidth="1"/>
    <col min="13" max="13" width="15" style="56" bestFit="1" customWidth="1"/>
    <col min="14" max="14" width="13.875" style="56" bestFit="1" customWidth="1"/>
    <col min="15" max="16384" width="8.75" style="56"/>
  </cols>
  <sheetData>
    <row r="1" spans="1:12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6" t="s">
        <v>542</v>
      </c>
    </row>
    <row r="2" spans="1:12" ht="15">
      <c r="A2" s="1918">
        <v>44519</v>
      </c>
      <c r="B2" s="1918" t="s">
        <v>4125</v>
      </c>
      <c r="C2" s="1918" t="s">
        <v>4585</v>
      </c>
      <c r="D2" s="1929" t="s">
        <v>561</v>
      </c>
      <c r="E2" s="1923">
        <v>21569.55</v>
      </c>
      <c r="F2" s="1927">
        <v>0</v>
      </c>
      <c r="G2" s="1915">
        <v>21569.55</v>
      </c>
      <c r="H2" s="620">
        <v>44519</v>
      </c>
      <c r="I2" s="680">
        <v>3000</v>
      </c>
      <c r="J2" s="620">
        <v>44636</v>
      </c>
      <c r="K2" s="397" t="s">
        <v>2191</v>
      </c>
      <c r="L2" s="166" t="s">
        <v>2755</v>
      </c>
    </row>
    <row r="3" spans="1:12" ht="15">
      <c r="A3" s="1919"/>
      <c r="B3" s="1919"/>
      <c r="C3" s="1919"/>
      <c r="D3" s="1977"/>
      <c r="E3" s="1961"/>
      <c r="F3" s="1960"/>
      <c r="G3" s="1916"/>
      <c r="H3" s="620">
        <v>44519</v>
      </c>
      <c r="I3" s="680">
        <v>7000</v>
      </c>
      <c r="J3" s="620">
        <v>44708</v>
      </c>
      <c r="K3" s="397" t="s">
        <v>2191</v>
      </c>
      <c r="L3" s="166" t="s">
        <v>2756</v>
      </c>
    </row>
    <row r="4" spans="1:12" ht="15">
      <c r="A4" s="1919"/>
      <c r="B4" s="1919"/>
      <c r="C4" s="1919"/>
      <c r="D4" s="1977"/>
      <c r="E4" s="1961"/>
      <c r="F4" s="1960"/>
      <c r="G4" s="1916"/>
      <c r="H4" s="620">
        <v>44519</v>
      </c>
      <c r="I4" s="680">
        <v>6000</v>
      </c>
      <c r="J4" s="620">
        <v>44715</v>
      </c>
      <c r="K4" s="400" t="s">
        <v>2243</v>
      </c>
      <c r="L4" s="219"/>
    </row>
    <row r="5" spans="1:12" ht="15">
      <c r="A5" s="1920"/>
      <c r="B5" s="1920"/>
      <c r="C5" s="1920"/>
      <c r="D5" s="1930"/>
      <c r="E5" s="1924"/>
      <c r="F5" s="1928"/>
      <c r="G5" s="1917"/>
      <c r="H5" s="620">
        <v>44519</v>
      </c>
      <c r="I5" s="680">
        <v>5569.55</v>
      </c>
      <c r="J5" s="620">
        <v>44733</v>
      </c>
      <c r="K5" s="425" t="s">
        <v>2109</v>
      </c>
      <c r="L5" s="219"/>
    </row>
    <row r="6" spans="1:12" ht="15">
      <c r="A6" s="1903">
        <v>44631</v>
      </c>
      <c r="B6" s="1918" t="s">
        <v>521</v>
      </c>
      <c r="C6" s="1918" t="s">
        <v>4585</v>
      </c>
      <c r="D6" s="1909" t="s">
        <v>562</v>
      </c>
      <c r="E6" s="1923">
        <v>1452.38</v>
      </c>
      <c r="F6" s="1927">
        <v>0</v>
      </c>
      <c r="G6" s="611">
        <f>1452.38-108</f>
        <v>1344.38</v>
      </c>
      <c r="H6" s="632">
        <v>44631</v>
      </c>
      <c r="I6" s="718">
        <v>1344.38</v>
      </c>
      <c r="J6" s="632">
        <v>44806</v>
      </c>
      <c r="K6" s="576" t="s">
        <v>2941</v>
      </c>
      <c r="L6" s="219"/>
    </row>
    <row r="7" spans="1:12" ht="15">
      <c r="A7" s="1905"/>
      <c r="B7" s="1920"/>
      <c r="C7" s="1920"/>
      <c r="D7" s="1911"/>
      <c r="E7" s="1924"/>
      <c r="F7" s="1928"/>
      <c r="G7" s="611">
        <v>108</v>
      </c>
      <c r="H7" s="632">
        <v>44631</v>
      </c>
      <c r="I7" s="1923">
        <v>0</v>
      </c>
      <c r="J7" s="1903">
        <v>44775</v>
      </c>
      <c r="K7" s="1935" t="s">
        <v>2642</v>
      </c>
      <c r="L7" s="219"/>
    </row>
    <row r="8" spans="1:12" ht="15">
      <c r="A8" s="632">
        <v>44750.000497685185</v>
      </c>
      <c r="B8" s="1124" t="s">
        <v>521</v>
      </c>
      <c r="C8" s="1124" t="s">
        <v>4585</v>
      </c>
      <c r="D8" s="615" t="s">
        <v>2408</v>
      </c>
      <c r="E8" s="609">
        <v>-108</v>
      </c>
      <c r="F8" s="649">
        <v>0</v>
      </c>
      <c r="G8" s="611">
        <v>-108</v>
      </c>
      <c r="H8" s="632" t="s">
        <v>1529</v>
      </c>
      <c r="I8" s="1924"/>
      <c r="J8" s="1905"/>
      <c r="K8" s="1947"/>
      <c r="L8" s="219"/>
    </row>
    <row r="9" spans="1:12" ht="15">
      <c r="A9" s="1903">
        <v>44680</v>
      </c>
      <c r="B9" s="1918" t="s">
        <v>521</v>
      </c>
      <c r="C9" s="1918" t="s">
        <v>4585</v>
      </c>
      <c r="D9" s="1909" t="s">
        <v>2012</v>
      </c>
      <c r="E9" s="1923">
        <v>2167.5</v>
      </c>
      <c r="F9" s="1927">
        <v>0</v>
      </c>
      <c r="G9" s="611">
        <f>2167.5-1.88</f>
        <v>2165.62</v>
      </c>
      <c r="H9" s="632">
        <v>44680</v>
      </c>
      <c r="I9" s="718">
        <v>2165.62</v>
      </c>
      <c r="J9" s="632">
        <v>44806</v>
      </c>
      <c r="K9" s="576" t="s">
        <v>2941</v>
      </c>
      <c r="L9" s="219"/>
    </row>
    <row r="10" spans="1:12" ht="15">
      <c r="A10" s="1905"/>
      <c r="B10" s="1920"/>
      <c r="C10" s="1920"/>
      <c r="D10" s="1911"/>
      <c r="E10" s="1924"/>
      <c r="F10" s="1928"/>
      <c r="G10" s="611">
        <v>1.88</v>
      </c>
      <c r="H10" s="632">
        <v>44680</v>
      </c>
      <c r="I10" s="718">
        <v>1.88</v>
      </c>
      <c r="J10" s="632">
        <v>44807</v>
      </c>
      <c r="K10" s="576" t="s">
        <v>2940</v>
      </c>
      <c r="L10" s="166"/>
    </row>
    <row r="11" spans="1:12" ht="15">
      <c r="A11" s="1903">
        <v>44789.000497685185</v>
      </c>
      <c r="B11" s="1918" t="s">
        <v>4116</v>
      </c>
      <c r="C11" s="1918" t="s">
        <v>4605</v>
      </c>
      <c r="D11" s="1909" t="s">
        <v>2817</v>
      </c>
      <c r="E11" s="1923">
        <v>2314.8000000000002</v>
      </c>
      <c r="F11" s="1927">
        <v>0</v>
      </c>
      <c r="G11" s="611">
        <f>2314.8-1440.41</f>
        <v>874.3900000000001</v>
      </c>
      <c r="H11" s="860">
        <v>44878.000497685185</v>
      </c>
      <c r="I11" s="680">
        <v>874.3900000000001</v>
      </c>
      <c r="J11" s="620">
        <v>44859</v>
      </c>
      <c r="K11" s="856" t="s">
        <v>3380</v>
      </c>
      <c r="L11" s="166" t="s">
        <v>3383</v>
      </c>
    </row>
    <row r="12" spans="1:12" ht="15">
      <c r="A12" s="1905"/>
      <c r="B12" s="1920"/>
      <c r="C12" s="1920"/>
      <c r="D12" s="1911"/>
      <c r="E12" s="1924"/>
      <c r="F12" s="1928"/>
      <c r="G12" s="611">
        <v>1440.41</v>
      </c>
      <c r="H12" s="860">
        <v>44878.000497685185</v>
      </c>
      <c r="I12" s="1915">
        <v>2000</v>
      </c>
      <c r="J12" s="1918">
        <v>44837</v>
      </c>
      <c r="K12" s="1968" t="s">
        <v>3247</v>
      </c>
      <c r="L12" s="219"/>
    </row>
    <row r="13" spans="1:12" ht="15">
      <c r="A13" s="829">
        <v>44706</v>
      </c>
      <c r="B13" s="1124" t="s">
        <v>521</v>
      </c>
      <c r="C13" s="1124" t="s">
        <v>4585</v>
      </c>
      <c r="D13" s="832" t="s">
        <v>2190</v>
      </c>
      <c r="E13" s="833">
        <v>4669.2700000000004</v>
      </c>
      <c r="F13" s="649">
        <v>0</v>
      </c>
      <c r="G13" s="611">
        <v>4669.28</v>
      </c>
      <c r="H13" s="829">
        <v>44706</v>
      </c>
      <c r="I13" s="1916"/>
      <c r="J13" s="1919"/>
      <c r="K13" s="1962"/>
      <c r="L13" s="219"/>
    </row>
    <row r="14" spans="1:12" ht="15">
      <c r="A14" s="829">
        <v>44742</v>
      </c>
      <c r="B14" s="1124" t="s">
        <v>4116</v>
      </c>
      <c r="C14" s="1124" t="s">
        <v>4585</v>
      </c>
      <c r="D14" s="832" t="s">
        <v>2373</v>
      </c>
      <c r="E14" s="833">
        <v>1521.6</v>
      </c>
      <c r="F14" s="649">
        <v>0</v>
      </c>
      <c r="G14" s="611">
        <v>1521.6</v>
      </c>
      <c r="H14" s="829">
        <v>44742</v>
      </c>
      <c r="I14" s="1916"/>
      <c r="J14" s="1919"/>
      <c r="K14" s="1962"/>
      <c r="L14" s="219"/>
    </row>
    <row r="15" spans="1:12" ht="15">
      <c r="A15" s="829">
        <v>44802</v>
      </c>
      <c r="B15" s="1124" t="s">
        <v>4116</v>
      </c>
      <c r="C15" s="1124" t="s">
        <v>4585</v>
      </c>
      <c r="D15" s="832" t="s">
        <v>2905</v>
      </c>
      <c r="E15" s="833">
        <v>-559.09</v>
      </c>
      <c r="F15" s="649">
        <v>0</v>
      </c>
      <c r="G15" s="611">
        <v>-559.09</v>
      </c>
      <c r="H15" s="829"/>
      <c r="I15" s="1916"/>
      <c r="J15" s="1919"/>
      <c r="K15" s="1962"/>
      <c r="L15" s="219"/>
    </row>
    <row r="16" spans="1:12" ht="15">
      <c r="A16" s="829">
        <v>44802</v>
      </c>
      <c r="B16" s="1124" t="s">
        <v>4116</v>
      </c>
      <c r="C16" s="1124" t="s">
        <v>4585</v>
      </c>
      <c r="D16" s="832" t="s">
        <v>2906</v>
      </c>
      <c r="E16" s="833">
        <v>-1094.21</v>
      </c>
      <c r="F16" s="649">
        <v>0</v>
      </c>
      <c r="G16" s="611">
        <v>-1094.21</v>
      </c>
      <c r="H16" s="829"/>
      <c r="I16" s="1916"/>
      <c r="J16" s="1919"/>
      <c r="K16" s="1962"/>
      <c r="L16" s="219"/>
    </row>
    <row r="17" spans="1:14" ht="15">
      <c r="A17" s="829">
        <v>44813</v>
      </c>
      <c r="B17" s="1124" t="s">
        <v>521</v>
      </c>
      <c r="C17" s="1124" t="s">
        <v>4585</v>
      </c>
      <c r="D17" s="832" t="s">
        <v>2955</v>
      </c>
      <c r="E17" s="833">
        <v>-3264.33</v>
      </c>
      <c r="F17" s="649">
        <v>0</v>
      </c>
      <c r="G17" s="611">
        <v>-3264.33</v>
      </c>
      <c r="H17" s="829"/>
      <c r="I17" s="1916"/>
      <c r="J17" s="1919"/>
      <c r="K17" s="1962"/>
      <c r="L17" s="219"/>
    </row>
    <row r="18" spans="1:14" ht="15">
      <c r="A18" s="829">
        <v>44816</v>
      </c>
      <c r="B18" s="1124" t="s">
        <v>521</v>
      </c>
      <c r="C18" s="1124" t="s">
        <v>4585</v>
      </c>
      <c r="D18" s="832" t="s">
        <v>3000</v>
      </c>
      <c r="E18" s="833">
        <v>-713.66</v>
      </c>
      <c r="F18" s="649">
        <v>0</v>
      </c>
      <c r="G18" s="611">
        <v>-713.66</v>
      </c>
      <c r="H18" s="829"/>
      <c r="I18" s="1917"/>
      <c r="J18" s="1920"/>
      <c r="K18" s="1957"/>
      <c r="L18" s="219"/>
    </row>
    <row r="19" spans="1:14" ht="15">
      <c r="A19" s="829">
        <v>44806</v>
      </c>
      <c r="B19" s="1124" t="s">
        <v>4116</v>
      </c>
      <c r="C19" s="1124" t="s">
        <v>4585</v>
      </c>
      <c r="D19" s="832" t="s">
        <v>2907</v>
      </c>
      <c r="E19" s="833">
        <v>0.01</v>
      </c>
      <c r="F19" s="649">
        <v>0</v>
      </c>
      <c r="G19" s="611">
        <v>0.01</v>
      </c>
      <c r="H19" s="829">
        <v>44807</v>
      </c>
      <c r="I19" s="718">
        <v>0.01</v>
      </c>
      <c r="J19" s="632">
        <v>44807</v>
      </c>
      <c r="K19" s="576" t="s">
        <v>2940</v>
      </c>
      <c r="L19" s="166" t="s">
        <v>2897</v>
      </c>
    </row>
    <row r="20" spans="1:14" ht="15">
      <c r="A20" s="1258">
        <v>44799</v>
      </c>
      <c r="B20" s="1258" t="s">
        <v>4116</v>
      </c>
      <c r="C20" s="1254" t="s">
        <v>4585</v>
      </c>
      <c r="D20" s="1262" t="s">
        <v>2865</v>
      </c>
      <c r="E20" s="1264">
        <v>816</v>
      </c>
      <c r="F20" s="649">
        <v>0</v>
      </c>
      <c r="G20" s="611">
        <v>816</v>
      </c>
      <c r="H20" s="1258">
        <v>44799</v>
      </c>
      <c r="I20" s="1923">
        <v>1125.6100000000001</v>
      </c>
      <c r="J20" s="1903">
        <v>44859</v>
      </c>
      <c r="K20" s="1935" t="s">
        <v>3380</v>
      </c>
      <c r="L20" s="2051" t="s">
        <v>3382</v>
      </c>
    </row>
    <row r="21" spans="1:14" ht="15">
      <c r="A21" s="1903">
        <v>44799</v>
      </c>
      <c r="B21" s="1903" t="s">
        <v>4116</v>
      </c>
      <c r="C21" s="1918" t="s">
        <v>4585</v>
      </c>
      <c r="D21" s="1909" t="s">
        <v>2866</v>
      </c>
      <c r="E21" s="1923">
        <v>8198.5499999999993</v>
      </c>
      <c r="F21" s="1927">
        <v>0</v>
      </c>
      <c r="G21" s="611">
        <v>309.61</v>
      </c>
      <c r="H21" s="1258">
        <v>44799</v>
      </c>
      <c r="I21" s="1924"/>
      <c r="J21" s="1905"/>
      <c r="K21" s="1947"/>
      <c r="L21" s="2053"/>
    </row>
    <row r="22" spans="1:14" ht="15">
      <c r="A22" s="1904"/>
      <c r="B22" s="1904"/>
      <c r="C22" s="1904"/>
      <c r="D22" s="1910"/>
      <c r="E22" s="1961"/>
      <c r="F22" s="1960"/>
      <c r="G22" s="611">
        <v>2500</v>
      </c>
      <c r="H22" s="1258">
        <v>44799</v>
      </c>
      <c r="I22" s="1251">
        <v>2500</v>
      </c>
      <c r="J22" s="1250">
        <v>44893</v>
      </c>
      <c r="K22" s="1253" t="s">
        <v>3639</v>
      </c>
      <c r="L22" s="1259"/>
    </row>
    <row r="23" spans="1:14" ht="15">
      <c r="A23" s="1904"/>
      <c r="B23" s="1904"/>
      <c r="C23" s="1904"/>
      <c r="D23" s="1910"/>
      <c r="E23" s="1961"/>
      <c r="F23" s="1960"/>
      <c r="G23" s="611">
        <v>2000</v>
      </c>
      <c r="H23" s="1258">
        <v>44799</v>
      </c>
      <c r="I23" s="718">
        <v>2000</v>
      </c>
      <c r="J23" s="1258">
        <v>44938</v>
      </c>
      <c r="K23" s="1253" t="s">
        <v>1752</v>
      </c>
      <c r="L23" s="166"/>
    </row>
    <row r="24" spans="1:14" ht="15">
      <c r="A24" s="1904"/>
      <c r="B24" s="1904"/>
      <c r="C24" s="1904"/>
      <c r="D24" s="1910"/>
      <c r="E24" s="1961"/>
      <c r="F24" s="1960"/>
      <c r="G24" s="611">
        <f>8198.55-309.61-2500-2000-1305.9</f>
        <v>2083.0399999999995</v>
      </c>
      <c r="H24" s="1258">
        <v>44799</v>
      </c>
      <c r="I24" s="718">
        <v>2083.0399999999995</v>
      </c>
      <c r="J24" s="1258">
        <v>45006</v>
      </c>
      <c r="K24" s="1253" t="s">
        <v>4580</v>
      </c>
      <c r="L24" s="166"/>
    </row>
    <row r="25" spans="1:14" ht="15">
      <c r="A25" s="1905"/>
      <c r="B25" s="1905"/>
      <c r="C25" s="1905"/>
      <c r="D25" s="1911"/>
      <c r="E25" s="1924"/>
      <c r="F25" s="1928"/>
      <c r="G25" s="611">
        <v>1305.9000000000001</v>
      </c>
      <c r="H25" s="1258">
        <v>44799</v>
      </c>
      <c r="I25" s="1927">
        <v>0</v>
      </c>
      <c r="J25" s="1903">
        <v>44957</v>
      </c>
      <c r="K25" s="1935" t="s">
        <v>4015</v>
      </c>
      <c r="L25" s="166"/>
    </row>
    <row r="26" spans="1:14" ht="15">
      <c r="A26" s="1258">
        <v>44909</v>
      </c>
      <c r="B26" s="1258" t="s">
        <v>521</v>
      </c>
      <c r="C26" s="1254" t="s">
        <v>4585</v>
      </c>
      <c r="D26" s="1262" t="s">
        <v>3692</v>
      </c>
      <c r="E26" s="1264">
        <v>-420.75</v>
      </c>
      <c r="F26" s="649">
        <v>0</v>
      </c>
      <c r="G26" s="611">
        <v>-420.75</v>
      </c>
      <c r="H26" s="1258"/>
      <c r="I26" s="1960"/>
      <c r="J26" s="1904"/>
      <c r="K26" s="1950"/>
      <c r="L26" s="166"/>
    </row>
    <row r="27" spans="1:14" ht="15">
      <c r="A27" s="1258">
        <v>44909</v>
      </c>
      <c r="B27" s="1258" t="s">
        <v>521</v>
      </c>
      <c r="C27" s="1254" t="s">
        <v>4585</v>
      </c>
      <c r="D27" s="1262" t="s">
        <v>3693</v>
      </c>
      <c r="E27" s="1264">
        <v>-885.15</v>
      </c>
      <c r="F27" s="649">
        <v>0</v>
      </c>
      <c r="G27" s="611">
        <v>-885.15</v>
      </c>
      <c r="H27" s="1258"/>
      <c r="I27" s="1928"/>
      <c r="J27" s="1905"/>
      <c r="K27" s="1947"/>
      <c r="L27" s="166"/>
    </row>
    <row r="28" spans="1:14" ht="15">
      <c r="A28" s="1258">
        <v>44859</v>
      </c>
      <c r="B28" s="1258" t="s">
        <v>521</v>
      </c>
      <c r="C28" s="1254" t="s">
        <v>4585</v>
      </c>
      <c r="D28" s="1262" t="s">
        <v>3350</v>
      </c>
      <c r="E28" s="1264">
        <v>2343.3000000000002</v>
      </c>
      <c r="F28" s="649">
        <v>0</v>
      </c>
      <c r="G28" s="611">
        <v>2343.3000000000002</v>
      </c>
      <c r="H28" s="1258">
        <v>44860</v>
      </c>
      <c r="I28" s="718">
        <v>2343.3000000000002</v>
      </c>
      <c r="J28" s="1258">
        <v>45006</v>
      </c>
      <c r="K28" s="1253" t="s">
        <v>4580</v>
      </c>
      <c r="L28" s="166"/>
    </row>
    <row r="29" spans="1:14" ht="28.5">
      <c r="A29" s="1321">
        <v>44890</v>
      </c>
      <c r="B29" s="1321" t="s">
        <v>521</v>
      </c>
      <c r="C29" s="1321" t="s">
        <v>4848</v>
      </c>
      <c r="D29" s="1324" t="s">
        <v>3525</v>
      </c>
      <c r="E29" s="1329">
        <v>2214.8200000000002</v>
      </c>
      <c r="F29" s="649">
        <v>0</v>
      </c>
      <c r="G29" s="611">
        <v>2214.83</v>
      </c>
      <c r="H29" s="1321">
        <v>44891</v>
      </c>
      <c r="I29" s="718">
        <v>2214.83</v>
      </c>
      <c r="J29" s="1321">
        <v>45033</v>
      </c>
      <c r="K29" s="1322" t="s">
        <v>4847</v>
      </c>
      <c r="L29" s="219"/>
    </row>
    <row r="30" spans="1:14" ht="15">
      <c r="A30" s="1484">
        <v>44937</v>
      </c>
      <c r="B30" s="1484" t="s">
        <v>2518</v>
      </c>
      <c r="C30" s="1484" t="s">
        <v>5454</v>
      </c>
      <c r="D30" s="1486" t="s">
        <v>3885</v>
      </c>
      <c r="E30" s="1488">
        <v>3395.25</v>
      </c>
      <c r="F30" s="649">
        <v>0</v>
      </c>
      <c r="G30" s="611">
        <v>3395.25</v>
      </c>
      <c r="H30" s="1484">
        <v>44997</v>
      </c>
      <c r="I30" s="2143">
        <v>5222.3500000000004</v>
      </c>
      <c r="J30" s="1903">
        <v>45096</v>
      </c>
      <c r="K30" s="1938" t="s">
        <v>5455</v>
      </c>
      <c r="L30" s="219"/>
      <c r="M30" s="109"/>
      <c r="N30" s="545"/>
    </row>
    <row r="31" spans="1:14" ht="15">
      <c r="A31" s="1903">
        <v>44979</v>
      </c>
      <c r="B31" s="1903" t="s">
        <v>2518</v>
      </c>
      <c r="C31" s="1903" t="s">
        <v>5662</v>
      </c>
      <c r="D31" s="1909" t="s">
        <v>4212</v>
      </c>
      <c r="E31" s="1923">
        <v>2409.75</v>
      </c>
      <c r="F31" s="1927">
        <v>0</v>
      </c>
      <c r="G31" s="1481">
        <v>1827.1</v>
      </c>
      <c r="H31" s="1484">
        <v>45039</v>
      </c>
      <c r="I31" s="2144"/>
      <c r="J31" s="1905"/>
      <c r="K31" s="1947"/>
      <c r="L31" s="219"/>
      <c r="M31" s="109"/>
      <c r="N31" s="545"/>
    </row>
    <row r="32" spans="1:14" ht="15">
      <c r="A32" s="1905"/>
      <c r="B32" s="1905"/>
      <c r="C32" s="1905"/>
      <c r="D32" s="1911"/>
      <c r="E32" s="1924"/>
      <c r="F32" s="1928"/>
      <c r="G32" s="1545">
        <f>2409.75-1827.1</f>
        <v>582.65000000000009</v>
      </c>
      <c r="H32" s="1549">
        <v>45039</v>
      </c>
      <c r="I32" s="2210">
        <v>2409.75</v>
      </c>
      <c r="J32" s="1918">
        <v>45124</v>
      </c>
      <c r="K32" s="1968" t="s">
        <v>5849</v>
      </c>
      <c r="L32" s="219"/>
      <c r="M32" s="109"/>
      <c r="N32" s="545"/>
    </row>
    <row r="33" spans="1:14" ht="15">
      <c r="A33" s="1903">
        <v>45006</v>
      </c>
      <c r="B33" s="1903" t="s">
        <v>2518</v>
      </c>
      <c r="C33" s="1903" t="s">
        <v>4403</v>
      </c>
      <c r="D33" s="1909" t="s">
        <v>4544</v>
      </c>
      <c r="E33" s="1923">
        <v>2394</v>
      </c>
      <c r="F33" s="1927">
        <v>0</v>
      </c>
      <c r="G33" s="611">
        <v>1827.1</v>
      </c>
      <c r="H33" s="1549">
        <v>45066</v>
      </c>
      <c r="I33" s="2211"/>
      <c r="J33" s="1920"/>
      <c r="K33" s="1957"/>
      <c r="L33" s="219"/>
      <c r="M33" s="109"/>
      <c r="N33" s="545"/>
    </row>
    <row r="34" spans="1:14" ht="15">
      <c r="A34" s="1905"/>
      <c r="B34" s="1905"/>
      <c r="C34" s="1905"/>
      <c r="D34" s="1911"/>
      <c r="E34" s="1924"/>
      <c r="F34" s="1928"/>
      <c r="G34" s="611">
        <f>2394-1827.1</f>
        <v>566.90000000000009</v>
      </c>
      <c r="H34" s="1579">
        <v>45066</v>
      </c>
      <c r="I34" s="2143">
        <v>1500</v>
      </c>
      <c r="J34" s="1903">
        <v>45142</v>
      </c>
      <c r="K34" s="1935" t="s">
        <v>6494</v>
      </c>
      <c r="L34" s="219"/>
      <c r="M34" s="109"/>
      <c r="N34" s="545"/>
    </row>
    <row r="35" spans="1:14" ht="15">
      <c r="A35" s="1903">
        <v>45007</v>
      </c>
      <c r="B35" s="1903" t="s">
        <v>2518</v>
      </c>
      <c r="C35" s="1903" t="s">
        <v>6390</v>
      </c>
      <c r="D35" s="1909" t="s">
        <v>4545</v>
      </c>
      <c r="E35" s="1923">
        <v>1386.5</v>
      </c>
      <c r="F35" s="1927">
        <v>0</v>
      </c>
      <c r="G35" s="611">
        <v>933.1</v>
      </c>
      <c r="H35" s="1785">
        <v>45067</v>
      </c>
      <c r="I35" s="2144"/>
      <c r="J35" s="1905"/>
      <c r="K35" s="1947"/>
      <c r="L35" s="219"/>
      <c r="M35" s="109"/>
      <c r="N35" s="545"/>
    </row>
    <row r="36" spans="1:14" ht="15">
      <c r="A36" s="1905"/>
      <c r="B36" s="1905"/>
      <c r="C36" s="1905"/>
      <c r="D36" s="1911"/>
      <c r="E36" s="1924"/>
      <c r="F36" s="1928"/>
      <c r="G36" s="611">
        <f>1386.5-933.1</f>
        <v>453.4</v>
      </c>
      <c r="H36" s="1785">
        <v>45067</v>
      </c>
      <c r="I36" s="2316">
        <v>0</v>
      </c>
      <c r="J36" s="1918">
        <v>45216</v>
      </c>
      <c r="K36" s="1968" t="s">
        <v>6388</v>
      </c>
      <c r="L36" s="219"/>
      <c r="M36" s="109"/>
      <c r="N36" s="545"/>
    </row>
    <row r="37" spans="1:14" ht="15">
      <c r="A37" s="1785">
        <v>45028.000497685185</v>
      </c>
      <c r="B37" s="1785" t="s">
        <v>2518</v>
      </c>
      <c r="C37" s="1785" t="s">
        <v>4403</v>
      </c>
      <c r="D37" s="1788" t="s">
        <v>4714</v>
      </c>
      <c r="E37" s="1792">
        <v>557.85</v>
      </c>
      <c r="F37" s="649">
        <v>117.15</v>
      </c>
      <c r="G37" s="611">
        <v>675</v>
      </c>
      <c r="H37" s="1785">
        <v>45088</v>
      </c>
      <c r="I37" s="2317"/>
      <c r="J37" s="1919"/>
      <c r="K37" s="1962"/>
      <c r="L37" s="219"/>
      <c r="M37" s="109"/>
      <c r="N37" s="545"/>
    </row>
    <row r="38" spans="1:14" ht="15">
      <c r="A38" s="1785">
        <v>45057</v>
      </c>
      <c r="B38" s="1785" t="s">
        <v>2518</v>
      </c>
      <c r="C38" s="1785" t="s">
        <v>4403</v>
      </c>
      <c r="D38" s="1788" t="s">
        <v>4972</v>
      </c>
      <c r="E38" s="1792">
        <v>387.45</v>
      </c>
      <c r="F38" s="649">
        <v>0</v>
      </c>
      <c r="G38" s="611">
        <v>387.45</v>
      </c>
      <c r="H38" s="1785">
        <v>45117</v>
      </c>
      <c r="I38" s="2317"/>
      <c r="J38" s="1919"/>
      <c r="K38" s="1962"/>
      <c r="L38" s="219"/>
      <c r="M38" s="109"/>
      <c r="N38" s="545"/>
    </row>
    <row r="39" spans="1:14" ht="15">
      <c r="A39" s="1785">
        <v>45127</v>
      </c>
      <c r="B39" s="1785" t="s">
        <v>5522</v>
      </c>
      <c r="C39" s="1785" t="s">
        <v>4403</v>
      </c>
      <c r="D39" s="1788" t="s">
        <v>5627</v>
      </c>
      <c r="E39" s="1792">
        <v>1838.25</v>
      </c>
      <c r="F39" s="649">
        <v>0</v>
      </c>
      <c r="G39" s="611">
        <v>1838.25</v>
      </c>
      <c r="H39" s="1785">
        <v>45187</v>
      </c>
      <c r="I39" s="2317"/>
      <c r="J39" s="1919"/>
      <c r="K39" s="1962"/>
      <c r="L39" s="219"/>
      <c r="M39" s="109"/>
      <c r="N39" s="545"/>
    </row>
    <row r="40" spans="1:14" ht="15">
      <c r="A40" s="1785">
        <v>45166</v>
      </c>
      <c r="B40" s="1785" t="s">
        <v>5522</v>
      </c>
      <c r="C40" s="1785" t="s">
        <v>4403</v>
      </c>
      <c r="D40" s="1788" t="s">
        <v>5947</v>
      </c>
      <c r="E40" s="1792">
        <v>-17.100000000000001</v>
      </c>
      <c r="F40" s="649">
        <v>0</v>
      </c>
      <c r="G40" s="611">
        <v>-17.100000000000001</v>
      </c>
      <c r="H40" s="1785" t="s">
        <v>1529</v>
      </c>
      <c r="I40" s="2317"/>
      <c r="J40" s="1919"/>
      <c r="K40" s="1962"/>
      <c r="L40" s="219"/>
      <c r="M40" s="109"/>
      <c r="N40" s="545"/>
    </row>
    <row r="41" spans="1:14" ht="15">
      <c r="A41" s="1785">
        <v>45194</v>
      </c>
      <c r="B41" s="1785" t="s">
        <v>5522</v>
      </c>
      <c r="C41" s="1785" t="s">
        <v>4403</v>
      </c>
      <c r="D41" s="1788" t="s">
        <v>6155</v>
      </c>
      <c r="E41" s="1792">
        <v>-162.68</v>
      </c>
      <c r="F41" s="649">
        <v>0</v>
      </c>
      <c r="G41" s="611">
        <v>-162.68</v>
      </c>
      <c r="H41" s="1785"/>
      <c r="I41" s="2317"/>
      <c r="J41" s="1919"/>
      <c r="K41" s="1962"/>
      <c r="L41" s="219"/>
      <c r="M41" s="109"/>
      <c r="N41" s="545"/>
    </row>
    <row r="42" spans="1:14" ht="15">
      <c r="A42" s="1785">
        <v>45194</v>
      </c>
      <c r="B42" s="1785" t="s">
        <v>5522</v>
      </c>
      <c r="C42" s="1785" t="s">
        <v>4403</v>
      </c>
      <c r="D42" s="1788" t="s">
        <v>6156</v>
      </c>
      <c r="E42" s="1792">
        <v>-10.8</v>
      </c>
      <c r="F42" s="649">
        <v>0</v>
      </c>
      <c r="G42" s="611">
        <v>-10.8</v>
      </c>
      <c r="H42" s="1785"/>
      <c r="I42" s="2317"/>
      <c r="J42" s="1919"/>
      <c r="K42" s="1962"/>
      <c r="L42" s="219"/>
      <c r="M42" s="109"/>
      <c r="N42" s="545"/>
    </row>
    <row r="43" spans="1:14" ht="15">
      <c r="A43" s="1785">
        <v>45194</v>
      </c>
      <c r="B43" s="1785" t="s">
        <v>5522</v>
      </c>
      <c r="C43" s="1785" t="s">
        <v>4403</v>
      </c>
      <c r="D43" s="1788" t="s">
        <v>6157</v>
      </c>
      <c r="E43" s="1792">
        <v>-292.95</v>
      </c>
      <c r="F43" s="649">
        <v>0</v>
      </c>
      <c r="G43" s="611">
        <v>-292.95</v>
      </c>
      <c r="H43" s="1785"/>
      <c r="I43" s="2317"/>
      <c r="J43" s="1919"/>
      <c r="K43" s="1962"/>
      <c r="L43" s="219"/>
      <c r="M43" s="109"/>
      <c r="N43" s="545"/>
    </row>
    <row r="44" spans="1:14" ht="15">
      <c r="A44" s="1785">
        <v>45194</v>
      </c>
      <c r="B44" s="1785" t="s">
        <v>5522</v>
      </c>
      <c r="C44" s="1785" t="s">
        <v>4403</v>
      </c>
      <c r="D44" s="1788" t="s">
        <v>6158</v>
      </c>
      <c r="E44" s="1792">
        <v>-167.4</v>
      </c>
      <c r="F44" s="649">
        <v>0</v>
      </c>
      <c r="G44" s="611">
        <v>-167.4</v>
      </c>
      <c r="H44" s="1785"/>
      <c r="I44" s="2317"/>
      <c r="J44" s="1919"/>
      <c r="K44" s="1962"/>
      <c r="L44" s="219"/>
      <c r="M44" s="109"/>
      <c r="N44" s="545"/>
    </row>
    <row r="45" spans="1:14" ht="15">
      <c r="A45" s="1785">
        <v>45194</v>
      </c>
      <c r="B45" s="1785" t="s">
        <v>5522</v>
      </c>
      <c r="C45" s="1785" t="s">
        <v>4403</v>
      </c>
      <c r="D45" s="1788" t="s">
        <v>6159</v>
      </c>
      <c r="E45" s="1792">
        <v>-76.5</v>
      </c>
      <c r="F45" s="649">
        <v>0</v>
      </c>
      <c r="G45" s="611">
        <v>-76.5</v>
      </c>
      <c r="H45" s="1785"/>
      <c r="I45" s="2317"/>
      <c r="J45" s="1919"/>
      <c r="K45" s="1962"/>
      <c r="L45" s="219"/>
      <c r="M45" s="109"/>
      <c r="N45" s="545"/>
    </row>
    <row r="46" spans="1:14" ht="15">
      <c r="A46" s="1785">
        <v>45194</v>
      </c>
      <c r="B46" s="1785" t="s">
        <v>5522</v>
      </c>
      <c r="C46" s="1785" t="s">
        <v>4403</v>
      </c>
      <c r="D46" s="1788" t="s">
        <v>6160</v>
      </c>
      <c r="E46" s="1792">
        <v>-172.8</v>
      </c>
      <c r="F46" s="649">
        <v>0</v>
      </c>
      <c r="G46" s="611">
        <v>-172.8</v>
      </c>
      <c r="H46" s="1785"/>
      <c r="I46" s="2317"/>
      <c r="J46" s="1919"/>
      <c r="K46" s="1962"/>
      <c r="L46" s="219"/>
      <c r="M46" s="109"/>
      <c r="N46" s="545"/>
    </row>
    <row r="47" spans="1:14" ht="15">
      <c r="A47" s="1785">
        <v>45194</v>
      </c>
      <c r="B47" s="1785" t="s">
        <v>5522</v>
      </c>
      <c r="C47" s="1785" t="s">
        <v>4403</v>
      </c>
      <c r="D47" s="1788" t="s">
        <v>6161</v>
      </c>
      <c r="E47" s="1792">
        <v>-213.52</v>
      </c>
      <c r="F47" s="649">
        <v>0</v>
      </c>
      <c r="G47" s="611">
        <v>-213.53</v>
      </c>
      <c r="H47" s="1785"/>
      <c r="I47" s="2317"/>
      <c r="J47" s="1919"/>
      <c r="K47" s="1962"/>
      <c r="L47" s="219"/>
      <c r="M47" s="109"/>
      <c r="N47" s="545"/>
    </row>
    <row r="48" spans="1:14" ht="15">
      <c r="A48" s="1785">
        <v>45194</v>
      </c>
      <c r="B48" s="1785" t="s">
        <v>5522</v>
      </c>
      <c r="C48" s="1785" t="s">
        <v>4403</v>
      </c>
      <c r="D48" s="1788" t="s">
        <v>6162</v>
      </c>
      <c r="E48" s="1792">
        <v>-76.5</v>
      </c>
      <c r="F48" s="649">
        <v>0</v>
      </c>
      <c r="G48" s="611">
        <v>-76.5</v>
      </c>
      <c r="H48" s="1785"/>
      <c r="I48" s="2317"/>
      <c r="J48" s="1919"/>
      <c r="K48" s="1962"/>
      <c r="L48" s="219"/>
      <c r="M48" s="109"/>
      <c r="N48" s="545"/>
    </row>
    <row r="49" spans="1:14" ht="15">
      <c r="A49" s="1785">
        <v>45194</v>
      </c>
      <c r="B49" s="1785" t="s">
        <v>5522</v>
      </c>
      <c r="C49" s="1785" t="s">
        <v>4403</v>
      </c>
      <c r="D49" s="1788" t="s">
        <v>6163</v>
      </c>
      <c r="E49" s="1792">
        <v>-24.3</v>
      </c>
      <c r="F49" s="649">
        <v>0</v>
      </c>
      <c r="G49" s="611">
        <v>-24.3</v>
      </c>
      <c r="H49" s="1785"/>
      <c r="I49" s="2317"/>
      <c r="J49" s="1919"/>
      <c r="K49" s="1962"/>
      <c r="L49" s="219"/>
      <c r="M49" s="109"/>
      <c r="N49" s="545"/>
    </row>
    <row r="50" spans="1:14" ht="15">
      <c r="A50" s="1785">
        <v>45194</v>
      </c>
      <c r="B50" s="1785" t="s">
        <v>5522</v>
      </c>
      <c r="C50" s="1785" t="s">
        <v>4403</v>
      </c>
      <c r="D50" s="1788" t="s">
        <v>6164</v>
      </c>
      <c r="E50" s="1792">
        <v>-76.5</v>
      </c>
      <c r="F50" s="649">
        <v>0</v>
      </c>
      <c r="G50" s="611">
        <v>-76.5</v>
      </c>
      <c r="H50" s="1785"/>
      <c r="I50" s="2317"/>
      <c r="J50" s="1919"/>
      <c r="K50" s="1962"/>
      <c r="L50" s="219"/>
      <c r="M50" s="109"/>
      <c r="N50" s="545"/>
    </row>
    <row r="51" spans="1:14" ht="15">
      <c r="A51" s="1785">
        <v>45194</v>
      </c>
      <c r="B51" s="1785" t="s">
        <v>5522</v>
      </c>
      <c r="C51" s="1785" t="s">
        <v>4403</v>
      </c>
      <c r="D51" s="1788" t="s">
        <v>6165</v>
      </c>
      <c r="E51" s="1792">
        <v>-36</v>
      </c>
      <c r="F51" s="649">
        <v>0</v>
      </c>
      <c r="G51" s="611">
        <v>-36</v>
      </c>
      <c r="H51" s="1785"/>
      <c r="I51" s="2317"/>
      <c r="J51" s="1919"/>
      <c r="K51" s="1962"/>
      <c r="L51" s="219"/>
      <c r="M51" s="109"/>
      <c r="N51" s="545"/>
    </row>
    <row r="52" spans="1:14" ht="15">
      <c r="A52" s="1785">
        <v>45194</v>
      </c>
      <c r="B52" s="1785" t="s">
        <v>5522</v>
      </c>
      <c r="C52" s="1785" t="s">
        <v>4403</v>
      </c>
      <c r="D52" s="1788" t="s">
        <v>6166</v>
      </c>
      <c r="E52" s="1792">
        <v>-252.15</v>
      </c>
      <c r="F52" s="649">
        <v>0</v>
      </c>
      <c r="G52" s="611">
        <v>-252.15</v>
      </c>
      <c r="H52" s="1785"/>
      <c r="I52" s="2317"/>
      <c r="J52" s="1919"/>
      <c r="K52" s="1962"/>
      <c r="L52" s="219"/>
      <c r="M52" s="109"/>
      <c r="N52" s="545"/>
    </row>
    <row r="53" spans="1:14" ht="15">
      <c r="A53" s="1785">
        <v>45194</v>
      </c>
      <c r="B53" s="1785" t="s">
        <v>5522</v>
      </c>
      <c r="C53" s="1785" t="s">
        <v>4403</v>
      </c>
      <c r="D53" s="1788" t="s">
        <v>6167</v>
      </c>
      <c r="E53" s="1792">
        <v>-139.05000000000001</v>
      </c>
      <c r="F53" s="649">
        <v>0</v>
      </c>
      <c r="G53" s="611">
        <v>-139.05000000000001</v>
      </c>
      <c r="H53" s="1785"/>
      <c r="I53" s="2317"/>
      <c r="J53" s="1919"/>
      <c r="K53" s="1962"/>
      <c r="L53" s="219"/>
      <c r="M53" s="109"/>
      <c r="N53" s="545"/>
    </row>
    <row r="54" spans="1:14" ht="15">
      <c r="A54" s="1785">
        <v>45194</v>
      </c>
      <c r="B54" s="1785" t="s">
        <v>5522</v>
      </c>
      <c r="C54" s="1785" t="s">
        <v>4403</v>
      </c>
      <c r="D54" s="1788" t="s">
        <v>6168</v>
      </c>
      <c r="E54" s="1792">
        <v>-258.97000000000003</v>
      </c>
      <c r="F54" s="649">
        <v>0</v>
      </c>
      <c r="G54" s="611">
        <v>-258.98</v>
      </c>
      <c r="H54" s="1785"/>
      <c r="I54" s="2317"/>
      <c r="J54" s="1919"/>
      <c r="K54" s="1962"/>
      <c r="L54" s="219"/>
      <c r="M54" s="109"/>
      <c r="N54" s="545"/>
    </row>
    <row r="55" spans="1:14" ht="15">
      <c r="A55" s="1785">
        <v>45194</v>
      </c>
      <c r="B55" s="1785" t="s">
        <v>5522</v>
      </c>
      <c r="C55" s="1785" t="s">
        <v>4403</v>
      </c>
      <c r="D55" s="1788" t="s">
        <v>6169</v>
      </c>
      <c r="E55" s="1792">
        <v>-504.68</v>
      </c>
      <c r="F55" s="649">
        <v>0</v>
      </c>
      <c r="G55" s="611">
        <v>-504.68</v>
      </c>
      <c r="H55" s="1785"/>
      <c r="I55" s="2317"/>
      <c r="J55" s="1919"/>
      <c r="K55" s="1962"/>
      <c r="L55" s="219"/>
      <c r="M55" s="109"/>
      <c r="N55" s="545"/>
    </row>
    <row r="56" spans="1:14" ht="15">
      <c r="A56" s="1785">
        <v>45194</v>
      </c>
      <c r="B56" s="1785" t="s">
        <v>5522</v>
      </c>
      <c r="C56" s="1785" t="s">
        <v>4403</v>
      </c>
      <c r="D56" s="1788" t="s">
        <v>6170</v>
      </c>
      <c r="E56" s="1792">
        <v>-19.350000000000001</v>
      </c>
      <c r="F56" s="649">
        <v>0</v>
      </c>
      <c r="G56" s="611">
        <v>-19.350000000000001</v>
      </c>
      <c r="H56" s="1785"/>
      <c r="I56" s="2317"/>
      <c r="J56" s="1919"/>
      <c r="K56" s="1962"/>
      <c r="L56" s="219"/>
      <c r="M56" s="109"/>
      <c r="N56" s="545"/>
    </row>
    <row r="57" spans="1:14" ht="15">
      <c r="A57" s="1785">
        <v>45194</v>
      </c>
      <c r="B57" s="1785" t="s">
        <v>5522</v>
      </c>
      <c r="C57" s="1785" t="s">
        <v>4403</v>
      </c>
      <c r="D57" s="1788" t="s">
        <v>6171</v>
      </c>
      <c r="E57" s="1792">
        <v>-100.35</v>
      </c>
      <c r="F57" s="649">
        <v>0</v>
      </c>
      <c r="G57" s="611">
        <v>-100.35</v>
      </c>
      <c r="H57" s="1785"/>
      <c r="I57" s="2317"/>
      <c r="J57" s="1919"/>
      <c r="K57" s="1962"/>
      <c r="L57" s="219"/>
      <c r="M57" s="109"/>
      <c r="N57" s="545"/>
    </row>
    <row r="58" spans="1:14" ht="15">
      <c r="A58" s="1785">
        <v>45194</v>
      </c>
      <c r="B58" s="1785" t="s">
        <v>5522</v>
      </c>
      <c r="C58" s="1785" t="s">
        <v>4403</v>
      </c>
      <c r="D58" s="1788" t="s">
        <v>6172</v>
      </c>
      <c r="E58" s="1792">
        <v>-295.88</v>
      </c>
      <c r="F58" s="649">
        <v>0</v>
      </c>
      <c r="G58" s="611">
        <v>-295.88</v>
      </c>
      <c r="H58" s="1785"/>
      <c r="I58" s="2317"/>
      <c r="J58" s="1919"/>
      <c r="K58" s="1962"/>
      <c r="L58" s="219"/>
      <c r="M58" s="109"/>
      <c r="N58" s="545"/>
    </row>
    <row r="59" spans="1:14" ht="15">
      <c r="A59" s="1785">
        <v>45194</v>
      </c>
      <c r="B59" s="1785" t="s">
        <v>5522</v>
      </c>
      <c r="C59" s="1785" t="s">
        <v>4403</v>
      </c>
      <c r="D59" s="1788" t="s">
        <v>6173</v>
      </c>
      <c r="E59" s="1792">
        <v>-389.05</v>
      </c>
      <c r="F59" s="649">
        <v>0</v>
      </c>
      <c r="G59" s="611">
        <v>-389.05</v>
      </c>
      <c r="H59" s="1785"/>
      <c r="I59" s="2317"/>
      <c r="J59" s="1919"/>
      <c r="K59" s="1962"/>
      <c r="L59" s="219"/>
      <c r="M59" s="109"/>
      <c r="N59" s="545"/>
    </row>
    <row r="60" spans="1:14" ht="15">
      <c r="A60" s="1785">
        <v>45194</v>
      </c>
      <c r="B60" s="1785" t="s">
        <v>5522</v>
      </c>
      <c r="C60" s="1785" t="s">
        <v>4403</v>
      </c>
      <c r="D60" s="1788" t="s">
        <v>6174</v>
      </c>
      <c r="E60" s="1792">
        <v>-239.4</v>
      </c>
      <c r="F60" s="649">
        <v>0</v>
      </c>
      <c r="G60" s="611">
        <v>-239.4</v>
      </c>
      <c r="H60" s="1785"/>
      <c r="I60" s="2317"/>
      <c r="J60" s="1919"/>
      <c r="K60" s="1962"/>
      <c r="L60" s="219"/>
      <c r="M60" s="109"/>
      <c r="N60" s="545"/>
    </row>
    <row r="61" spans="1:14" ht="15">
      <c r="A61" s="1785">
        <v>45194</v>
      </c>
      <c r="B61" s="1785" t="s">
        <v>5522</v>
      </c>
      <c r="C61" s="1785" t="s">
        <v>4403</v>
      </c>
      <c r="D61" s="1788" t="s">
        <v>6175</v>
      </c>
      <c r="E61" s="1792">
        <v>-55.79</v>
      </c>
      <c r="F61" s="649">
        <v>-11.72</v>
      </c>
      <c r="G61" s="611">
        <v>-67.5</v>
      </c>
      <c r="H61" s="1785"/>
      <c r="I61" s="2317"/>
      <c r="J61" s="1919"/>
      <c r="K61" s="1962"/>
      <c r="L61" s="219"/>
      <c r="M61" s="109"/>
      <c r="N61" s="545"/>
    </row>
    <row r="62" spans="1:14" ht="15">
      <c r="A62" s="1785">
        <v>45194</v>
      </c>
      <c r="B62" s="1785" t="s">
        <v>5522</v>
      </c>
      <c r="C62" s="1785" t="s">
        <v>4403</v>
      </c>
      <c r="D62" s="1788" t="s">
        <v>6176</v>
      </c>
      <c r="E62" s="1792">
        <v>-32.909999999999997</v>
      </c>
      <c r="F62" s="649">
        <v>-6.91</v>
      </c>
      <c r="G62" s="611">
        <v>-39.83</v>
      </c>
      <c r="H62" s="1785"/>
      <c r="I62" s="2317"/>
      <c r="J62" s="1919"/>
      <c r="K62" s="1962"/>
      <c r="L62" s="219"/>
      <c r="M62" s="109"/>
      <c r="N62" s="545"/>
    </row>
    <row r="63" spans="1:14" ht="15">
      <c r="A63" s="1785">
        <v>45194</v>
      </c>
      <c r="B63" s="1785" t="s">
        <v>5522</v>
      </c>
      <c r="C63" s="1785" t="s">
        <v>4403</v>
      </c>
      <c r="D63" s="1788" t="s">
        <v>6177</v>
      </c>
      <c r="E63" s="1792">
        <v>-12.4</v>
      </c>
      <c r="F63" s="649">
        <v>-2.6</v>
      </c>
      <c r="G63" s="611">
        <v>-15</v>
      </c>
      <c r="H63" s="1785"/>
      <c r="I63" s="2317"/>
      <c r="J63" s="1919"/>
      <c r="K63" s="1962"/>
      <c r="L63" s="219"/>
      <c r="M63" s="109"/>
      <c r="N63" s="545"/>
    </row>
    <row r="64" spans="1:14" ht="15">
      <c r="A64" s="1785">
        <v>45194</v>
      </c>
      <c r="B64" s="1785" t="s">
        <v>5522</v>
      </c>
      <c r="C64" s="1785" t="s">
        <v>4403</v>
      </c>
      <c r="D64" s="1788" t="s">
        <v>6178</v>
      </c>
      <c r="E64" s="1792">
        <v>-59.13</v>
      </c>
      <c r="F64" s="649">
        <v>-12.42</v>
      </c>
      <c r="G64" s="611">
        <v>-71.55</v>
      </c>
      <c r="H64" s="1785"/>
      <c r="I64" s="2317"/>
      <c r="J64" s="1919"/>
      <c r="K64" s="1962"/>
      <c r="L64" s="219"/>
      <c r="M64" s="109"/>
      <c r="N64" s="545"/>
    </row>
    <row r="65" spans="1:14" ht="15">
      <c r="A65" s="1941">
        <v>45159</v>
      </c>
      <c r="B65" s="1941" t="s">
        <v>5522</v>
      </c>
      <c r="C65" s="1941" t="s">
        <v>6389</v>
      </c>
      <c r="D65" s="1954" t="s">
        <v>5908</v>
      </c>
      <c r="E65" s="1945">
        <v>5541.53</v>
      </c>
      <c r="F65" s="1969">
        <v>0</v>
      </c>
      <c r="G65" s="611">
        <v>365.73</v>
      </c>
      <c r="H65" s="1785">
        <v>45219</v>
      </c>
      <c r="I65" s="2318"/>
      <c r="J65" s="1920"/>
      <c r="K65" s="1957"/>
      <c r="L65" s="219"/>
      <c r="M65" s="109"/>
      <c r="N65" s="545"/>
    </row>
    <row r="66" spans="1:14" ht="15">
      <c r="A66" s="1967"/>
      <c r="B66" s="1967"/>
      <c r="C66" s="1967"/>
      <c r="D66" s="1973"/>
      <c r="E66" s="1972"/>
      <c r="F66" s="1970"/>
      <c r="G66" s="611">
        <v>2000</v>
      </c>
      <c r="H66" s="1820">
        <v>45219</v>
      </c>
      <c r="I66" s="1824">
        <v>2000</v>
      </c>
      <c r="J66" s="1814">
        <v>45230</v>
      </c>
      <c r="K66" s="1816" t="s">
        <v>6491</v>
      </c>
      <c r="L66" s="219"/>
      <c r="M66" s="109"/>
      <c r="N66" s="545"/>
    </row>
    <row r="67" spans="1:14" ht="15">
      <c r="A67" s="1942"/>
      <c r="B67" s="1942"/>
      <c r="C67" s="1942"/>
      <c r="D67" s="1955"/>
      <c r="E67" s="1946"/>
      <c r="F67" s="1971"/>
      <c r="G67" s="605">
        <f>5541.53-G65-G66</f>
        <v>3175.7999999999993</v>
      </c>
      <c r="H67" s="623">
        <v>45219</v>
      </c>
      <c r="I67" s="1789"/>
      <c r="J67" s="1780"/>
      <c r="K67" s="226"/>
      <c r="L67" s="219"/>
      <c r="M67" s="109"/>
      <c r="N67" s="545"/>
    </row>
    <row r="68" spans="1:14" ht="15">
      <c r="A68" s="1484">
        <v>45063</v>
      </c>
      <c r="B68" s="1484" t="s">
        <v>2518</v>
      </c>
      <c r="C68" s="1484" t="s">
        <v>4403</v>
      </c>
      <c r="D68" s="1486" t="s">
        <v>5091</v>
      </c>
      <c r="E68" s="1488">
        <v>-7.35</v>
      </c>
      <c r="F68" s="649">
        <v>0</v>
      </c>
      <c r="G68" s="611">
        <v>-7.35</v>
      </c>
      <c r="H68" s="623"/>
      <c r="I68" s="2210">
        <v>-133.65</v>
      </c>
      <c r="J68" s="1918">
        <v>45096</v>
      </c>
      <c r="K68" s="1956" t="s">
        <v>5453</v>
      </c>
      <c r="L68" s="219"/>
      <c r="M68" s="109"/>
      <c r="N68" s="545"/>
    </row>
    <row r="69" spans="1:14" ht="15">
      <c r="A69" s="1484">
        <v>45063</v>
      </c>
      <c r="B69" s="1484" t="s">
        <v>2518</v>
      </c>
      <c r="C69" s="1484" t="s">
        <v>4403</v>
      </c>
      <c r="D69" s="1486" t="s">
        <v>5092</v>
      </c>
      <c r="E69" s="1488">
        <v>-24.3</v>
      </c>
      <c r="F69" s="649">
        <v>0</v>
      </c>
      <c r="G69" s="611">
        <v>-24.3</v>
      </c>
      <c r="H69" s="623"/>
      <c r="I69" s="2212"/>
      <c r="J69" s="1919"/>
      <c r="K69" s="1962"/>
      <c r="L69" s="219"/>
      <c r="M69" s="109"/>
      <c r="N69" s="545"/>
    </row>
    <row r="70" spans="1:14" ht="15">
      <c r="A70" s="1484">
        <v>45063</v>
      </c>
      <c r="B70" s="1484" t="s">
        <v>2518</v>
      </c>
      <c r="C70" s="1484" t="s">
        <v>4403</v>
      </c>
      <c r="D70" s="1486" t="s">
        <v>5093</v>
      </c>
      <c r="E70" s="1488">
        <v>-56.25</v>
      </c>
      <c r="F70" s="649">
        <v>0</v>
      </c>
      <c r="G70" s="611">
        <v>-56.25</v>
      </c>
      <c r="H70" s="623"/>
      <c r="I70" s="2212"/>
      <c r="J70" s="1919"/>
      <c r="K70" s="1962"/>
      <c r="L70" s="219"/>
      <c r="M70" s="109"/>
      <c r="N70" s="545"/>
    </row>
    <row r="71" spans="1:14" ht="15">
      <c r="A71" s="1484">
        <v>45063</v>
      </c>
      <c r="B71" s="1484" t="s">
        <v>2518</v>
      </c>
      <c r="C71" s="1484" t="s">
        <v>4403</v>
      </c>
      <c r="D71" s="1486" t="s">
        <v>5100</v>
      </c>
      <c r="E71" s="1488">
        <v>-1.83</v>
      </c>
      <c r="F71" s="649">
        <v>-0.38</v>
      </c>
      <c r="G71" s="611">
        <v>-2.21</v>
      </c>
      <c r="H71" s="623"/>
      <c r="I71" s="2212"/>
      <c r="J71" s="1919"/>
      <c r="K71" s="1962"/>
      <c r="L71" s="219"/>
      <c r="M71" s="109"/>
      <c r="N71" s="545"/>
    </row>
    <row r="72" spans="1:14" ht="15">
      <c r="A72" s="1484">
        <v>45063</v>
      </c>
      <c r="B72" s="1484" t="s">
        <v>2518</v>
      </c>
      <c r="C72" s="1484" t="s">
        <v>4403</v>
      </c>
      <c r="D72" s="1486" t="s">
        <v>5101</v>
      </c>
      <c r="E72" s="1488">
        <v>-18.600000000000001</v>
      </c>
      <c r="F72" s="649">
        <v>-3.91</v>
      </c>
      <c r="G72" s="611">
        <v>-22.5</v>
      </c>
      <c r="H72" s="623"/>
      <c r="I72" s="2212"/>
      <c r="J72" s="1919"/>
      <c r="K72" s="1962"/>
      <c r="L72" s="219"/>
      <c r="M72" s="109"/>
      <c r="N72" s="545"/>
    </row>
    <row r="73" spans="1:14" ht="15">
      <c r="A73" s="1484">
        <v>45063</v>
      </c>
      <c r="B73" s="1484" t="s">
        <v>2518</v>
      </c>
      <c r="C73" s="1484" t="s">
        <v>4403</v>
      </c>
      <c r="D73" s="1486" t="s">
        <v>5102</v>
      </c>
      <c r="E73" s="1488">
        <v>-17.39</v>
      </c>
      <c r="F73" s="649">
        <v>-3.65</v>
      </c>
      <c r="G73" s="611">
        <v>-21.04</v>
      </c>
      <c r="H73" s="623"/>
      <c r="I73" s="2211"/>
      <c r="J73" s="1920"/>
      <c r="K73" s="1957"/>
      <c r="L73" s="219"/>
      <c r="M73" s="109"/>
      <c r="N73" s="545"/>
    </row>
    <row r="74" spans="1:14" ht="15">
      <c r="A74" s="1484">
        <v>45063</v>
      </c>
      <c r="B74" s="1484" t="s">
        <v>2518</v>
      </c>
      <c r="C74" s="1484" t="s">
        <v>4403</v>
      </c>
      <c r="D74" s="1486" t="s">
        <v>5094</v>
      </c>
      <c r="E74" s="1488">
        <v>-229.5</v>
      </c>
      <c r="F74" s="649">
        <v>0</v>
      </c>
      <c r="G74" s="611">
        <v>-229.5</v>
      </c>
      <c r="H74" s="623"/>
      <c r="I74" s="2210">
        <v>-3588.7</v>
      </c>
      <c r="J74" s="1918">
        <v>45096</v>
      </c>
      <c r="K74" s="1956" t="s">
        <v>5456</v>
      </c>
      <c r="L74" s="219"/>
      <c r="M74" s="109"/>
      <c r="N74" s="545"/>
    </row>
    <row r="75" spans="1:14" ht="15">
      <c r="A75" s="1484">
        <v>45063</v>
      </c>
      <c r="B75" s="1484" t="s">
        <v>2518</v>
      </c>
      <c r="C75" s="1484" t="s">
        <v>4403</v>
      </c>
      <c r="D75" s="1486" t="s">
        <v>5095</v>
      </c>
      <c r="E75" s="1488">
        <v>-868.39</v>
      </c>
      <c r="F75" s="649">
        <v>0</v>
      </c>
      <c r="G75" s="611">
        <v>-868.39</v>
      </c>
      <c r="H75" s="623"/>
      <c r="I75" s="2212"/>
      <c r="J75" s="1919"/>
      <c r="K75" s="1962"/>
      <c r="L75" s="219"/>
      <c r="M75" s="109"/>
      <c r="N75" s="545"/>
    </row>
    <row r="76" spans="1:14" ht="15">
      <c r="A76" s="1484">
        <v>45063</v>
      </c>
      <c r="B76" s="1484" t="s">
        <v>2518</v>
      </c>
      <c r="C76" s="1484" t="s">
        <v>4403</v>
      </c>
      <c r="D76" s="1486" t="s">
        <v>5096</v>
      </c>
      <c r="E76" s="1488">
        <v>-604.13</v>
      </c>
      <c r="F76" s="649">
        <v>0</v>
      </c>
      <c r="G76" s="611">
        <v>-604.13</v>
      </c>
      <c r="H76" s="623"/>
      <c r="I76" s="2212"/>
      <c r="J76" s="1919"/>
      <c r="K76" s="1962"/>
      <c r="L76" s="219"/>
      <c r="M76" s="109"/>
      <c r="N76" s="545"/>
    </row>
    <row r="77" spans="1:14" ht="15">
      <c r="A77" s="1484">
        <v>45063</v>
      </c>
      <c r="B77" s="1484" t="s">
        <v>2518</v>
      </c>
      <c r="C77" s="1484" t="s">
        <v>4403</v>
      </c>
      <c r="D77" s="1486" t="s">
        <v>5097</v>
      </c>
      <c r="E77" s="1488">
        <v>-1338.92</v>
      </c>
      <c r="F77" s="649">
        <v>0</v>
      </c>
      <c r="G77" s="611">
        <v>-1338.93</v>
      </c>
      <c r="H77" s="623"/>
      <c r="I77" s="2212"/>
      <c r="J77" s="1919"/>
      <c r="K77" s="1962"/>
      <c r="L77" s="219"/>
      <c r="M77" s="109"/>
      <c r="N77" s="545"/>
    </row>
    <row r="78" spans="1:14" ht="15">
      <c r="A78" s="1484">
        <v>45063</v>
      </c>
      <c r="B78" s="1484" t="s">
        <v>2518</v>
      </c>
      <c r="C78" s="1484" t="s">
        <v>4403</v>
      </c>
      <c r="D78" s="1486" t="s">
        <v>5098</v>
      </c>
      <c r="E78" s="1488">
        <v>-234.98</v>
      </c>
      <c r="F78" s="649">
        <v>0</v>
      </c>
      <c r="G78" s="611">
        <v>-234.98</v>
      </c>
      <c r="H78" s="623"/>
      <c r="I78" s="2212"/>
      <c r="J78" s="1919"/>
      <c r="K78" s="1962"/>
      <c r="L78" s="219"/>
      <c r="M78" s="109"/>
      <c r="N78" s="545"/>
    </row>
    <row r="79" spans="1:14" ht="15">
      <c r="A79" s="1484">
        <v>45063</v>
      </c>
      <c r="B79" s="1484" t="s">
        <v>2518</v>
      </c>
      <c r="C79" s="1484" t="s">
        <v>4403</v>
      </c>
      <c r="D79" s="1486" t="s">
        <v>5099</v>
      </c>
      <c r="E79" s="1488">
        <v>-312.77</v>
      </c>
      <c r="F79" s="649">
        <v>0</v>
      </c>
      <c r="G79" s="611">
        <v>-312.77</v>
      </c>
      <c r="H79" s="623"/>
      <c r="I79" s="2211"/>
      <c r="J79" s="1920"/>
      <c r="K79" s="1957"/>
      <c r="L79" s="219"/>
      <c r="M79" s="109"/>
      <c r="N79" s="545"/>
    </row>
    <row r="80" spans="1:14" ht="15">
      <c r="A80" s="623">
        <v>45029.000497685185</v>
      </c>
      <c r="B80" s="623" t="s">
        <v>2518</v>
      </c>
      <c r="C80" s="623" t="s">
        <v>4403</v>
      </c>
      <c r="D80" s="624" t="s">
        <v>4715</v>
      </c>
      <c r="E80" s="603">
        <v>1020.12</v>
      </c>
      <c r="F80" s="644">
        <v>214.23</v>
      </c>
      <c r="G80" s="605">
        <v>1234.3499999999999</v>
      </c>
      <c r="H80" s="623">
        <v>45089</v>
      </c>
      <c r="I80" s="864"/>
      <c r="J80" s="857"/>
      <c r="K80" s="226"/>
      <c r="L80" s="219"/>
      <c r="M80" s="109"/>
      <c r="N80" s="545"/>
    </row>
    <row r="81" spans="1:13" ht="15">
      <c r="A81" s="623">
        <v>45190</v>
      </c>
      <c r="B81" s="623" t="s">
        <v>5522</v>
      </c>
      <c r="C81" s="623" t="s">
        <v>4403</v>
      </c>
      <c r="D81" s="624" t="s">
        <v>6087</v>
      </c>
      <c r="E81" s="603">
        <v>4116.83</v>
      </c>
      <c r="F81" s="644">
        <v>0</v>
      </c>
      <c r="G81" s="605">
        <v>4116.83</v>
      </c>
      <c r="H81" s="623">
        <v>45249</v>
      </c>
      <c r="I81" s="1650"/>
      <c r="J81" s="1641"/>
      <c r="K81" s="226"/>
      <c r="L81" s="219"/>
      <c r="M81" s="109"/>
    </row>
    <row r="82" spans="1:13" ht="15">
      <c r="A82" s="623">
        <v>45230</v>
      </c>
      <c r="B82" s="623" t="s">
        <v>5522</v>
      </c>
      <c r="C82" s="623" t="s">
        <v>4403</v>
      </c>
      <c r="D82" s="624" t="s">
        <v>6466</v>
      </c>
      <c r="E82" s="603">
        <v>1074.1500000000001</v>
      </c>
      <c r="F82" s="644">
        <v>0</v>
      </c>
      <c r="G82" s="605">
        <v>1074.1500000000001</v>
      </c>
      <c r="H82" s="623">
        <v>45290</v>
      </c>
      <c r="I82" s="1650"/>
      <c r="J82" s="1641"/>
      <c r="K82" s="226"/>
      <c r="L82" s="219"/>
    </row>
    <row r="83" spans="1:13" ht="15">
      <c r="A83" s="623">
        <v>45233</v>
      </c>
      <c r="B83" s="623" t="s">
        <v>5522</v>
      </c>
      <c r="C83" s="623" t="s">
        <v>4403</v>
      </c>
      <c r="D83" s="624" t="s">
        <v>6467</v>
      </c>
      <c r="E83" s="603">
        <v>705.6</v>
      </c>
      <c r="F83" s="644">
        <v>0</v>
      </c>
      <c r="G83" s="605">
        <v>705.6</v>
      </c>
      <c r="H83" s="623">
        <v>45293</v>
      </c>
      <c r="I83" s="1409"/>
      <c r="J83" s="1394"/>
      <c r="K83" s="226"/>
      <c r="L83" s="219"/>
    </row>
    <row r="84" spans="1:13" ht="15">
      <c r="A84" s="623"/>
      <c r="B84" s="623"/>
      <c r="C84" s="623"/>
      <c r="D84" s="624"/>
      <c r="E84" s="603"/>
      <c r="F84" s="644"/>
      <c r="G84" s="605"/>
      <c r="H84" s="623"/>
      <c r="I84" s="1409"/>
      <c r="J84" s="1394"/>
      <c r="K84" s="226"/>
      <c r="L84" s="219"/>
    </row>
    <row r="85" spans="1:13" ht="15">
      <c r="A85" s="623"/>
      <c r="B85" s="623"/>
      <c r="C85" s="623"/>
      <c r="D85" s="624"/>
      <c r="E85" s="603"/>
      <c r="F85" s="644"/>
      <c r="G85" s="605"/>
      <c r="H85" s="623"/>
      <c r="I85" s="1409"/>
      <c r="J85" s="1394"/>
      <c r="K85" s="226"/>
      <c r="L85" s="219"/>
    </row>
    <row r="86" spans="1:13" ht="15">
      <c r="A86" s="623"/>
      <c r="B86" s="623"/>
      <c r="C86" s="623"/>
      <c r="D86" s="624"/>
      <c r="E86" s="603"/>
      <c r="F86" s="644"/>
      <c r="G86" s="605"/>
      <c r="H86" s="623"/>
      <c r="I86" s="1299"/>
      <c r="J86" s="1289"/>
      <c r="K86" s="226"/>
      <c r="L86" s="219"/>
    </row>
    <row r="87" spans="1:13" ht="15">
      <c r="A87" s="623"/>
      <c r="B87" s="623"/>
      <c r="C87" s="623"/>
      <c r="D87" s="624"/>
      <c r="E87" s="603"/>
      <c r="F87" s="644"/>
      <c r="G87" s="605"/>
      <c r="H87" s="623"/>
      <c r="I87" s="1299"/>
      <c r="J87" s="1289"/>
      <c r="K87" s="226"/>
      <c r="L87" s="219"/>
    </row>
    <row r="88" spans="1:13" ht="15">
      <c r="A88" s="623"/>
      <c r="B88" s="623"/>
      <c r="C88" s="623"/>
      <c r="D88" s="624"/>
      <c r="E88" s="603"/>
      <c r="F88" s="644"/>
      <c r="G88" s="605"/>
      <c r="H88" s="623"/>
      <c r="I88" s="1299"/>
      <c r="J88" s="1289"/>
      <c r="K88" s="226"/>
      <c r="L88" s="219"/>
    </row>
    <row r="89" spans="1:13" ht="15">
      <c r="A89" s="623"/>
      <c r="B89" s="623"/>
      <c r="C89" s="623"/>
      <c r="D89" s="624"/>
      <c r="E89" s="603"/>
      <c r="F89" s="644"/>
      <c r="G89" s="605"/>
      <c r="H89" s="623"/>
      <c r="I89" s="864"/>
      <c r="J89" s="857"/>
      <c r="K89" s="226"/>
      <c r="L89" s="219"/>
    </row>
    <row r="90" spans="1:13" ht="15">
      <c r="A90" s="621"/>
      <c r="B90" s="1125"/>
      <c r="C90" s="1125"/>
      <c r="D90" s="684"/>
      <c r="E90" s="684"/>
      <c r="F90" s="1144" t="s">
        <v>545</v>
      </c>
      <c r="G90" s="651">
        <f>SUM(G2:G89)-SUM(I2:I89)</f>
        <v>10306.729999999989</v>
      </c>
      <c r="H90" s="620"/>
      <c r="I90" s="634"/>
      <c r="J90" s="621"/>
      <c r="K90" s="226"/>
      <c r="L90" s="219"/>
    </row>
    <row r="91" spans="1:13">
      <c r="A91" s="237"/>
      <c r="B91" s="237"/>
      <c r="C91" s="237"/>
      <c r="D91" s="237"/>
      <c r="E91" s="509"/>
      <c r="F91" s="512"/>
      <c r="G91" s="102"/>
      <c r="H91" s="102"/>
      <c r="I91" s="237"/>
      <c r="J91" s="102"/>
    </row>
    <row r="92" spans="1:13">
      <c r="A92" s="102"/>
      <c r="B92" s="168"/>
      <c r="C92" s="168"/>
      <c r="D92" s="102"/>
      <c r="E92" s="509"/>
      <c r="F92" s="512"/>
      <c r="G92" s="1184" t="s">
        <v>4199</v>
      </c>
      <c r="H92" s="1184" t="s">
        <v>4014</v>
      </c>
      <c r="I92" s="102"/>
      <c r="J92" s="56"/>
    </row>
    <row r="93" spans="1:13" ht="15">
      <c r="A93" s="102"/>
      <c r="B93" s="168"/>
      <c r="C93" s="168"/>
      <c r="D93" s="102"/>
      <c r="E93" s="509"/>
      <c r="F93" s="512"/>
      <c r="G93" s="1182">
        <v>4775.88</v>
      </c>
      <c r="H93" s="1183">
        <v>45269</v>
      </c>
      <c r="J93" s="56"/>
    </row>
    <row r="94" spans="1:13">
      <c r="A94" s="102"/>
      <c r="B94" s="168"/>
      <c r="C94" s="168"/>
      <c r="D94" s="102"/>
      <c r="E94" s="509"/>
      <c r="F94" s="512"/>
      <c r="G94" s="168"/>
      <c r="H94" s="168"/>
      <c r="J94" s="56"/>
    </row>
    <row r="95" spans="1:13">
      <c r="A95" s="102"/>
      <c r="B95" s="168"/>
      <c r="C95" s="168"/>
      <c r="D95" s="102"/>
      <c r="E95" s="509"/>
      <c r="F95" s="512"/>
      <c r="G95" s="168"/>
      <c r="H95" s="102"/>
      <c r="J95" s="56"/>
    </row>
    <row r="96" spans="1:13">
      <c r="A96" s="102"/>
      <c r="B96" s="168"/>
      <c r="C96" s="168"/>
      <c r="D96" s="102"/>
      <c r="E96" s="509"/>
      <c r="F96" s="512"/>
      <c r="G96" s="102"/>
      <c r="H96" s="102"/>
      <c r="I96" s="237"/>
      <c r="J96" s="102"/>
    </row>
    <row r="97" spans="1:11">
      <c r="A97" s="102"/>
      <c r="B97" s="168"/>
      <c r="C97" s="168"/>
      <c r="D97" s="102"/>
      <c r="E97" s="509"/>
      <c r="F97" s="512"/>
      <c r="G97" s="102"/>
      <c r="H97" s="168"/>
      <c r="I97" s="102"/>
      <c r="J97" s="237"/>
      <c r="K97" s="102"/>
    </row>
    <row r="98" spans="1:11">
      <c r="A98" s="102"/>
      <c r="B98" s="168"/>
      <c r="C98" s="168"/>
      <c r="D98" s="102"/>
      <c r="E98" s="509"/>
      <c r="F98" s="512"/>
      <c r="G98" s="102"/>
      <c r="H98" s="168"/>
      <c r="I98" s="102"/>
      <c r="J98" s="237"/>
      <c r="K98" s="102"/>
    </row>
    <row r="99" spans="1:11">
      <c r="A99" s="102"/>
      <c r="B99" s="168"/>
      <c r="C99" s="168"/>
      <c r="D99" s="102"/>
      <c r="E99" s="509"/>
      <c r="F99" s="512"/>
      <c r="G99" s="102"/>
      <c r="H99" s="168"/>
      <c r="I99" s="102"/>
      <c r="J99" s="237"/>
      <c r="K99" s="102"/>
    </row>
  </sheetData>
  <mergeCells count="86">
    <mergeCell ref="F65:F67"/>
    <mergeCell ref="K36:K65"/>
    <mergeCell ref="J36:J65"/>
    <mergeCell ref="I36:I65"/>
    <mergeCell ref="A65:A67"/>
    <mergeCell ref="B65:B67"/>
    <mergeCell ref="C65:C67"/>
    <mergeCell ref="D65:D67"/>
    <mergeCell ref="E65:E67"/>
    <mergeCell ref="A35:A36"/>
    <mergeCell ref="F35:F36"/>
    <mergeCell ref="E35:E36"/>
    <mergeCell ref="D35:D36"/>
    <mergeCell ref="C35:C36"/>
    <mergeCell ref="B35:B36"/>
    <mergeCell ref="A31:A32"/>
    <mergeCell ref="F31:F32"/>
    <mergeCell ref="E31:E32"/>
    <mergeCell ref="D31:D32"/>
    <mergeCell ref="C31:C32"/>
    <mergeCell ref="B31:B32"/>
    <mergeCell ref="C2:C5"/>
    <mergeCell ref="B2:B5"/>
    <mergeCell ref="C9:C10"/>
    <mergeCell ref="B9:B10"/>
    <mergeCell ref="B6:B7"/>
    <mergeCell ref="C6:C7"/>
    <mergeCell ref="K20:K21"/>
    <mergeCell ref="E21:E25"/>
    <mergeCell ref="D21:D25"/>
    <mergeCell ref="A21:A25"/>
    <mergeCell ref="F21:F25"/>
    <mergeCell ref="K25:K27"/>
    <mergeCell ref="J25:J27"/>
    <mergeCell ref="I25:I27"/>
    <mergeCell ref="J20:J21"/>
    <mergeCell ref="C21:C25"/>
    <mergeCell ref="B21:B25"/>
    <mergeCell ref="K12:K18"/>
    <mergeCell ref="J12:J18"/>
    <mergeCell ref="F11:F12"/>
    <mergeCell ref="E11:E12"/>
    <mergeCell ref="D11:D12"/>
    <mergeCell ref="I12:I18"/>
    <mergeCell ref="E9:E10"/>
    <mergeCell ref="D9:D10"/>
    <mergeCell ref="A9:A10"/>
    <mergeCell ref="C11:C12"/>
    <mergeCell ref="B11:B12"/>
    <mergeCell ref="L20:L21"/>
    <mergeCell ref="I20:I21"/>
    <mergeCell ref="A2:A5"/>
    <mergeCell ref="D2:D5"/>
    <mergeCell ref="G2:G5"/>
    <mergeCell ref="D6:D7"/>
    <mergeCell ref="A6:A7"/>
    <mergeCell ref="F2:F5"/>
    <mergeCell ref="E2:E5"/>
    <mergeCell ref="F6:F7"/>
    <mergeCell ref="E6:E7"/>
    <mergeCell ref="K7:K8"/>
    <mergeCell ref="J7:J8"/>
    <mergeCell ref="I7:I8"/>
    <mergeCell ref="A11:A12"/>
    <mergeCell ref="F9:F10"/>
    <mergeCell ref="K74:K79"/>
    <mergeCell ref="J74:J79"/>
    <mergeCell ref="I74:I79"/>
    <mergeCell ref="K30:K31"/>
    <mergeCell ref="J30:J31"/>
    <mergeCell ref="I30:I31"/>
    <mergeCell ref="K68:K73"/>
    <mergeCell ref="J68:J73"/>
    <mergeCell ref="I68:I73"/>
    <mergeCell ref="K32:K33"/>
    <mergeCell ref="J32:J33"/>
    <mergeCell ref="I32:I33"/>
    <mergeCell ref="K34:K35"/>
    <mergeCell ref="J34:J35"/>
    <mergeCell ref="I34:I35"/>
    <mergeCell ref="A33:A34"/>
    <mergeCell ref="F33:F34"/>
    <mergeCell ref="E33:E34"/>
    <mergeCell ref="D33:D34"/>
    <mergeCell ref="C33:C34"/>
    <mergeCell ref="B33:B34"/>
  </mergeCells>
  <phoneticPr fontId="15" type="noConversion"/>
  <hyperlinks>
    <hyperlink ref="F90" location="汇总!A1" display="剩余欠款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Q14"/>
  <sheetViews>
    <sheetView workbookViewId="0">
      <pane ySplit="1" topLeftCell="A2" activePane="bottomLeft" state="frozen"/>
      <selection activeCell="C33" sqref="C33"/>
      <selection pane="bottomLeft" activeCell="F12" sqref="F12"/>
    </sheetView>
  </sheetViews>
  <sheetFormatPr defaultRowHeight="14.25"/>
  <cols>
    <col min="1" max="1" width="13.25" style="56" bestFit="1" customWidth="1"/>
    <col min="2" max="2" width="8.875" style="56" bestFit="1" customWidth="1"/>
    <col min="3" max="3" width="24.375" style="56" bestFit="1" customWidth="1"/>
    <col min="4" max="4" width="15" style="56" bestFit="1" customWidth="1"/>
    <col min="5" max="6" width="11.625" style="56" customWidth="1"/>
    <col min="7" max="7" width="14.875" style="56" customWidth="1"/>
    <col min="8" max="8" width="16.75" style="56" bestFit="1" customWidth="1"/>
    <col min="9" max="9" width="14.125" style="56" bestFit="1" customWidth="1"/>
    <col min="10" max="10" width="15.125" style="56" bestFit="1" customWidth="1"/>
    <col min="11" max="11" width="11.375" style="56" bestFit="1" customWidth="1"/>
    <col min="12" max="12" width="35" style="56" bestFit="1" customWidth="1"/>
    <col min="13" max="16384" width="9" style="56"/>
  </cols>
  <sheetData>
    <row r="1" spans="1:17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6" t="s">
        <v>542</v>
      </c>
    </row>
    <row r="2" spans="1:17" s="1" customFormat="1" ht="15">
      <c r="A2" s="620">
        <v>44384</v>
      </c>
      <c r="B2" s="1124" t="s">
        <v>522</v>
      </c>
      <c r="C2" s="1254" t="s">
        <v>4595</v>
      </c>
      <c r="D2" s="621" t="s">
        <v>571</v>
      </c>
      <c r="E2" s="639">
        <v>1760.92</v>
      </c>
      <c r="F2" s="633">
        <v>0</v>
      </c>
      <c r="G2" s="639">
        <v>1760.92</v>
      </c>
      <c r="H2" s="620">
        <v>44385</v>
      </c>
      <c r="I2" s="639">
        <v>1760.92</v>
      </c>
      <c r="J2" s="620">
        <v>44490</v>
      </c>
      <c r="K2" s="347" t="s">
        <v>544</v>
      </c>
      <c r="L2" s="226"/>
      <c r="M2" s="102"/>
      <c r="N2" s="102"/>
      <c r="O2" s="102"/>
      <c r="P2" s="102"/>
      <c r="Q2" s="102"/>
    </row>
    <row r="3" spans="1:17" ht="15">
      <c r="A3" s="620">
        <v>44477</v>
      </c>
      <c r="B3" s="1124" t="s">
        <v>522</v>
      </c>
      <c r="C3" s="1254" t="s">
        <v>4595</v>
      </c>
      <c r="D3" s="621" t="s">
        <v>572</v>
      </c>
      <c r="E3" s="639">
        <v>3321.22</v>
      </c>
      <c r="F3" s="633">
        <v>0</v>
      </c>
      <c r="G3" s="639">
        <v>3321.22</v>
      </c>
      <c r="H3" s="620">
        <v>44478</v>
      </c>
      <c r="I3" s="639">
        <v>3321.22</v>
      </c>
      <c r="J3" s="620">
        <v>44610</v>
      </c>
      <c r="K3" s="347" t="s">
        <v>544</v>
      </c>
      <c r="L3" s="226" t="s">
        <v>573</v>
      </c>
      <c r="M3" s="102"/>
      <c r="N3" s="102"/>
      <c r="O3" s="102"/>
      <c r="P3" s="102"/>
      <c r="Q3" s="102"/>
    </row>
    <row r="4" spans="1:17" ht="15">
      <c r="A4" s="620">
        <v>44517</v>
      </c>
      <c r="B4" s="1124" t="s">
        <v>522</v>
      </c>
      <c r="C4" s="1254" t="s">
        <v>4595</v>
      </c>
      <c r="D4" s="621" t="s">
        <v>574</v>
      </c>
      <c r="E4" s="639">
        <v>2936.78</v>
      </c>
      <c r="F4" s="633">
        <v>0</v>
      </c>
      <c r="G4" s="639">
        <v>2936.78</v>
      </c>
      <c r="H4" s="620">
        <v>44518</v>
      </c>
      <c r="I4" s="639">
        <v>2936.78</v>
      </c>
      <c r="J4" s="620">
        <v>44630</v>
      </c>
      <c r="K4" s="347" t="s">
        <v>544</v>
      </c>
      <c r="L4" s="226"/>
      <c r="M4" s="102"/>
      <c r="N4" s="102"/>
      <c r="O4" s="102"/>
      <c r="P4" s="102"/>
      <c r="Q4" s="102"/>
    </row>
    <row r="5" spans="1:17" ht="15">
      <c r="A5" s="632">
        <v>44558</v>
      </c>
      <c r="B5" s="1124" t="s">
        <v>522</v>
      </c>
      <c r="C5" s="1254" t="s">
        <v>4595</v>
      </c>
      <c r="D5" s="615" t="s">
        <v>575</v>
      </c>
      <c r="E5" s="611">
        <v>1442.28</v>
      </c>
      <c r="F5" s="633">
        <v>0</v>
      </c>
      <c r="G5" s="611">
        <v>1442.28</v>
      </c>
      <c r="H5" s="632">
        <v>44559</v>
      </c>
      <c r="I5" s="1923">
        <v>2173.85</v>
      </c>
      <c r="J5" s="1903">
        <v>44771</v>
      </c>
      <c r="K5" s="1968" t="s">
        <v>2584</v>
      </c>
      <c r="L5" s="1968"/>
      <c r="M5" s="102"/>
      <c r="N5" s="102"/>
      <c r="O5" s="102"/>
      <c r="P5" s="102"/>
      <c r="Q5" s="102"/>
    </row>
    <row r="6" spans="1:17" ht="15">
      <c r="A6" s="632">
        <v>44629</v>
      </c>
      <c r="B6" s="1124" t="s">
        <v>521</v>
      </c>
      <c r="C6" s="1254" t="s">
        <v>4595</v>
      </c>
      <c r="D6" s="615" t="s">
        <v>576</v>
      </c>
      <c r="E6" s="611">
        <v>-1104.95</v>
      </c>
      <c r="F6" s="633">
        <v>0</v>
      </c>
      <c r="G6" s="611">
        <v>-1104.95</v>
      </c>
      <c r="H6" s="632" t="s">
        <v>1529</v>
      </c>
      <c r="I6" s="1961"/>
      <c r="J6" s="1904"/>
      <c r="K6" s="1962"/>
      <c r="L6" s="1962"/>
      <c r="M6" s="102"/>
      <c r="N6" s="102"/>
      <c r="O6" s="102"/>
      <c r="P6" s="102"/>
      <c r="Q6" s="102"/>
    </row>
    <row r="7" spans="1:17" ht="15">
      <c r="A7" s="632">
        <v>44642</v>
      </c>
      <c r="B7" s="1124" t="s">
        <v>521</v>
      </c>
      <c r="C7" s="1124" t="s">
        <v>4595</v>
      </c>
      <c r="D7" s="615" t="s">
        <v>1798</v>
      </c>
      <c r="E7" s="611">
        <v>1836.52</v>
      </c>
      <c r="F7" s="633">
        <v>0</v>
      </c>
      <c r="G7" s="611">
        <v>1836.52</v>
      </c>
      <c r="H7" s="632">
        <v>44643</v>
      </c>
      <c r="I7" s="1924"/>
      <c r="J7" s="1905"/>
      <c r="K7" s="1957"/>
      <c r="L7" s="1957"/>
      <c r="M7" s="102"/>
      <c r="N7" s="102"/>
      <c r="O7" s="102"/>
      <c r="P7" s="102"/>
      <c r="Q7" s="102"/>
    </row>
    <row r="8" spans="1:17" ht="15">
      <c r="A8" s="620"/>
      <c r="B8" s="1124"/>
      <c r="C8" s="1124"/>
      <c r="D8" s="621"/>
      <c r="E8" s="621"/>
      <c r="F8" s="621"/>
      <c r="G8" s="639"/>
      <c r="H8" s="620"/>
      <c r="I8" s="634"/>
      <c r="J8" s="634"/>
      <c r="K8" s="226"/>
      <c r="L8" s="226"/>
      <c r="M8" s="168"/>
      <c r="N8" s="168"/>
      <c r="O8" s="168"/>
      <c r="P8" s="168"/>
      <c r="Q8" s="168"/>
    </row>
    <row r="9" spans="1:17" ht="15">
      <c r="A9" s="620"/>
      <c r="B9" s="1124"/>
      <c r="C9" s="1124"/>
      <c r="D9" s="621"/>
      <c r="E9" s="621"/>
      <c r="F9" s="621"/>
      <c r="G9" s="639"/>
      <c r="H9" s="620"/>
      <c r="I9" s="634"/>
      <c r="J9" s="634"/>
      <c r="K9" s="226"/>
      <c r="L9" s="226"/>
      <c r="M9" s="168"/>
      <c r="N9" s="168"/>
      <c r="O9" s="168"/>
      <c r="P9" s="168"/>
      <c r="Q9" s="168"/>
    </row>
    <row r="10" spans="1:17" ht="15">
      <c r="A10" s="620"/>
      <c r="B10" s="1124"/>
      <c r="C10" s="1124"/>
      <c r="D10" s="621"/>
      <c r="E10" s="621"/>
      <c r="F10" s="621"/>
      <c r="G10" s="639"/>
      <c r="H10" s="634"/>
      <c r="I10" s="634"/>
      <c r="J10" s="634"/>
      <c r="K10" s="226"/>
      <c r="L10" s="226"/>
      <c r="M10" s="168"/>
      <c r="N10" s="168"/>
      <c r="O10" s="168"/>
      <c r="P10" s="168"/>
      <c r="Q10" s="168"/>
    </row>
    <row r="11" spans="1:17" ht="15">
      <c r="A11" s="621"/>
      <c r="B11" s="1125"/>
      <c r="C11" s="1125"/>
      <c r="D11" s="621"/>
      <c r="E11" s="621"/>
      <c r="F11" s="621"/>
      <c r="G11" s="639"/>
      <c r="H11" s="634"/>
      <c r="I11" s="634"/>
      <c r="J11" s="634"/>
      <c r="K11" s="226"/>
      <c r="L11" s="226"/>
      <c r="M11" s="102"/>
      <c r="N11" s="102"/>
      <c r="O11" s="102"/>
      <c r="P11" s="102"/>
      <c r="Q11" s="102"/>
    </row>
    <row r="12" spans="1:17" ht="15">
      <c r="A12" s="621"/>
      <c r="B12" s="1125"/>
      <c r="C12" s="1125"/>
      <c r="D12" s="621"/>
      <c r="E12" s="619"/>
      <c r="F12" s="1144" t="s">
        <v>545</v>
      </c>
      <c r="G12" s="651">
        <f>SUM(G2:G11)-SUM(I2:I11)</f>
        <v>0</v>
      </c>
      <c r="H12" s="634"/>
      <c r="I12" s="634"/>
      <c r="J12" s="634"/>
      <c r="K12" s="226"/>
      <c r="L12" s="226"/>
      <c r="M12" s="102"/>
      <c r="N12" s="102"/>
      <c r="O12" s="102"/>
      <c r="P12" s="102"/>
      <c r="Q12" s="102"/>
    </row>
    <row r="13" spans="1:17">
      <c r="A13" s="102"/>
      <c r="B13" s="168"/>
      <c r="C13" s="168"/>
      <c r="D13" s="102"/>
      <c r="E13" s="168"/>
      <c r="F13" s="168"/>
      <c r="G13" s="102"/>
      <c r="H13" s="168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1:17">
      <c r="A14" s="102"/>
      <c r="B14" s="168"/>
      <c r="C14" s="168"/>
      <c r="D14" s="102"/>
      <c r="E14" s="168"/>
      <c r="F14" s="168"/>
      <c r="G14" s="102"/>
      <c r="H14" s="168"/>
      <c r="I14" s="102"/>
      <c r="J14" s="102"/>
      <c r="K14" s="102"/>
      <c r="L14" s="102"/>
      <c r="M14" s="102"/>
      <c r="N14" s="102"/>
      <c r="O14" s="102"/>
      <c r="P14" s="102"/>
      <c r="Q14" s="102"/>
    </row>
  </sheetData>
  <mergeCells count="4">
    <mergeCell ref="I5:I7"/>
    <mergeCell ref="K5:K7"/>
    <mergeCell ref="J5:J7"/>
    <mergeCell ref="L5:L7"/>
  </mergeCells>
  <phoneticPr fontId="15" type="noConversion"/>
  <hyperlinks>
    <hyperlink ref="F12" location="汇总!A1" display="剩余欠款"/>
  </hyperlinks>
  <pageMargins left="0.7" right="0.7" top="0.75" bottom="0.75" header="0.3" footer="0.3"/>
  <pageSetup paperSize="9" orientation="portrait" horizontalDpi="0" verticalDpi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O151"/>
  <sheetViews>
    <sheetView workbookViewId="0">
      <pane ySplit="1" topLeftCell="A122" activePane="bottomLeft" state="frozen"/>
      <selection activeCell="C33" sqref="C33"/>
      <selection pane="bottomLeft" activeCell="F145" sqref="F145"/>
    </sheetView>
  </sheetViews>
  <sheetFormatPr defaultRowHeight="14.25"/>
  <cols>
    <col min="1" max="1" width="15" style="56" bestFit="1" customWidth="1"/>
    <col min="2" max="2" width="8.875" style="56" bestFit="1" customWidth="1"/>
    <col min="3" max="3" width="28" style="56" bestFit="1" customWidth="1"/>
    <col min="4" max="4" width="15" style="56" bestFit="1" customWidth="1"/>
    <col min="5" max="5" width="13.625" style="56" customWidth="1"/>
    <col min="6" max="6" width="12.375" style="545" customWidth="1"/>
    <col min="7" max="7" width="17.25" style="169" bestFit="1" customWidth="1"/>
    <col min="8" max="8" width="16.625" style="169" bestFit="1" customWidth="1"/>
    <col min="9" max="9" width="14" style="109" bestFit="1" customWidth="1"/>
    <col min="10" max="10" width="16.125" style="56" bestFit="1" customWidth="1"/>
    <col min="11" max="11" width="28.25" style="55" bestFit="1" customWidth="1"/>
    <col min="12" max="12" width="40.5" style="56" bestFit="1" customWidth="1"/>
    <col min="13" max="13" width="15" style="56" bestFit="1" customWidth="1"/>
    <col min="14" max="16384" width="9" style="56"/>
  </cols>
  <sheetData>
    <row r="1" spans="1:15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6" t="s">
        <v>542</v>
      </c>
    </row>
    <row r="2" spans="1:15" s="1" customFormat="1" ht="15">
      <c r="A2" s="632">
        <v>44400</v>
      </c>
      <c r="B2" s="1124" t="s">
        <v>4129</v>
      </c>
      <c r="C2" s="1124" t="s">
        <v>4404</v>
      </c>
      <c r="D2" s="615" t="s">
        <v>1283</v>
      </c>
      <c r="E2" s="613">
        <v>36345.230000000003</v>
      </c>
      <c r="F2" s="633">
        <v>0</v>
      </c>
      <c r="G2" s="639">
        <v>36345.230000000003</v>
      </c>
      <c r="H2" s="632">
        <v>44401</v>
      </c>
      <c r="I2" s="611">
        <v>5000</v>
      </c>
      <c r="J2" s="632">
        <v>44480</v>
      </c>
      <c r="K2" s="420" t="s">
        <v>1752</v>
      </c>
      <c r="L2" s="100"/>
      <c r="M2"/>
      <c r="N2"/>
      <c r="O2"/>
    </row>
    <row r="3" spans="1:15" s="1" customFormat="1" ht="15">
      <c r="A3" s="615"/>
      <c r="B3" s="1124"/>
      <c r="C3" s="1124"/>
      <c r="D3" s="621"/>
      <c r="E3" s="613"/>
      <c r="F3" s="633" t="s">
        <v>3093</v>
      </c>
      <c r="G3" s="639">
        <f>G2-I2</f>
        <v>31345.230000000003</v>
      </c>
      <c r="H3" s="632"/>
      <c r="I3" s="611">
        <v>10000</v>
      </c>
      <c r="J3" s="632">
        <v>44494</v>
      </c>
      <c r="K3" s="421" t="s">
        <v>589</v>
      </c>
      <c r="L3" s="166"/>
      <c r="M3"/>
      <c r="N3"/>
      <c r="O3"/>
    </row>
    <row r="4" spans="1:15" ht="15">
      <c r="A4" s="621"/>
      <c r="B4" s="1124"/>
      <c r="C4" s="1124"/>
      <c r="D4" s="621"/>
      <c r="E4" s="613"/>
      <c r="F4" s="2002" t="s">
        <v>3093</v>
      </c>
      <c r="G4" s="1915">
        <f>G3-I3</f>
        <v>21345.230000000003</v>
      </c>
      <c r="H4" s="632"/>
      <c r="I4" s="639">
        <v>2580</v>
      </c>
      <c r="J4" s="620">
        <v>44580</v>
      </c>
      <c r="K4" s="420" t="s">
        <v>1874</v>
      </c>
      <c r="L4" s="88"/>
      <c r="M4"/>
      <c r="N4"/>
      <c r="O4"/>
    </row>
    <row r="5" spans="1:15" ht="15">
      <c r="A5" s="621"/>
      <c r="B5" s="1124"/>
      <c r="C5" s="1124"/>
      <c r="D5" s="621"/>
      <c r="E5" s="613"/>
      <c r="F5" s="2003"/>
      <c r="G5" s="1917"/>
      <c r="H5" s="632"/>
      <c r="I5" s="639">
        <v>10000</v>
      </c>
      <c r="J5" s="620">
        <v>44585</v>
      </c>
      <c r="K5" s="420" t="s">
        <v>544</v>
      </c>
      <c r="L5" s="88"/>
      <c r="M5"/>
      <c r="N5"/>
      <c r="O5"/>
    </row>
    <row r="6" spans="1:15" ht="15">
      <c r="A6" s="621"/>
      <c r="B6" s="1124"/>
      <c r="C6" s="1124"/>
      <c r="D6" s="621"/>
      <c r="E6" s="613"/>
      <c r="F6" s="633" t="s">
        <v>3093</v>
      </c>
      <c r="G6" s="639">
        <f>SUM(G4:G5)-I4-I5</f>
        <v>8765.2300000000032</v>
      </c>
      <c r="H6" s="632"/>
      <c r="I6" s="639">
        <v>7483.91</v>
      </c>
      <c r="J6" s="620">
        <v>44625</v>
      </c>
      <c r="K6" s="420" t="s">
        <v>544</v>
      </c>
      <c r="L6" s="88"/>
      <c r="M6"/>
      <c r="N6"/>
      <c r="O6"/>
    </row>
    <row r="7" spans="1:15" ht="15">
      <c r="A7" s="621"/>
      <c r="B7" s="1124"/>
      <c r="C7" s="1124"/>
      <c r="D7" s="621"/>
      <c r="E7" s="613"/>
      <c r="F7" s="633" t="s">
        <v>3093</v>
      </c>
      <c r="G7" s="639">
        <f>G6-I6</f>
        <v>1281.3200000000033</v>
      </c>
      <c r="H7" s="632"/>
      <c r="I7" s="1915">
        <v>3000</v>
      </c>
      <c r="J7" s="1918">
        <v>44630</v>
      </c>
      <c r="K7" s="1968" t="s">
        <v>1874</v>
      </c>
      <c r="L7" s="88"/>
      <c r="M7"/>
      <c r="N7"/>
      <c r="O7"/>
    </row>
    <row r="8" spans="1:15" ht="15">
      <c r="A8" s="620">
        <v>44406</v>
      </c>
      <c r="B8" s="1124" t="s">
        <v>4125</v>
      </c>
      <c r="C8" s="1124" t="s">
        <v>4404</v>
      </c>
      <c r="D8" s="621" t="s">
        <v>1284</v>
      </c>
      <c r="E8" s="613">
        <v>-2398.7800000000002</v>
      </c>
      <c r="F8" s="633">
        <v>0</v>
      </c>
      <c r="G8" s="639">
        <v>-2398.7800000000002</v>
      </c>
      <c r="H8" s="632">
        <v>44407</v>
      </c>
      <c r="I8" s="1916"/>
      <c r="J8" s="1919"/>
      <c r="K8" s="1962"/>
      <c r="L8" s="88"/>
      <c r="M8"/>
      <c r="N8"/>
      <c r="O8"/>
    </row>
    <row r="9" spans="1:15" ht="15">
      <c r="A9" s="620">
        <v>44410</v>
      </c>
      <c r="B9" s="1124" t="s">
        <v>4125</v>
      </c>
      <c r="C9" s="1124" t="s">
        <v>4404</v>
      </c>
      <c r="D9" s="621" t="s">
        <v>1285</v>
      </c>
      <c r="E9" s="613">
        <v>-12.53</v>
      </c>
      <c r="F9" s="633">
        <v>0</v>
      </c>
      <c r="G9" s="639">
        <v>-12.53</v>
      </c>
      <c r="H9" s="632" t="s">
        <v>1529</v>
      </c>
      <c r="I9" s="1916"/>
      <c r="J9" s="1919"/>
      <c r="K9" s="1962"/>
      <c r="L9" s="88"/>
      <c r="M9"/>
      <c r="N9"/>
      <c r="O9"/>
    </row>
    <row r="10" spans="1:15" ht="15">
      <c r="A10" s="620">
        <v>44483</v>
      </c>
      <c r="B10" s="1124" t="s">
        <v>4125</v>
      </c>
      <c r="C10" s="1124" t="s">
        <v>4404</v>
      </c>
      <c r="D10" s="621" t="s">
        <v>1286</v>
      </c>
      <c r="E10" s="613">
        <v>3032.78</v>
      </c>
      <c r="F10" s="633">
        <v>0</v>
      </c>
      <c r="G10" s="639">
        <v>3032.78</v>
      </c>
      <c r="H10" s="632">
        <v>44484</v>
      </c>
      <c r="I10" s="1916"/>
      <c r="J10" s="1919"/>
      <c r="K10" s="1962"/>
      <c r="L10" s="88"/>
      <c r="M10"/>
      <c r="N10"/>
      <c r="O10"/>
    </row>
    <row r="11" spans="1:15" ht="15">
      <c r="A11" s="620">
        <v>44498</v>
      </c>
      <c r="B11" s="1124" t="s">
        <v>4125</v>
      </c>
      <c r="C11" s="1124" t="s">
        <v>4404</v>
      </c>
      <c r="D11" s="621" t="s">
        <v>1287</v>
      </c>
      <c r="E11" s="613">
        <v>6185.05</v>
      </c>
      <c r="F11" s="633">
        <v>1298.8599999999999</v>
      </c>
      <c r="G11" s="639">
        <v>7483.91</v>
      </c>
      <c r="H11" s="632">
        <v>44499</v>
      </c>
      <c r="I11" s="1917"/>
      <c r="J11" s="1920"/>
      <c r="K11" s="1957"/>
      <c r="L11" s="88"/>
      <c r="M11"/>
      <c r="N11"/>
      <c r="O11"/>
    </row>
    <row r="12" spans="1:15" ht="15">
      <c r="A12" s="936"/>
      <c r="B12" s="1124"/>
      <c r="C12" s="1124"/>
      <c r="D12" s="754"/>
      <c r="E12" s="950"/>
      <c r="F12" s="649" t="s">
        <v>3645</v>
      </c>
      <c r="G12" s="611">
        <f>SUM(G7:G11)-I7</f>
        <v>6386.7000000000025</v>
      </c>
      <c r="H12" s="931"/>
      <c r="I12" s="1923">
        <v>0</v>
      </c>
      <c r="J12" s="1918">
        <v>44768</v>
      </c>
      <c r="K12" s="1968" t="s">
        <v>2639</v>
      </c>
      <c r="L12" s="88"/>
      <c r="M12"/>
      <c r="N12"/>
      <c r="O12"/>
    </row>
    <row r="13" spans="1:15" ht="15">
      <c r="A13" s="931">
        <v>44515</v>
      </c>
      <c r="B13" s="1124" t="s">
        <v>4125</v>
      </c>
      <c r="C13" s="1124" t="s">
        <v>4404</v>
      </c>
      <c r="D13" s="936" t="s">
        <v>1288</v>
      </c>
      <c r="E13" s="950">
        <v>1236.5999999999999</v>
      </c>
      <c r="F13" s="649">
        <v>0</v>
      </c>
      <c r="G13" s="611">
        <v>1236.5999999999999</v>
      </c>
      <c r="H13" s="931">
        <v>44516</v>
      </c>
      <c r="I13" s="1961"/>
      <c r="J13" s="1919"/>
      <c r="K13" s="1962"/>
      <c r="L13" s="88"/>
      <c r="M13"/>
      <c r="N13"/>
      <c r="O13"/>
    </row>
    <row r="14" spans="1:15" ht="15">
      <c r="A14" s="931">
        <v>44516</v>
      </c>
      <c r="B14" s="1124" t="s">
        <v>4125</v>
      </c>
      <c r="C14" s="1124" t="s">
        <v>4404</v>
      </c>
      <c r="D14" s="936" t="s">
        <v>1289</v>
      </c>
      <c r="E14" s="950">
        <v>-21.15</v>
      </c>
      <c r="F14" s="649">
        <v>0</v>
      </c>
      <c r="G14" s="611">
        <v>-21.15</v>
      </c>
      <c r="H14" s="931" t="s">
        <v>1529</v>
      </c>
      <c r="I14" s="1961"/>
      <c r="J14" s="1919"/>
      <c r="K14" s="1962"/>
      <c r="L14" s="88"/>
      <c r="M14"/>
      <c r="N14"/>
      <c r="O14"/>
    </row>
    <row r="15" spans="1:15" ht="15">
      <c r="A15" s="931">
        <v>44516</v>
      </c>
      <c r="B15" s="1124" t="s">
        <v>4125</v>
      </c>
      <c r="C15" s="1124" t="s">
        <v>4404</v>
      </c>
      <c r="D15" s="936" t="s">
        <v>1290</v>
      </c>
      <c r="E15" s="950">
        <v>-674.66</v>
      </c>
      <c r="F15" s="649">
        <v>-141.68</v>
      </c>
      <c r="G15" s="611">
        <v>-816.34</v>
      </c>
      <c r="H15" s="931" t="s">
        <v>1529</v>
      </c>
      <c r="I15" s="1961"/>
      <c r="J15" s="1919"/>
      <c r="K15" s="1962"/>
      <c r="L15" s="88"/>
      <c r="M15"/>
      <c r="N15"/>
      <c r="O15"/>
    </row>
    <row r="16" spans="1:15" ht="15">
      <c r="A16" s="931">
        <v>44516</v>
      </c>
      <c r="B16" s="1124" t="s">
        <v>4125</v>
      </c>
      <c r="C16" s="1124" t="s">
        <v>4404</v>
      </c>
      <c r="D16" s="936" t="s">
        <v>1291</v>
      </c>
      <c r="E16" s="950">
        <v>-3884.66</v>
      </c>
      <c r="F16" s="649">
        <v>0</v>
      </c>
      <c r="G16" s="611">
        <v>-3884.66</v>
      </c>
      <c r="H16" s="931" t="s">
        <v>1529</v>
      </c>
      <c r="I16" s="1961"/>
      <c r="J16" s="1919"/>
      <c r="K16" s="1962"/>
      <c r="L16" s="88"/>
      <c r="M16"/>
      <c r="N16"/>
      <c r="O16"/>
    </row>
    <row r="17" spans="1:15" ht="15">
      <c r="A17" s="931">
        <v>44516</v>
      </c>
      <c r="B17" s="1124" t="s">
        <v>4125</v>
      </c>
      <c r="C17" s="1124" t="s">
        <v>4404</v>
      </c>
      <c r="D17" s="936" t="s">
        <v>1292</v>
      </c>
      <c r="E17" s="950">
        <v>-5891.35</v>
      </c>
      <c r="F17" s="649">
        <v>0</v>
      </c>
      <c r="G17" s="611">
        <v>-5891.34</v>
      </c>
      <c r="H17" s="931" t="s">
        <v>1529</v>
      </c>
      <c r="I17" s="1961"/>
      <c r="J17" s="1919"/>
      <c r="K17" s="1962"/>
      <c r="L17" s="88"/>
      <c r="M17"/>
      <c r="N17"/>
      <c r="O17"/>
    </row>
    <row r="18" spans="1:15" ht="15">
      <c r="A18" s="1903">
        <v>44565</v>
      </c>
      <c r="B18" s="1918" t="s">
        <v>4125</v>
      </c>
      <c r="C18" s="1918" t="s">
        <v>4404</v>
      </c>
      <c r="D18" s="1909" t="s">
        <v>1293</v>
      </c>
      <c r="E18" s="1923">
        <v>4414.05</v>
      </c>
      <c r="F18" s="1927">
        <v>0</v>
      </c>
      <c r="G18" s="611">
        <v>2990.19</v>
      </c>
      <c r="H18" s="931">
        <v>44566</v>
      </c>
      <c r="I18" s="1924"/>
      <c r="J18" s="1920"/>
      <c r="K18" s="1957"/>
      <c r="L18" s="88"/>
      <c r="M18"/>
      <c r="N18"/>
      <c r="O18"/>
    </row>
    <row r="19" spans="1:15" ht="15">
      <c r="A19" s="1905"/>
      <c r="B19" s="1920"/>
      <c r="C19" s="1920"/>
      <c r="D19" s="1911"/>
      <c r="E19" s="1924"/>
      <c r="F19" s="1928"/>
      <c r="G19" s="611">
        <f>4414.05-2990.19</f>
        <v>1423.8600000000001</v>
      </c>
      <c r="H19" s="931"/>
      <c r="I19" s="1923">
        <v>3100</v>
      </c>
      <c r="J19" s="1918">
        <v>44684</v>
      </c>
      <c r="K19" s="1968" t="s">
        <v>550</v>
      </c>
      <c r="L19" s="226"/>
      <c r="M19"/>
      <c r="N19"/>
      <c r="O19"/>
    </row>
    <row r="20" spans="1:15" ht="15">
      <c r="A20" s="931">
        <v>44582</v>
      </c>
      <c r="B20" s="1124" t="s">
        <v>4125</v>
      </c>
      <c r="C20" s="1124" t="s">
        <v>4404</v>
      </c>
      <c r="D20" s="936" t="s">
        <v>1294</v>
      </c>
      <c r="E20" s="950">
        <v>885.23</v>
      </c>
      <c r="F20" s="649">
        <v>0</v>
      </c>
      <c r="G20" s="611">
        <v>885.23</v>
      </c>
      <c r="H20" s="931">
        <v>44583</v>
      </c>
      <c r="I20" s="1961"/>
      <c r="J20" s="1919"/>
      <c r="K20" s="1962"/>
      <c r="L20" s="88"/>
      <c r="M20"/>
      <c r="N20"/>
      <c r="O20"/>
    </row>
    <row r="21" spans="1:15" ht="15">
      <c r="A21" s="1903">
        <v>44634</v>
      </c>
      <c r="B21" s="1918" t="s">
        <v>521</v>
      </c>
      <c r="C21" s="1918" t="s">
        <v>4404</v>
      </c>
      <c r="D21" s="1909" t="s">
        <v>2643</v>
      </c>
      <c r="E21" s="1923">
        <v>8590.9699999999993</v>
      </c>
      <c r="F21" s="1927">
        <v>0</v>
      </c>
      <c r="G21" s="611">
        <v>790.90999999999985</v>
      </c>
      <c r="H21" s="931">
        <v>44635</v>
      </c>
      <c r="I21" s="1924"/>
      <c r="J21" s="1920"/>
      <c r="K21" s="1957"/>
      <c r="L21" s="226"/>
      <c r="M21"/>
      <c r="N21"/>
      <c r="O21"/>
    </row>
    <row r="22" spans="1:15" ht="15">
      <c r="A22" s="1905"/>
      <c r="B22" s="1920"/>
      <c r="C22" s="1920"/>
      <c r="D22" s="1911"/>
      <c r="E22" s="1924"/>
      <c r="F22" s="1928"/>
      <c r="G22" s="611">
        <f>8590.97-790.91</f>
        <v>7800.0599999999995</v>
      </c>
      <c r="H22" s="931">
        <v>44635</v>
      </c>
      <c r="I22" s="1927">
        <v>0</v>
      </c>
      <c r="J22" s="1918">
        <v>44872</v>
      </c>
      <c r="K22" s="1935" t="s">
        <v>3472</v>
      </c>
      <c r="L22" s="226"/>
      <c r="M22"/>
      <c r="N22"/>
      <c r="O22"/>
    </row>
    <row r="23" spans="1:15" ht="15">
      <c r="A23" s="931">
        <v>44658</v>
      </c>
      <c r="B23" s="1124" t="s">
        <v>521</v>
      </c>
      <c r="C23" s="1124" t="s">
        <v>4404</v>
      </c>
      <c r="D23" s="936" t="s">
        <v>1897</v>
      </c>
      <c r="E23" s="950">
        <v>-8014.4</v>
      </c>
      <c r="F23" s="649">
        <v>0</v>
      </c>
      <c r="G23" s="611">
        <v>-8014.4</v>
      </c>
      <c r="H23" s="660"/>
      <c r="I23" s="1960"/>
      <c r="J23" s="1919"/>
      <c r="K23" s="1950"/>
      <c r="L23" s="226"/>
      <c r="M23"/>
      <c r="N23"/>
      <c r="O23"/>
    </row>
    <row r="24" spans="1:15" ht="15">
      <c r="A24" s="931">
        <v>44658</v>
      </c>
      <c r="B24" s="1124" t="s">
        <v>521</v>
      </c>
      <c r="C24" s="1124" t="s">
        <v>4404</v>
      </c>
      <c r="D24" s="936" t="s">
        <v>1898</v>
      </c>
      <c r="E24" s="950">
        <v>-27.9</v>
      </c>
      <c r="F24" s="649">
        <v>0</v>
      </c>
      <c r="G24" s="611">
        <v>-27.9</v>
      </c>
      <c r="H24" s="660"/>
      <c r="I24" s="1960"/>
      <c r="J24" s="1919"/>
      <c r="K24" s="1950"/>
      <c r="L24" s="226"/>
      <c r="M24"/>
      <c r="N24"/>
      <c r="O24"/>
    </row>
    <row r="25" spans="1:15" ht="15">
      <c r="A25" s="931">
        <v>44658</v>
      </c>
      <c r="B25" s="1124" t="s">
        <v>521</v>
      </c>
      <c r="C25" s="1124" t="s">
        <v>4404</v>
      </c>
      <c r="D25" s="936" t="s">
        <v>1899</v>
      </c>
      <c r="E25" s="950">
        <v>-46.13</v>
      </c>
      <c r="F25" s="649">
        <v>0</v>
      </c>
      <c r="G25" s="611">
        <v>-46.13</v>
      </c>
      <c r="H25" s="931"/>
      <c r="I25" s="1960"/>
      <c r="J25" s="1919"/>
      <c r="K25" s="1950"/>
      <c r="L25" s="226"/>
      <c r="M25"/>
      <c r="N25"/>
      <c r="O25"/>
    </row>
    <row r="26" spans="1:15" ht="15">
      <c r="A26" s="931">
        <v>44658</v>
      </c>
      <c r="B26" s="1124" t="s">
        <v>521</v>
      </c>
      <c r="C26" s="1124" t="s">
        <v>4404</v>
      </c>
      <c r="D26" s="936" t="s">
        <v>1900</v>
      </c>
      <c r="E26" s="950">
        <v>-4.28</v>
      </c>
      <c r="F26" s="649">
        <v>-0.9</v>
      </c>
      <c r="G26" s="611">
        <v>-5.18</v>
      </c>
      <c r="H26" s="931"/>
      <c r="I26" s="1960"/>
      <c r="J26" s="1919"/>
      <c r="K26" s="1950"/>
      <c r="L26" s="226"/>
      <c r="M26"/>
      <c r="N26"/>
      <c r="O26"/>
    </row>
    <row r="27" spans="1:15" ht="15">
      <c r="A27" s="931">
        <v>44727</v>
      </c>
      <c r="B27" s="1124" t="s">
        <v>521</v>
      </c>
      <c r="C27" s="1124" t="s">
        <v>4404</v>
      </c>
      <c r="D27" s="936" t="s">
        <v>2299</v>
      </c>
      <c r="E27" s="950">
        <v>-383.4</v>
      </c>
      <c r="F27" s="649">
        <v>0</v>
      </c>
      <c r="G27" s="611">
        <v>-383.4</v>
      </c>
      <c r="H27" s="931">
        <v>44728</v>
      </c>
      <c r="I27" s="1960"/>
      <c r="J27" s="1919"/>
      <c r="K27" s="1950"/>
      <c r="L27" s="226" t="s">
        <v>2300</v>
      </c>
      <c r="M27"/>
      <c r="N27"/>
      <c r="O27"/>
    </row>
    <row r="28" spans="1:15" ht="15">
      <c r="A28" s="1903">
        <v>44638</v>
      </c>
      <c r="B28" s="1918" t="s">
        <v>4125</v>
      </c>
      <c r="C28" s="1918" t="s">
        <v>4404</v>
      </c>
      <c r="D28" s="1909" t="s">
        <v>1753</v>
      </c>
      <c r="E28" s="1923">
        <v>1458</v>
      </c>
      <c r="F28" s="1927">
        <v>0</v>
      </c>
      <c r="G28" s="611">
        <v>676.95</v>
      </c>
      <c r="H28" s="931">
        <v>44639</v>
      </c>
      <c r="I28" s="1928"/>
      <c r="J28" s="1920"/>
      <c r="K28" s="1947"/>
      <c r="L28" s="88"/>
      <c r="M28"/>
      <c r="N28"/>
      <c r="O28"/>
    </row>
    <row r="29" spans="1:15" ht="15">
      <c r="A29" s="1905"/>
      <c r="B29" s="1920"/>
      <c r="C29" s="1920"/>
      <c r="D29" s="1911"/>
      <c r="E29" s="1924"/>
      <c r="F29" s="1928"/>
      <c r="G29" s="611">
        <f>1458-G28</f>
        <v>781.05</v>
      </c>
      <c r="H29" s="931">
        <v>44639</v>
      </c>
      <c r="I29" s="1923">
        <v>-246.22000000000003</v>
      </c>
      <c r="J29" s="1918">
        <v>44893</v>
      </c>
      <c r="K29" s="1956" t="s">
        <v>3644</v>
      </c>
      <c r="L29" s="226"/>
      <c r="M29"/>
      <c r="N29"/>
      <c r="O29"/>
    </row>
    <row r="30" spans="1:15" ht="15">
      <c r="A30" s="931">
        <v>44658</v>
      </c>
      <c r="B30" s="1124" t="s">
        <v>521</v>
      </c>
      <c r="C30" s="1124" t="s">
        <v>4404</v>
      </c>
      <c r="D30" s="936" t="s">
        <v>1901</v>
      </c>
      <c r="E30" s="950">
        <v>-953.12</v>
      </c>
      <c r="F30" s="649">
        <v>-200.16</v>
      </c>
      <c r="G30" s="611">
        <v>-1153.27</v>
      </c>
      <c r="H30" s="931"/>
      <c r="I30" s="1961"/>
      <c r="J30" s="1919"/>
      <c r="K30" s="1962"/>
      <c r="L30" s="226"/>
      <c r="M30"/>
      <c r="N30"/>
      <c r="O30"/>
    </row>
    <row r="31" spans="1:15" ht="15">
      <c r="A31" s="931">
        <v>44680</v>
      </c>
      <c r="B31" s="1124" t="s">
        <v>521</v>
      </c>
      <c r="C31" s="1124" t="s">
        <v>4404</v>
      </c>
      <c r="D31" s="936" t="s">
        <v>2013</v>
      </c>
      <c r="E31" s="950">
        <v>126</v>
      </c>
      <c r="F31" s="649">
        <v>0</v>
      </c>
      <c r="G31" s="611">
        <v>126</v>
      </c>
      <c r="H31" s="931">
        <v>44681</v>
      </c>
      <c r="I31" s="1924"/>
      <c r="J31" s="1920"/>
      <c r="K31" s="1957"/>
      <c r="L31" s="226"/>
      <c r="M31"/>
      <c r="N31"/>
      <c r="O31"/>
    </row>
    <row r="32" spans="1:15" ht="15">
      <c r="A32" s="620">
        <v>44685</v>
      </c>
      <c r="B32" s="1124" t="s">
        <v>521</v>
      </c>
      <c r="C32" s="1124" t="s">
        <v>4404</v>
      </c>
      <c r="D32" s="621" t="s">
        <v>2060</v>
      </c>
      <c r="E32" s="613">
        <v>7147.13</v>
      </c>
      <c r="F32" s="633">
        <v>0</v>
      </c>
      <c r="G32" s="639">
        <v>7147.13</v>
      </c>
      <c r="H32" s="620">
        <v>44686</v>
      </c>
      <c r="I32" s="639">
        <v>7147.13</v>
      </c>
      <c r="J32" s="620">
        <v>44729</v>
      </c>
      <c r="K32" s="420" t="s">
        <v>2292</v>
      </c>
      <c r="L32" s="226"/>
      <c r="M32"/>
      <c r="N32"/>
      <c r="O32"/>
    </row>
    <row r="33" spans="1:15" ht="15">
      <c r="A33" s="632">
        <v>44740</v>
      </c>
      <c r="B33" s="1124" t="s">
        <v>4116</v>
      </c>
      <c r="C33" s="1124" t="s">
        <v>4404</v>
      </c>
      <c r="D33" s="615" t="s">
        <v>2374</v>
      </c>
      <c r="E33" s="609">
        <v>5856.4</v>
      </c>
      <c r="F33" s="649">
        <v>0</v>
      </c>
      <c r="G33" s="611">
        <v>5856.4</v>
      </c>
      <c r="H33" s="632">
        <v>44741</v>
      </c>
      <c r="I33" s="611">
        <v>5856.4</v>
      </c>
      <c r="J33" s="632">
        <v>44817</v>
      </c>
      <c r="K33" s="587" t="s">
        <v>3038</v>
      </c>
      <c r="L33" s="166"/>
      <c r="M33"/>
      <c r="N33"/>
      <c r="O33"/>
    </row>
    <row r="34" spans="1:15" ht="15">
      <c r="A34" s="1903">
        <v>44741</v>
      </c>
      <c r="B34" s="1918" t="s">
        <v>4116</v>
      </c>
      <c r="C34" s="1918" t="s">
        <v>4404</v>
      </c>
      <c r="D34" s="1909" t="s">
        <v>2375</v>
      </c>
      <c r="E34" s="1923">
        <v>18201.14</v>
      </c>
      <c r="F34" s="1927">
        <v>0</v>
      </c>
      <c r="G34" s="611">
        <v>4750</v>
      </c>
      <c r="H34" s="1015">
        <v>44742</v>
      </c>
      <c r="I34" s="611">
        <v>4750</v>
      </c>
      <c r="J34" s="632">
        <v>44806</v>
      </c>
      <c r="K34" s="576" t="s">
        <v>1752</v>
      </c>
      <c r="L34" s="166"/>
      <c r="M34"/>
      <c r="N34"/>
      <c r="O34"/>
    </row>
    <row r="35" spans="1:15" ht="15">
      <c r="A35" s="1904"/>
      <c r="B35" s="1919"/>
      <c r="C35" s="1919"/>
      <c r="D35" s="1910"/>
      <c r="E35" s="1961"/>
      <c r="F35" s="1960"/>
      <c r="G35" s="611">
        <v>3000</v>
      </c>
      <c r="H35" s="1015">
        <v>44742</v>
      </c>
      <c r="I35" s="611">
        <v>3000</v>
      </c>
      <c r="J35" s="877">
        <v>44774</v>
      </c>
      <c r="K35" s="876" t="s">
        <v>1752</v>
      </c>
      <c r="L35" s="226" t="s">
        <v>2636</v>
      </c>
      <c r="M35"/>
      <c r="N35"/>
      <c r="O35"/>
    </row>
    <row r="36" spans="1:15" ht="15">
      <c r="A36" s="1904"/>
      <c r="B36" s="1919"/>
      <c r="C36" s="1919"/>
      <c r="D36" s="1910"/>
      <c r="E36" s="1961"/>
      <c r="F36" s="1960"/>
      <c r="G36" s="611">
        <v>4000</v>
      </c>
      <c r="H36" s="1015">
        <v>44742</v>
      </c>
      <c r="I36" s="611">
        <v>4000</v>
      </c>
      <c r="J36" s="879">
        <v>44865</v>
      </c>
      <c r="K36" s="878" t="s">
        <v>1752</v>
      </c>
      <c r="L36" s="226"/>
      <c r="M36"/>
      <c r="N36"/>
      <c r="O36"/>
    </row>
    <row r="37" spans="1:15" ht="15">
      <c r="A37" s="1904"/>
      <c r="B37" s="1919"/>
      <c r="C37" s="1919"/>
      <c r="D37" s="1910"/>
      <c r="E37" s="1961"/>
      <c r="F37" s="1960"/>
      <c r="G37" s="611">
        <v>4068.22</v>
      </c>
      <c r="H37" s="1015">
        <v>44742</v>
      </c>
      <c r="I37" s="639">
        <v>4068.22</v>
      </c>
      <c r="J37" s="877">
        <v>44893</v>
      </c>
      <c r="K37" s="876" t="s">
        <v>3644</v>
      </c>
      <c r="L37" s="226"/>
      <c r="M37"/>
      <c r="N37"/>
      <c r="O37"/>
    </row>
    <row r="38" spans="1:15" ht="15">
      <c r="A38" s="1905"/>
      <c r="B38" s="1920"/>
      <c r="C38" s="1920"/>
      <c r="D38" s="1911"/>
      <c r="E38" s="1924"/>
      <c r="F38" s="1928"/>
      <c r="G38" s="611">
        <f>18201.14-4750-3000-4000-4068.22</f>
        <v>2382.9199999999996</v>
      </c>
      <c r="H38" s="1015">
        <v>44742</v>
      </c>
      <c r="I38" s="639">
        <v>2382.92</v>
      </c>
      <c r="J38" s="927">
        <v>44925</v>
      </c>
      <c r="K38" s="925" t="s">
        <v>3844</v>
      </c>
      <c r="L38" s="226"/>
      <c r="M38"/>
      <c r="N38"/>
      <c r="O38"/>
    </row>
    <row r="39" spans="1:15" ht="15">
      <c r="A39" s="1015">
        <v>44741</v>
      </c>
      <c r="B39" s="1124" t="s">
        <v>4116</v>
      </c>
      <c r="C39" s="1124" t="s">
        <v>4404</v>
      </c>
      <c r="D39" s="1016" t="s">
        <v>2376</v>
      </c>
      <c r="E39" s="1017">
        <v>0.01</v>
      </c>
      <c r="F39" s="649">
        <v>0</v>
      </c>
      <c r="G39" s="611">
        <v>0.01</v>
      </c>
      <c r="H39" s="1015">
        <v>44742</v>
      </c>
      <c r="I39" s="639">
        <v>0.01</v>
      </c>
      <c r="J39" s="620">
        <v>44746</v>
      </c>
      <c r="K39" s="438" t="s">
        <v>2416</v>
      </c>
      <c r="L39" s="226" t="s">
        <v>2377</v>
      </c>
      <c r="M39"/>
      <c r="N39"/>
      <c r="O39"/>
    </row>
    <row r="40" spans="1:15" ht="15">
      <c r="A40" s="860">
        <v>44776</v>
      </c>
      <c r="B40" s="1124" t="s">
        <v>4116</v>
      </c>
      <c r="C40" s="1124" t="s">
        <v>4404</v>
      </c>
      <c r="D40" s="863" t="s">
        <v>2615</v>
      </c>
      <c r="E40" s="866">
        <v>5919</v>
      </c>
      <c r="F40" s="649">
        <v>0</v>
      </c>
      <c r="G40" s="611">
        <v>5919</v>
      </c>
      <c r="H40" s="860">
        <v>44777</v>
      </c>
      <c r="I40" s="611">
        <v>5919</v>
      </c>
      <c r="J40" s="860">
        <v>44865</v>
      </c>
      <c r="K40" s="858" t="s">
        <v>3038</v>
      </c>
      <c r="L40" s="166"/>
      <c r="M40"/>
      <c r="N40"/>
      <c r="O40"/>
    </row>
    <row r="41" spans="1:15" ht="15">
      <c r="A41" s="931">
        <v>44804</v>
      </c>
      <c r="B41" s="1124" t="s">
        <v>4116</v>
      </c>
      <c r="C41" s="1124" t="s">
        <v>4404</v>
      </c>
      <c r="D41" s="936" t="s">
        <v>2908</v>
      </c>
      <c r="E41" s="950">
        <v>1178.55</v>
      </c>
      <c r="F41" s="649">
        <v>0</v>
      </c>
      <c r="G41" s="611">
        <v>1178.55</v>
      </c>
      <c r="H41" s="931">
        <v>44805</v>
      </c>
      <c r="I41" s="611">
        <v>1178.55</v>
      </c>
      <c r="J41" s="931">
        <v>44893</v>
      </c>
      <c r="K41" s="929" t="s">
        <v>3644</v>
      </c>
      <c r="L41" s="166"/>
      <c r="M41"/>
      <c r="N41"/>
      <c r="O41"/>
    </row>
    <row r="42" spans="1:15" ht="15">
      <c r="A42" s="931">
        <v>44806</v>
      </c>
      <c r="B42" s="1124" t="s">
        <v>4116</v>
      </c>
      <c r="C42" s="1124" t="s">
        <v>4404</v>
      </c>
      <c r="D42" s="936" t="s">
        <v>2909</v>
      </c>
      <c r="E42" s="950">
        <v>0.01</v>
      </c>
      <c r="F42" s="649">
        <v>0</v>
      </c>
      <c r="G42" s="611">
        <v>0.01</v>
      </c>
      <c r="H42" s="931">
        <v>44807</v>
      </c>
      <c r="I42" s="611">
        <v>0.01</v>
      </c>
      <c r="J42" s="931">
        <v>44893</v>
      </c>
      <c r="K42" s="929" t="s">
        <v>809</v>
      </c>
      <c r="L42" s="166" t="s">
        <v>2897</v>
      </c>
      <c r="M42"/>
      <c r="N42"/>
      <c r="O42"/>
    </row>
    <row r="43" spans="1:15" ht="15">
      <c r="A43" s="1321">
        <v>44897</v>
      </c>
      <c r="B43" s="1321" t="s">
        <v>521</v>
      </c>
      <c r="C43" s="1321" t="s">
        <v>4404</v>
      </c>
      <c r="D43" s="1324" t="s">
        <v>3603</v>
      </c>
      <c r="E43" s="1329">
        <v>-63.29</v>
      </c>
      <c r="F43" s="649">
        <v>-13.29</v>
      </c>
      <c r="G43" s="611">
        <v>-76.58</v>
      </c>
      <c r="H43" s="1321"/>
      <c r="I43" s="1933">
        <v>0</v>
      </c>
      <c r="J43" s="1903">
        <v>45034</v>
      </c>
      <c r="K43" s="1935" t="s">
        <v>4849</v>
      </c>
      <c r="L43" s="166"/>
      <c r="M43"/>
      <c r="N43"/>
      <c r="O43"/>
    </row>
    <row r="44" spans="1:15" ht="15">
      <c r="A44" s="1321">
        <v>44928</v>
      </c>
      <c r="B44" s="1321" t="s">
        <v>2644</v>
      </c>
      <c r="C44" s="1321" t="s">
        <v>4404</v>
      </c>
      <c r="D44" s="1324" t="s">
        <v>3863</v>
      </c>
      <c r="E44" s="1329">
        <v>-346.24</v>
      </c>
      <c r="F44" s="649">
        <v>-72.709999999999994</v>
      </c>
      <c r="G44" s="611">
        <v>-418.95</v>
      </c>
      <c r="H44" s="1321" t="s">
        <v>1529</v>
      </c>
      <c r="I44" s="2134"/>
      <c r="J44" s="1904"/>
      <c r="K44" s="1950"/>
      <c r="L44" s="166"/>
      <c r="M44"/>
      <c r="N44"/>
      <c r="O44"/>
    </row>
    <row r="45" spans="1:15" ht="15">
      <c r="A45" s="1321">
        <v>45034</v>
      </c>
      <c r="B45" s="1321" t="s">
        <v>2644</v>
      </c>
      <c r="C45" s="1321" t="s">
        <v>4404</v>
      </c>
      <c r="D45" s="1324" t="s">
        <v>4804</v>
      </c>
      <c r="E45" s="1329">
        <v>409.53</v>
      </c>
      <c r="F45" s="649">
        <v>86</v>
      </c>
      <c r="G45" s="611">
        <v>495.53</v>
      </c>
      <c r="H45" s="1321">
        <v>45035</v>
      </c>
      <c r="I45" s="1934"/>
      <c r="J45" s="1905"/>
      <c r="K45" s="1947"/>
      <c r="L45" s="166" t="s">
        <v>4806</v>
      </c>
      <c r="M45"/>
      <c r="N45"/>
      <c r="O45"/>
    </row>
    <row r="46" spans="1:15" ht="15">
      <c r="A46" s="1903">
        <v>44840</v>
      </c>
      <c r="B46" s="1903" t="s">
        <v>521</v>
      </c>
      <c r="C46" s="1903" t="s">
        <v>4404</v>
      </c>
      <c r="D46" s="1909" t="s">
        <v>3216</v>
      </c>
      <c r="E46" s="1923">
        <v>4713.5200000000004</v>
      </c>
      <c r="F46" s="1927">
        <v>0</v>
      </c>
      <c r="G46" s="611">
        <v>2000</v>
      </c>
      <c r="H46" s="1339">
        <v>44841</v>
      </c>
      <c r="I46" s="611">
        <v>2000</v>
      </c>
      <c r="J46" s="1339">
        <v>44911</v>
      </c>
      <c r="K46" s="1337" t="s">
        <v>3721</v>
      </c>
      <c r="L46" s="166"/>
      <c r="M46"/>
      <c r="N46"/>
      <c r="O46"/>
    </row>
    <row r="47" spans="1:15" ht="15">
      <c r="A47" s="1904"/>
      <c r="B47" s="1904"/>
      <c r="C47" s="1904"/>
      <c r="D47" s="1910"/>
      <c r="E47" s="1961"/>
      <c r="F47" s="1960"/>
      <c r="G47" s="611">
        <v>2500</v>
      </c>
      <c r="H47" s="1339">
        <v>44841</v>
      </c>
      <c r="I47" s="611">
        <v>2500</v>
      </c>
      <c r="J47" s="1339">
        <v>45033</v>
      </c>
      <c r="K47" s="1337" t="s">
        <v>5607</v>
      </c>
      <c r="L47" s="166"/>
      <c r="M47"/>
      <c r="N47"/>
      <c r="O47"/>
    </row>
    <row r="48" spans="1:15" ht="15">
      <c r="A48" s="1905"/>
      <c r="B48" s="1905"/>
      <c r="C48" s="1905"/>
      <c r="D48" s="1911"/>
      <c r="E48" s="1924"/>
      <c r="F48" s="1928"/>
      <c r="G48" s="611">
        <f>4713.53-2000-2500</f>
        <v>213.52999999999975</v>
      </c>
      <c r="H48" s="1339">
        <v>44841</v>
      </c>
      <c r="I48" s="1951">
        <v>2500</v>
      </c>
      <c r="J48" s="1903">
        <v>45043</v>
      </c>
      <c r="K48" s="1935" t="s">
        <v>4895</v>
      </c>
      <c r="L48" s="219"/>
      <c r="M48"/>
      <c r="N48"/>
      <c r="O48"/>
    </row>
    <row r="49" spans="1:15" ht="15">
      <c r="A49" s="1339">
        <v>44845</v>
      </c>
      <c r="B49" s="1339" t="s">
        <v>521</v>
      </c>
      <c r="C49" s="1339" t="s">
        <v>4404</v>
      </c>
      <c r="D49" s="1341" t="s">
        <v>3252</v>
      </c>
      <c r="E49" s="1350">
        <v>552</v>
      </c>
      <c r="F49" s="649">
        <v>0</v>
      </c>
      <c r="G49" s="611">
        <v>552</v>
      </c>
      <c r="H49" s="1339">
        <v>44846</v>
      </c>
      <c r="I49" s="1952"/>
      <c r="J49" s="1904"/>
      <c r="K49" s="1950"/>
      <c r="L49" s="219"/>
      <c r="M49"/>
      <c r="N49"/>
      <c r="O49"/>
    </row>
    <row r="50" spans="1:15" ht="15">
      <c r="A50" s="1339">
        <v>44853.000497685185</v>
      </c>
      <c r="B50" s="1339" t="s">
        <v>521</v>
      </c>
      <c r="C50" s="1339" t="s">
        <v>4404</v>
      </c>
      <c r="D50" s="1341" t="s">
        <v>3294</v>
      </c>
      <c r="E50" s="1350">
        <v>594</v>
      </c>
      <c r="F50" s="649">
        <v>0</v>
      </c>
      <c r="G50" s="611">
        <v>594</v>
      </c>
      <c r="H50" s="1339">
        <v>44854.000497685185</v>
      </c>
      <c r="I50" s="1952"/>
      <c r="J50" s="1904"/>
      <c r="K50" s="1950"/>
      <c r="L50" s="219"/>
      <c r="M50"/>
      <c r="N50"/>
      <c r="O50"/>
    </row>
    <row r="51" spans="1:15" ht="15">
      <c r="A51" s="1339">
        <v>44853.000497685185</v>
      </c>
      <c r="B51" s="1339" t="s">
        <v>521</v>
      </c>
      <c r="C51" s="1339" t="s">
        <v>4404</v>
      </c>
      <c r="D51" s="1341" t="s">
        <v>3295</v>
      </c>
      <c r="E51" s="1350">
        <v>481.7</v>
      </c>
      <c r="F51" s="649">
        <v>0</v>
      </c>
      <c r="G51" s="611">
        <v>481.7</v>
      </c>
      <c r="H51" s="1339">
        <v>44854.000497685185</v>
      </c>
      <c r="I51" s="1952"/>
      <c r="J51" s="1904"/>
      <c r="K51" s="1950"/>
      <c r="L51" s="219"/>
      <c r="M51"/>
      <c r="N51"/>
      <c r="O51"/>
    </row>
    <row r="52" spans="1:15" ht="15">
      <c r="A52" s="1903">
        <v>44862</v>
      </c>
      <c r="B52" s="1903" t="s">
        <v>521</v>
      </c>
      <c r="C52" s="1903" t="s">
        <v>4404</v>
      </c>
      <c r="D52" s="1909" t="s">
        <v>3351</v>
      </c>
      <c r="E52" s="1923">
        <v>873.9</v>
      </c>
      <c r="F52" s="1927">
        <v>0</v>
      </c>
      <c r="G52" s="611">
        <v>658.77</v>
      </c>
      <c r="H52" s="1339">
        <v>44863</v>
      </c>
      <c r="I52" s="1953"/>
      <c r="J52" s="1905"/>
      <c r="K52" s="1947"/>
      <c r="L52" s="219"/>
      <c r="M52" s="190"/>
      <c r="N52" s="190"/>
      <c r="O52"/>
    </row>
    <row r="53" spans="1:15" ht="15">
      <c r="A53" s="1905"/>
      <c r="B53" s="1905"/>
      <c r="C53" s="1905"/>
      <c r="D53" s="1911"/>
      <c r="E53" s="1924"/>
      <c r="F53" s="1928"/>
      <c r="G53" s="611">
        <f>873.9-658.77</f>
        <v>215.13</v>
      </c>
      <c r="H53" s="1339">
        <v>44863</v>
      </c>
      <c r="I53" s="1951">
        <v>2267.7199999999998</v>
      </c>
      <c r="J53" s="1903">
        <v>45044</v>
      </c>
      <c r="K53" s="1935" t="s">
        <v>6139</v>
      </c>
      <c r="L53" s="219"/>
      <c r="M53" s="190"/>
      <c r="N53" s="190"/>
      <c r="O53"/>
    </row>
    <row r="54" spans="1:15" ht="15">
      <c r="A54" s="1339">
        <v>44896</v>
      </c>
      <c r="B54" s="1339" t="s">
        <v>521</v>
      </c>
      <c r="C54" s="1339" t="s">
        <v>4404</v>
      </c>
      <c r="D54" s="1341" t="s">
        <v>3602</v>
      </c>
      <c r="E54" s="1350">
        <v>2686.73</v>
      </c>
      <c r="F54" s="649">
        <v>0</v>
      </c>
      <c r="G54" s="611">
        <v>2686.73</v>
      </c>
      <c r="H54" s="1339">
        <v>44897</v>
      </c>
      <c r="I54" s="1952"/>
      <c r="J54" s="1904"/>
      <c r="K54" s="1950"/>
      <c r="L54" s="219"/>
      <c r="M54"/>
      <c r="N54"/>
      <c r="O54"/>
    </row>
    <row r="55" spans="1:15" ht="15">
      <c r="A55" s="1339">
        <v>44897</v>
      </c>
      <c r="B55" s="1339" t="s">
        <v>521</v>
      </c>
      <c r="C55" s="1339" t="s">
        <v>4404</v>
      </c>
      <c r="D55" s="1341" t="s">
        <v>3604</v>
      </c>
      <c r="E55" s="1350">
        <v>-90</v>
      </c>
      <c r="F55" s="649">
        <v>0</v>
      </c>
      <c r="G55" s="611">
        <v>-90</v>
      </c>
      <c r="H55" s="1339"/>
      <c r="I55" s="1952"/>
      <c r="J55" s="1904"/>
      <c r="K55" s="1950"/>
      <c r="L55" s="219"/>
      <c r="M55"/>
      <c r="N55"/>
      <c r="O55"/>
    </row>
    <row r="56" spans="1:15" ht="15">
      <c r="A56" s="1339">
        <v>44897</v>
      </c>
      <c r="B56" s="1339" t="s">
        <v>521</v>
      </c>
      <c r="C56" s="1339" t="s">
        <v>4404</v>
      </c>
      <c r="D56" s="1341" t="s">
        <v>3605</v>
      </c>
      <c r="E56" s="1350">
        <v>-858.99</v>
      </c>
      <c r="F56" s="649">
        <v>0</v>
      </c>
      <c r="G56" s="611">
        <v>-858.99</v>
      </c>
      <c r="H56" s="1339"/>
      <c r="I56" s="1952"/>
      <c r="J56" s="1904"/>
      <c r="K56" s="1950"/>
      <c r="L56" s="219"/>
      <c r="M56"/>
      <c r="N56"/>
      <c r="O56"/>
    </row>
    <row r="57" spans="1:15" ht="15">
      <c r="A57" s="1339">
        <v>44902.000497685185</v>
      </c>
      <c r="B57" s="1339" t="s">
        <v>521</v>
      </c>
      <c r="C57" s="1339" t="s">
        <v>4404</v>
      </c>
      <c r="D57" s="1341" t="s">
        <v>3661</v>
      </c>
      <c r="E57" s="1350">
        <v>1148.4000000000001</v>
      </c>
      <c r="F57" s="649">
        <v>0</v>
      </c>
      <c r="G57" s="611">
        <v>1148.4000000000001</v>
      </c>
      <c r="H57" s="1339">
        <v>44903</v>
      </c>
      <c r="I57" s="1952"/>
      <c r="J57" s="1904"/>
      <c r="K57" s="1950"/>
      <c r="L57" s="219"/>
      <c r="M57"/>
      <c r="N57"/>
      <c r="O57"/>
    </row>
    <row r="58" spans="1:15" ht="15">
      <c r="A58" s="1339">
        <v>44914</v>
      </c>
      <c r="B58" s="1339" t="s">
        <v>521</v>
      </c>
      <c r="C58" s="1339" t="s">
        <v>4404</v>
      </c>
      <c r="D58" s="1341" t="s">
        <v>3770</v>
      </c>
      <c r="E58" s="1350">
        <v>1874.4</v>
      </c>
      <c r="F58" s="649">
        <v>0</v>
      </c>
      <c r="G58" s="611">
        <v>1874.4</v>
      </c>
      <c r="H58" s="1339">
        <v>44915</v>
      </c>
      <c r="I58" s="1952"/>
      <c r="J58" s="1904"/>
      <c r="K58" s="1950"/>
      <c r="L58" s="219"/>
      <c r="M58"/>
      <c r="N58"/>
      <c r="O58"/>
    </row>
    <row r="59" spans="1:15" ht="15">
      <c r="A59" s="1339">
        <v>44925</v>
      </c>
      <c r="B59" s="1339" t="s">
        <v>521</v>
      </c>
      <c r="C59" s="1339" t="s">
        <v>4404</v>
      </c>
      <c r="D59" s="1341" t="s">
        <v>3816</v>
      </c>
      <c r="E59" s="1350">
        <v>448.88</v>
      </c>
      <c r="F59" s="649">
        <v>0</v>
      </c>
      <c r="G59" s="611">
        <v>448.88</v>
      </c>
      <c r="H59" s="1339">
        <v>44926</v>
      </c>
      <c r="I59" s="1952"/>
      <c r="J59" s="1904"/>
      <c r="K59" s="1950"/>
      <c r="L59" s="219"/>
      <c r="M59"/>
      <c r="N59"/>
      <c r="O59"/>
    </row>
    <row r="60" spans="1:15" ht="15">
      <c r="A60" s="1339">
        <v>44925</v>
      </c>
      <c r="B60" s="1339" t="s">
        <v>521</v>
      </c>
      <c r="C60" s="1339" t="s">
        <v>4404</v>
      </c>
      <c r="D60" s="1341" t="s">
        <v>3817</v>
      </c>
      <c r="E60" s="1350">
        <v>477</v>
      </c>
      <c r="F60" s="649">
        <v>0</v>
      </c>
      <c r="G60" s="611">
        <v>477</v>
      </c>
      <c r="H60" s="1339">
        <v>44926</v>
      </c>
      <c r="I60" s="1952"/>
      <c r="J60" s="1904"/>
      <c r="K60" s="1950"/>
      <c r="L60" s="219"/>
      <c r="M60"/>
      <c r="N60"/>
      <c r="O60"/>
    </row>
    <row r="61" spans="1:15" ht="15">
      <c r="A61" s="1339">
        <v>44928</v>
      </c>
      <c r="B61" s="1339" t="s">
        <v>521</v>
      </c>
      <c r="C61" s="1339" t="s">
        <v>4404</v>
      </c>
      <c r="D61" s="1341" t="s">
        <v>3859</v>
      </c>
      <c r="E61" s="1350">
        <v>1993.95</v>
      </c>
      <c r="F61" s="649">
        <v>0</v>
      </c>
      <c r="G61" s="611">
        <v>1993.95</v>
      </c>
      <c r="H61" s="1339">
        <v>44929.000497685185</v>
      </c>
      <c r="I61" s="1952"/>
      <c r="J61" s="1904"/>
      <c r="K61" s="1950"/>
      <c r="L61" s="219"/>
      <c r="M61"/>
      <c r="N61"/>
      <c r="O61"/>
    </row>
    <row r="62" spans="1:15" ht="15">
      <c r="A62" s="1339">
        <v>44928</v>
      </c>
      <c r="B62" s="1339" t="s">
        <v>2644</v>
      </c>
      <c r="C62" s="1339" t="s">
        <v>4404</v>
      </c>
      <c r="D62" s="1341" t="s">
        <v>3860</v>
      </c>
      <c r="E62" s="1350">
        <v>-43.54</v>
      </c>
      <c r="F62" s="649">
        <v>0</v>
      </c>
      <c r="G62" s="611">
        <v>-43.54</v>
      </c>
      <c r="H62" s="1339" t="s">
        <v>1529</v>
      </c>
      <c r="I62" s="1952"/>
      <c r="J62" s="1904"/>
      <c r="K62" s="1950"/>
      <c r="L62" s="219"/>
      <c r="M62"/>
      <c r="N62"/>
      <c r="O62"/>
    </row>
    <row r="63" spans="1:15" ht="15">
      <c r="A63" s="1339">
        <v>44928</v>
      </c>
      <c r="B63" s="1339" t="s">
        <v>2644</v>
      </c>
      <c r="C63" s="1339" t="s">
        <v>4404</v>
      </c>
      <c r="D63" s="1341" t="s">
        <v>3861</v>
      </c>
      <c r="E63" s="1350">
        <v>-13.05</v>
      </c>
      <c r="F63" s="649">
        <v>0</v>
      </c>
      <c r="G63" s="611">
        <v>-13.05</v>
      </c>
      <c r="H63" s="1339" t="s">
        <v>1529</v>
      </c>
      <c r="I63" s="1952"/>
      <c r="J63" s="1904"/>
      <c r="K63" s="1950"/>
      <c r="L63" s="219"/>
      <c r="M63"/>
      <c r="N63"/>
      <c r="O63"/>
    </row>
    <row r="64" spans="1:15" ht="15">
      <c r="A64" s="1339">
        <v>44928</v>
      </c>
      <c r="B64" s="1339" t="s">
        <v>2644</v>
      </c>
      <c r="C64" s="1339" t="s">
        <v>4404</v>
      </c>
      <c r="D64" s="1341" t="s">
        <v>3862</v>
      </c>
      <c r="E64" s="1350">
        <v>-2774.48</v>
      </c>
      <c r="F64" s="649">
        <v>0</v>
      </c>
      <c r="G64" s="611">
        <v>-2774.48</v>
      </c>
      <c r="H64" s="1339" t="s">
        <v>1529</v>
      </c>
      <c r="I64" s="1952"/>
      <c r="J64" s="1904"/>
      <c r="K64" s="1950"/>
      <c r="L64" s="219"/>
      <c r="M64"/>
      <c r="N64"/>
      <c r="O64"/>
    </row>
    <row r="65" spans="1:15" ht="15">
      <c r="A65" s="1339">
        <v>44929</v>
      </c>
      <c r="B65" s="1339" t="s">
        <v>2644</v>
      </c>
      <c r="C65" s="1339" t="s">
        <v>4404</v>
      </c>
      <c r="D65" s="1341" t="s">
        <v>3864</v>
      </c>
      <c r="E65" s="1350">
        <v>-7764.78</v>
      </c>
      <c r="F65" s="649">
        <v>0</v>
      </c>
      <c r="G65" s="611">
        <v>-7764.78</v>
      </c>
      <c r="H65" s="1339" t="s">
        <v>1529</v>
      </c>
      <c r="I65" s="1952"/>
      <c r="J65" s="1904"/>
      <c r="K65" s="1950"/>
      <c r="L65" s="219"/>
      <c r="M65"/>
      <c r="N65"/>
      <c r="O65"/>
    </row>
    <row r="66" spans="1:15" ht="15">
      <c r="A66" s="1339">
        <v>44938</v>
      </c>
      <c r="B66" s="1339" t="s">
        <v>2644</v>
      </c>
      <c r="C66" s="1339" t="s">
        <v>4404</v>
      </c>
      <c r="D66" s="1341" t="s">
        <v>3889</v>
      </c>
      <c r="E66" s="1350">
        <v>-299.25</v>
      </c>
      <c r="F66" s="649">
        <v>0</v>
      </c>
      <c r="G66" s="611">
        <v>-299.25</v>
      </c>
      <c r="H66" s="1339"/>
      <c r="I66" s="1952"/>
      <c r="J66" s="1904"/>
      <c r="K66" s="1950"/>
      <c r="L66" s="219"/>
      <c r="M66"/>
      <c r="N66"/>
      <c r="O66"/>
    </row>
    <row r="67" spans="1:15" ht="15">
      <c r="A67" s="1339">
        <v>44959.000497685185</v>
      </c>
      <c r="B67" s="1339" t="s">
        <v>2644</v>
      </c>
      <c r="C67" s="1339" t="s">
        <v>4404</v>
      </c>
      <c r="D67" s="1341" t="s">
        <v>4027</v>
      </c>
      <c r="E67" s="1350">
        <v>2474.85</v>
      </c>
      <c r="F67" s="649">
        <v>0</v>
      </c>
      <c r="G67" s="611">
        <v>2474.85</v>
      </c>
      <c r="H67" s="1339">
        <v>45019</v>
      </c>
      <c r="I67" s="1952"/>
      <c r="J67" s="1904"/>
      <c r="K67" s="1950"/>
      <c r="L67" s="219"/>
      <c r="M67"/>
      <c r="N67"/>
      <c r="O67"/>
    </row>
    <row r="68" spans="1:15" ht="15">
      <c r="A68" s="1339">
        <v>44985</v>
      </c>
      <c r="B68" s="1339" t="s">
        <v>2644</v>
      </c>
      <c r="C68" s="1339" t="s">
        <v>4404</v>
      </c>
      <c r="D68" s="1341" t="s">
        <v>4358</v>
      </c>
      <c r="E68" s="1350">
        <v>1332</v>
      </c>
      <c r="F68" s="649">
        <v>0</v>
      </c>
      <c r="G68" s="611">
        <v>1332</v>
      </c>
      <c r="H68" s="1339">
        <v>45030</v>
      </c>
      <c r="I68" s="1952"/>
      <c r="J68" s="1904"/>
      <c r="K68" s="1950"/>
      <c r="L68" s="219"/>
      <c r="M68"/>
      <c r="N68"/>
      <c r="O68"/>
    </row>
    <row r="69" spans="1:15" ht="15">
      <c r="A69" s="1339">
        <v>44992</v>
      </c>
      <c r="B69" s="1339" t="s">
        <v>2644</v>
      </c>
      <c r="C69" s="1339" t="s">
        <v>4404</v>
      </c>
      <c r="D69" s="1341" t="s">
        <v>4426</v>
      </c>
      <c r="E69" s="1350">
        <v>1956</v>
      </c>
      <c r="F69" s="649">
        <v>0</v>
      </c>
      <c r="G69" s="611">
        <v>1956</v>
      </c>
      <c r="H69" s="1339">
        <v>44992</v>
      </c>
      <c r="I69" s="1952"/>
      <c r="J69" s="1904"/>
      <c r="K69" s="1950"/>
      <c r="L69" s="219"/>
      <c r="M69"/>
      <c r="N69"/>
      <c r="O69"/>
    </row>
    <row r="70" spans="1:15" ht="15">
      <c r="A70" s="1339">
        <v>45034</v>
      </c>
      <c r="B70" s="1339" t="s">
        <v>2644</v>
      </c>
      <c r="C70" s="1339" t="s">
        <v>4404</v>
      </c>
      <c r="D70" s="1341" t="s">
        <v>4803</v>
      </c>
      <c r="E70" s="1350">
        <v>-495.53</v>
      </c>
      <c r="F70" s="649">
        <v>0</v>
      </c>
      <c r="G70" s="611">
        <v>-495.53</v>
      </c>
      <c r="H70" s="1339">
        <v>45035</v>
      </c>
      <c r="I70" s="1953"/>
      <c r="J70" s="1905"/>
      <c r="K70" s="1947"/>
      <c r="L70" s="166" t="s">
        <v>4805</v>
      </c>
      <c r="M70"/>
      <c r="N70"/>
      <c r="O70"/>
    </row>
    <row r="71" spans="1:15" ht="15">
      <c r="A71" s="1527">
        <v>45027.000497685185</v>
      </c>
      <c r="B71" s="1527" t="s">
        <v>2644</v>
      </c>
      <c r="C71" s="1527" t="s">
        <v>4404</v>
      </c>
      <c r="D71" s="1530" t="s">
        <v>4716</v>
      </c>
      <c r="E71" s="1533">
        <v>2928.38</v>
      </c>
      <c r="F71" s="649">
        <v>0</v>
      </c>
      <c r="G71" s="611">
        <v>2928.38</v>
      </c>
      <c r="H71" s="1527">
        <v>45087</v>
      </c>
      <c r="I71" s="1951">
        <v>-5748.64</v>
      </c>
      <c r="J71" s="1903">
        <v>45121</v>
      </c>
      <c r="K71" s="1935" t="s">
        <v>5606</v>
      </c>
      <c r="L71" s="219"/>
      <c r="M71"/>
      <c r="N71"/>
      <c r="O71"/>
    </row>
    <row r="72" spans="1:15" ht="15">
      <c r="A72" s="1527">
        <v>45030.000497685185</v>
      </c>
      <c r="B72" s="1527" t="s">
        <v>2644</v>
      </c>
      <c r="C72" s="1527" t="s">
        <v>4404</v>
      </c>
      <c r="D72" s="1530" t="s">
        <v>4717</v>
      </c>
      <c r="E72" s="1533">
        <v>1368</v>
      </c>
      <c r="F72" s="649">
        <v>0</v>
      </c>
      <c r="G72" s="611">
        <v>1368</v>
      </c>
      <c r="H72" s="1527">
        <v>45090</v>
      </c>
      <c r="I72" s="1952"/>
      <c r="J72" s="1904"/>
      <c r="K72" s="1950"/>
      <c r="L72" s="219"/>
      <c r="M72"/>
      <c r="N72"/>
      <c r="O72"/>
    </row>
    <row r="73" spans="1:15" ht="15">
      <c r="A73" s="1527">
        <v>45033</v>
      </c>
      <c r="B73" s="1527" t="s">
        <v>2644</v>
      </c>
      <c r="C73" s="1527" t="s">
        <v>4404</v>
      </c>
      <c r="D73" s="1530" t="s">
        <v>4802</v>
      </c>
      <c r="E73" s="1533">
        <v>1087.6500000000001</v>
      </c>
      <c r="F73" s="649">
        <v>0</v>
      </c>
      <c r="G73" s="611">
        <v>1087.6500000000001</v>
      </c>
      <c r="H73" s="1527">
        <v>45093</v>
      </c>
      <c r="I73" s="1952"/>
      <c r="J73" s="1904"/>
      <c r="K73" s="1950"/>
      <c r="L73" s="219"/>
      <c r="M73"/>
      <c r="N73"/>
      <c r="O73"/>
    </row>
    <row r="74" spans="1:15" ht="15">
      <c r="A74" s="1527">
        <v>45050</v>
      </c>
      <c r="B74" s="1527" t="s">
        <v>2644</v>
      </c>
      <c r="C74" s="1527" t="s">
        <v>4404</v>
      </c>
      <c r="D74" s="1530" t="s">
        <v>4908</v>
      </c>
      <c r="E74" s="1533">
        <v>-611.47</v>
      </c>
      <c r="F74" s="649">
        <v>0</v>
      </c>
      <c r="G74" s="611">
        <v>-611.47</v>
      </c>
      <c r="H74" s="1527"/>
      <c r="I74" s="1952"/>
      <c r="J74" s="1904"/>
      <c r="K74" s="1950"/>
      <c r="L74" s="219"/>
      <c r="M74"/>
      <c r="N74"/>
      <c r="O74"/>
    </row>
    <row r="75" spans="1:15" ht="15">
      <c r="A75" s="1527">
        <v>45050</v>
      </c>
      <c r="B75" s="1527" t="s">
        <v>2644</v>
      </c>
      <c r="C75" s="1527" t="s">
        <v>4404</v>
      </c>
      <c r="D75" s="1530" t="s">
        <v>4909</v>
      </c>
      <c r="E75" s="1533">
        <v>-3.56</v>
      </c>
      <c r="F75" s="649">
        <v>0</v>
      </c>
      <c r="G75" s="611">
        <v>-3.56</v>
      </c>
      <c r="H75" s="1527"/>
      <c r="I75" s="1952"/>
      <c r="J75" s="1904"/>
      <c r="K75" s="1950"/>
      <c r="L75" s="219"/>
      <c r="M75"/>
      <c r="N75"/>
      <c r="O75"/>
    </row>
    <row r="76" spans="1:15" ht="15">
      <c r="A76" s="1527">
        <v>45050</v>
      </c>
      <c r="B76" s="1527" t="s">
        <v>2644</v>
      </c>
      <c r="C76" s="1527" t="s">
        <v>4404</v>
      </c>
      <c r="D76" s="1530" t="s">
        <v>4910</v>
      </c>
      <c r="E76" s="1533">
        <v>-1931.81</v>
      </c>
      <c r="F76" s="649">
        <v>0</v>
      </c>
      <c r="G76" s="611">
        <v>-1931.81</v>
      </c>
      <c r="H76" s="1527"/>
      <c r="I76" s="1952"/>
      <c r="J76" s="1904"/>
      <c r="K76" s="1950"/>
      <c r="L76" s="219"/>
      <c r="M76"/>
      <c r="N76"/>
      <c r="O76"/>
    </row>
    <row r="77" spans="1:15" ht="15">
      <c r="A77" s="1527">
        <v>45050</v>
      </c>
      <c r="B77" s="1527" t="s">
        <v>2644</v>
      </c>
      <c r="C77" s="1527" t="s">
        <v>4404</v>
      </c>
      <c r="D77" s="1530" t="s">
        <v>4911</v>
      </c>
      <c r="E77" s="1533">
        <v>-115.6</v>
      </c>
      <c r="F77" s="649">
        <v>-24.28</v>
      </c>
      <c r="G77" s="611">
        <v>-139.87</v>
      </c>
      <c r="H77" s="1527"/>
      <c r="I77" s="1952"/>
      <c r="J77" s="1904"/>
      <c r="K77" s="1950"/>
      <c r="L77" s="219"/>
      <c r="M77"/>
      <c r="N77"/>
      <c r="O77"/>
    </row>
    <row r="78" spans="1:15" ht="15">
      <c r="A78" s="1527">
        <v>45072</v>
      </c>
      <c r="B78" s="1527" t="s">
        <v>2644</v>
      </c>
      <c r="C78" s="1527" t="s">
        <v>4404</v>
      </c>
      <c r="D78" s="1530" t="s">
        <v>5200</v>
      </c>
      <c r="E78" s="1533">
        <v>-368.4</v>
      </c>
      <c r="F78" s="649">
        <v>0</v>
      </c>
      <c r="G78" s="611">
        <v>-368.4</v>
      </c>
      <c r="H78" s="1527"/>
      <c r="I78" s="1952"/>
      <c r="J78" s="1904"/>
      <c r="K78" s="1950"/>
      <c r="L78" s="219"/>
      <c r="M78"/>
      <c r="N78"/>
      <c r="O78"/>
    </row>
    <row r="79" spans="1:15" ht="15">
      <c r="A79" s="1527">
        <v>45072</v>
      </c>
      <c r="B79" s="1527" t="s">
        <v>2644</v>
      </c>
      <c r="C79" s="1527" t="s">
        <v>4404</v>
      </c>
      <c r="D79" s="1530" t="s">
        <v>5201</v>
      </c>
      <c r="E79" s="1533">
        <v>-2012.55</v>
      </c>
      <c r="F79" s="649">
        <v>0</v>
      </c>
      <c r="G79" s="611">
        <v>-2012.55</v>
      </c>
      <c r="H79" s="1527"/>
      <c r="I79" s="1952"/>
      <c r="J79" s="1904"/>
      <c r="K79" s="1950"/>
      <c r="L79" s="219"/>
      <c r="M79"/>
      <c r="N79"/>
      <c r="O79"/>
    </row>
    <row r="80" spans="1:15" ht="15">
      <c r="A80" s="1527">
        <v>45072</v>
      </c>
      <c r="B80" s="1527" t="s">
        <v>2644</v>
      </c>
      <c r="C80" s="1527" t="s">
        <v>4404</v>
      </c>
      <c r="D80" s="1530" t="s">
        <v>5202</v>
      </c>
      <c r="E80" s="1533">
        <v>-2724.63</v>
      </c>
      <c r="F80" s="649">
        <v>0</v>
      </c>
      <c r="G80" s="611">
        <v>-2724.63</v>
      </c>
      <c r="H80" s="1527"/>
      <c r="I80" s="1952"/>
      <c r="J80" s="1904"/>
      <c r="K80" s="1950"/>
      <c r="L80" s="219"/>
      <c r="M80"/>
      <c r="N80"/>
      <c r="O80"/>
    </row>
    <row r="81" spans="1:15" ht="15">
      <c r="A81" s="1527">
        <v>45072</v>
      </c>
      <c r="B81" s="1527" t="s">
        <v>2644</v>
      </c>
      <c r="C81" s="1527" t="s">
        <v>4404</v>
      </c>
      <c r="D81" s="1530" t="s">
        <v>5203</v>
      </c>
      <c r="E81" s="1533">
        <v>-3164.24</v>
      </c>
      <c r="F81" s="649">
        <v>0</v>
      </c>
      <c r="G81" s="611">
        <v>-3164.24</v>
      </c>
      <c r="H81" s="1527"/>
      <c r="I81" s="1952"/>
      <c r="J81" s="1904"/>
      <c r="K81" s="1950"/>
      <c r="L81" s="219"/>
      <c r="M81"/>
      <c r="N81"/>
      <c r="O81"/>
    </row>
    <row r="82" spans="1:15" ht="15">
      <c r="A82" s="1527">
        <v>45072</v>
      </c>
      <c r="B82" s="1527" t="s">
        <v>2644</v>
      </c>
      <c r="C82" s="1527" t="s">
        <v>4404</v>
      </c>
      <c r="D82" s="1530" t="s">
        <v>5204</v>
      </c>
      <c r="E82" s="1533">
        <v>-24.38</v>
      </c>
      <c r="F82" s="649">
        <v>0</v>
      </c>
      <c r="G82" s="611">
        <v>-24.38</v>
      </c>
      <c r="H82" s="1527"/>
      <c r="I82" s="1952"/>
      <c r="J82" s="1904"/>
      <c r="K82" s="1950"/>
      <c r="L82" s="219"/>
      <c r="M82"/>
      <c r="N82"/>
      <c r="O82"/>
    </row>
    <row r="83" spans="1:15" ht="15">
      <c r="A83" s="1527">
        <v>45072</v>
      </c>
      <c r="B83" s="1527" t="s">
        <v>2644</v>
      </c>
      <c r="C83" s="1527" t="s">
        <v>4404</v>
      </c>
      <c r="D83" s="1530" t="s">
        <v>5205</v>
      </c>
      <c r="E83" s="1533">
        <v>-16.09</v>
      </c>
      <c r="F83" s="649">
        <v>-3.38</v>
      </c>
      <c r="G83" s="611">
        <v>-19.46</v>
      </c>
      <c r="H83" s="1527"/>
      <c r="I83" s="1952"/>
      <c r="J83" s="1904"/>
      <c r="K83" s="1950"/>
      <c r="L83" s="219"/>
      <c r="M83"/>
      <c r="N83"/>
      <c r="O83"/>
    </row>
    <row r="84" spans="1:15" ht="15">
      <c r="A84" s="1527">
        <v>45072</v>
      </c>
      <c r="B84" s="1527" t="s">
        <v>2644</v>
      </c>
      <c r="C84" s="1527" t="s">
        <v>4404</v>
      </c>
      <c r="D84" s="1530" t="s">
        <v>5206</v>
      </c>
      <c r="E84" s="1533">
        <v>-109.34</v>
      </c>
      <c r="F84" s="649">
        <v>-22.96</v>
      </c>
      <c r="G84" s="611">
        <v>-132.30000000000001</v>
      </c>
      <c r="H84" s="1527"/>
      <c r="I84" s="1953"/>
      <c r="J84" s="1905"/>
      <c r="K84" s="1947"/>
      <c r="L84" s="219"/>
      <c r="M84"/>
      <c r="N84"/>
      <c r="O84"/>
    </row>
    <row r="85" spans="1:15" ht="15">
      <c r="A85" s="1527">
        <v>45057</v>
      </c>
      <c r="B85" s="1527" t="s">
        <v>2644</v>
      </c>
      <c r="C85" s="1527" t="s">
        <v>4404</v>
      </c>
      <c r="D85" s="1530" t="s">
        <v>4973</v>
      </c>
      <c r="E85" s="1533">
        <v>4344.25</v>
      </c>
      <c r="F85" s="649">
        <v>0</v>
      </c>
      <c r="G85" s="611">
        <v>4344.25</v>
      </c>
      <c r="H85" s="1527">
        <v>45117</v>
      </c>
      <c r="I85" s="1951">
        <v>8747.68</v>
      </c>
      <c r="J85" s="1903">
        <v>45121</v>
      </c>
      <c r="K85" s="1935" t="s">
        <v>5608</v>
      </c>
      <c r="L85" s="219"/>
      <c r="M85"/>
      <c r="N85"/>
      <c r="O85"/>
    </row>
    <row r="86" spans="1:15" ht="15">
      <c r="A86" s="1527">
        <v>45068</v>
      </c>
      <c r="B86" s="1527" t="s">
        <v>2644</v>
      </c>
      <c r="C86" s="1527" t="s">
        <v>4404</v>
      </c>
      <c r="D86" s="1530" t="s">
        <v>5196</v>
      </c>
      <c r="E86" s="1533">
        <v>3732.15</v>
      </c>
      <c r="F86" s="649">
        <v>0</v>
      </c>
      <c r="G86" s="611">
        <v>3732.15</v>
      </c>
      <c r="H86" s="1527">
        <v>45128</v>
      </c>
      <c r="I86" s="1952"/>
      <c r="J86" s="1904"/>
      <c r="K86" s="1950"/>
      <c r="L86" s="219"/>
      <c r="M86"/>
      <c r="N86"/>
      <c r="O86"/>
    </row>
    <row r="87" spans="1:15" ht="15">
      <c r="A87" s="1527">
        <v>45069</v>
      </c>
      <c r="B87" s="1527" t="s">
        <v>2644</v>
      </c>
      <c r="C87" s="1527" t="s">
        <v>4404</v>
      </c>
      <c r="D87" s="1530" t="s">
        <v>5197</v>
      </c>
      <c r="E87" s="1533">
        <v>927</v>
      </c>
      <c r="F87" s="649">
        <v>0</v>
      </c>
      <c r="G87" s="611">
        <v>927</v>
      </c>
      <c r="H87" s="1527">
        <v>45129</v>
      </c>
      <c r="I87" s="1952"/>
      <c r="J87" s="1904"/>
      <c r="K87" s="1950"/>
      <c r="L87" s="219"/>
      <c r="M87"/>
      <c r="N87"/>
      <c r="O87"/>
    </row>
    <row r="88" spans="1:15" ht="15">
      <c r="A88" s="1527">
        <v>45072</v>
      </c>
      <c r="B88" s="1527" t="s">
        <v>2644</v>
      </c>
      <c r="C88" s="1527" t="s">
        <v>4404</v>
      </c>
      <c r="D88" s="1530" t="s">
        <v>5198</v>
      </c>
      <c r="E88" s="1533">
        <v>-145.09</v>
      </c>
      <c r="F88" s="649">
        <v>0</v>
      </c>
      <c r="G88" s="611">
        <v>-145.09</v>
      </c>
      <c r="H88" s="1527"/>
      <c r="I88" s="1952"/>
      <c r="J88" s="1904"/>
      <c r="K88" s="1950"/>
      <c r="L88" s="219"/>
      <c r="M88"/>
      <c r="N88"/>
      <c r="O88"/>
    </row>
    <row r="89" spans="1:15" ht="15">
      <c r="A89" s="1527">
        <v>45072</v>
      </c>
      <c r="B89" s="1527" t="s">
        <v>2644</v>
      </c>
      <c r="C89" s="1527" t="s">
        <v>4404</v>
      </c>
      <c r="D89" s="1530" t="s">
        <v>5199</v>
      </c>
      <c r="E89" s="1533">
        <v>-110.63</v>
      </c>
      <c r="F89" s="649">
        <v>0</v>
      </c>
      <c r="G89" s="611">
        <v>-110.63</v>
      </c>
      <c r="H89" s="1527"/>
      <c r="I89" s="1953"/>
      <c r="J89" s="1905"/>
      <c r="K89" s="1947"/>
      <c r="L89" s="219"/>
      <c r="M89"/>
      <c r="N89"/>
      <c r="O89"/>
    </row>
    <row r="90" spans="1:15" ht="15">
      <c r="A90" s="1903">
        <v>45078</v>
      </c>
      <c r="B90" s="1903" t="s">
        <v>2644</v>
      </c>
      <c r="C90" s="1903" t="s">
        <v>4404</v>
      </c>
      <c r="D90" s="1909" t="s">
        <v>5253</v>
      </c>
      <c r="E90" s="1923">
        <v>7189.03</v>
      </c>
      <c r="F90" s="1927">
        <v>0</v>
      </c>
      <c r="G90" s="611">
        <v>6000</v>
      </c>
      <c r="H90" s="1738">
        <v>45138</v>
      </c>
      <c r="I90" s="611">
        <v>6000</v>
      </c>
      <c r="J90" s="1738">
        <v>45187</v>
      </c>
      <c r="K90" s="1736" t="s">
        <v>5130</v>
      </c>
      <c r="L90" s="219"/>
      <c r="M90"/>
      <c r="N90"/>
      <c r="O90"/>
    </row>
    <row r="91" spans="1:15" ht="15">
      <c r="A91" s="1905"/>
      <c r="B91" s="1905"/>
      <c r="C91" s="1905"/>
      <c r="D91" s="1911"/>
      <c r="E91" s="1924"/>
      <c r="F91" s="1928"/>
      <c r="G91" s="611">
        <f>7189.03-6000</f>
        <v>1189.0299999999997</v>
      </c>
      <c r="H91" s="1820">
        <v>45138</v>
      </c>
      <c r="I91" s="1951">
        <v>6000</v>
      </c>
      <c r="J91" s="1903">
        <v>45196</v>
      </c>
      <c r="K91" s="1935" t="s">
        <v>6495</v>
      </c>
      <c r="L91" s="219"/>
      <c r="M91"/>
      <c r="N91"/>
      <c r="O91"/>
    </row>
    <row r="92" spans="1:15" ht="15">
      <c r="A92" s="1738">
        <v>45085</v>
      </c>
      <c r="B92" s="1738" t="s">
        <v>2644</v>
      </c>
      <c r="C92" s="1738" t="s">
        <v>4404</v>
      </c>
      <c r="D92" s="1742" t="s">
        <v>5324</v>
      </c>
      <c r="E92" s="1752">
        <v>811.95</v>
      </c>
      <c r="F92" s="649">
        <v>0</v>
      </c>
      <c r="G92" s="611">
        <v>811.95</v>
      </c>
      <c r="H92" s="1820">
        <v>45145</v>
      </c>
      <c r="I92" s="1952"/>
      <c r="J92" s="1904"/>
      <c r="K92" s="1950"/>
      <c r="L92" s="219"/>
      <c r="M92"/>
      <c r="N92"/>
      <c r="O92"/>
    </row>
    <row r="93" spans="1:15" ht="15">
      <c r="A93" s="1903">
        <v>45124</v>
      </c>
      <c r="B93" s="1903" t="s">
        <v>2644</v>
      </c>
      <c r="C93" s="1903" t="s">
        <v>4404</v>
      </c>
      <c r="D93" s="1909" t="s">
        <v>5628</v>
      </c>
      <c r="E93" s="1923">
        <v>7984.63</v>
      </c>
      <c r="F93" s="1927">
        <v>0</v>
      </c>
      <c r="G93" s="611">
        <v>3999.02</v>
      </c>
      <c r="H93" s="1820">
        <v>45184</v>
      </c>
      <c r="I93" s="1953"/>
      <c r="J93" s="1905"/>
      <c r="K93" s="1947"/>
      <c r="L93" s="219"/>
      <c r="M93"/>
      <c r="N93"/>
      <c r="O93"/>
    </row>
    <row r="94" spans="1:15" ht="15">
      <c r="A94" s="1905"/>
      <c r="B94" s="1905"/>
      <c r="C94" s="1905"/>
      <c r="D94" s="1911"/>
      <c r="E94" s="1924"/>
      <c r="F94" s="1928"/>
      <c r="G94" s="611">
        <f>7984.63-3999.02</f>
        <v>3985.61</v>
      </c>
      <c r="H94" s="1820">
        <v>45184</v>
      </c>
      <c r="I94" s="611">
        <v>3985.61</v>
      </c>
      <c r="J94" s="1820">
        <v>45230</v>
      </c>
      <c r="K94" s="1818" t="s">
        <v>6496</v>
      </c>
      <c r="L94" s="219"/>
      <c r="M94"/>
      <c r="N94"/>
      <c r="O94"/>
    </row>
    <row r="95" spans="1:15" ht="15">
      <c r="A95" s="1820">
        <v>45097</v>
      </c>
      <c r="B95" s="1820" t="s">
        <v>2644</v>
      </c>
      <c r="C95" s="1820" t="s">
        <v>4404</v>
      </c>
      <c r="D95" s="1821" t="s">
        <v>5406</v>
      </c>
      <c r="E95" s="1823">
        <v>3310.28</v>
      </c>
      <c r="F95" s="649">
        <v>0</v>
      </c>
      <c r="G95" s="611">
        <v>3310.28</v>
      </c>
      <c r="H95" s="1820">
        <v>45157</v>
      </c>
      <c r="I95" s="611">
        <v>3310.28</v>
      </c>
      <c r="J95" s="1820">
        <v>45189</v>
      </c>
      <c r="K95" s="1818" t="s">
        <v>6140</v>
      </c>
      <c r="L95" s="219"/>
      <c r="M95"/>
      <c r="N95"/>
      <c r="O95"/>
    </row>
    <row r="96" spans="1:15" ht="15">
      <c r="A96" s="1820">
        <v>45124</v>
      </c>
      <c r="B96" s="1820" t="s">
        <v>2644</v>
      </c>
      <c r="C96" s="1820" t="s">
        <v>4404</v>
      </c>
      <c r="D96" s="1821" t="s">
        <v>5629</v>
      </c>
      <c r="E96" s="1823">
        <v>5.4</v>
      </c>
      <c r="F96" s="649">
        <v>0</v>
      </c>
      <c r="G96" s="611">
        <v>5.4</v>
      </c>
      <c r="H96" s="1820">
        <v>45184</v>
      </c>
      <c r="I96" s="1951">
        <v>3653.3900000000003</v>
      </c>
      <c r="J96" s="1903">
        <v>45230</v>
      </c>
      <c r="K96" s="1935" t="s">
        <v>6497</v>
      </c>
      <c r="L96" s="219"/>
      <c r="M96"/>
      <c r="N96"/>
      <c r="O96"/>
    </row>
    <row r="97" spans="1:15" ht="15">
      <c r="A97" s="1820">
        <v>45126</v>
      </c>
      <c r="B97" s="1820" t="s">
        <v>2644</v>
      </c>
      <c r="C97" s="1820" t="s">
        <v>4404</v>
      </c>
      <c r="D97" s="1821" t="s">
        <v>5630</v>
      </c>
      <c r="E97" s="1823">
        <v>-15.3</v>
      </c>
      <c r="F97" s="649">
        <v>0</v>
      </c>
      <c r="G97" s="611">
        <v>-15.3</v>
      </c>
      <c r="H97" s="1820"/>
      <c r="I97" s="1952"/>
      <c r="J97" s="1904"/>
      <c r="K97" s="1950"/>
      <c r="L97" s="219"/>
      <c r="M97"/>
      <c r="N97"/>
      <c r="O97"/>
    </row>
    <row r="98" spans="1:15" ht="15">
      <c r="A98" s="1820">
        <v>45138</v>
      </c>
      <c r="B98" s="1820" t="s">
        <v>2644</v>
      </c>
      <c r="C98" s="1820" t="s">
        <v>4404</v>
      </c>
      <c r="D98" s="1821" t="s">
        <v>5738</v>
      </c>
      <c r="E98" s="1823">
        <v>-2344.6799999999998</v>
      </c>
      <c r="F98" s="649">
        <v>0</v>
      </c>
      <c r="G98" s="611">
        <v>-2344.6799999999998</v>
      </c>
      <c r="H98" s="1820">
        <v>45140</v>
      </c>
      <c r="I98" s="1952"/>
      <c r="J98" s="1904"/>
      <c r="K98" s="1950"/>
      <c r="L98" s="219" t="s">
        <v>5724</v>
      </c>
      <c r="M98"/>
      <c r="N98"/>
      <c r="O98"/>
    </row>
    <row r="99" spans="1:15" ht="15">
      <c r="A99" s="1820">
        <v>45159</v>
      </c>
      <c r="B99" s="1820" t="s">
        <v>5522</v>
      </c>
      <c r="C99" s="1820" t="s">
        <v>4404</v>
      </c>
      <c r="D99" s="1821" t="s">
        <v>5909</v>
      </c>
      <c r="E99" s="1823">
        <v>2836.58</v>
      </c>
      <c r="F99" s="649">
        <v>0</v>
      </c>
      <c r="G99" s="611">
        <v>2836.58</v>
      </c>
      <c r="H99" s="1820">
        <v>45219</v>
      </c>
      <c r="I99" s="1952"/>
      <c r="J99" s="1904"/>
      <c r="K99" s="1950"/>
      <c r="L99" s="219"/>
      <c r="M99"/>
      <c r="N99"/>
      <c r="O99"/>
    </row>
    <row r="100" spans="1:15" ht="15">
      <c r="A100" s="1820">
        <v>45189</v>
      </c>
      <c r="B100" s="1820" t="s">
        <v>5522</v>
      </c>
      <c r="C100" s="1820" t="s">
        <v>4404</v>
      </c>
      <c r="D100" s="1821" t="s">
        <v>6073</v>
      </c>
      <c r="E100" s="1823">
        <v>1296</v>
      </c>
      <c r="F100" s="649">
        <v>0</v>
      </c>
      <c r="G100" s="611">
        <v>1296</v>
      </c>
      <c r="H100" s="1820">
        <v>45248</v>
      </c>
      <c r="I100" s="1952"/>
      <c r="J100" s="1904"/>
      <c r="K100" s="1950"/>
      <c r="L100" s="219"/>
      <c r="M100"/>
      <c r="N100"/>
      <c r="O100"/>
    </row>
    <row r="101" spans="1:15" ht="15">
      <c r="A101" s="1941">
        <v>45191</v>
      </c>
      <c r="B101" s="1941" t="s">
        <v>5522</v>
      </c>
      <c r="C101" s="1941" t="s">
        <v>4404</v>
      </c>
      <c r="D101" s="1954" t="s">
        <v>6074</v>
      </c>
      <c r="E101" s="1945">
        <v>6198.11</v>
      </c>
      <c r="F101" s="1969">
        <v>0</v>
      </c>
      <c r="G101" s="611">
        <v>1875.39</v>
      </c>
      <c r="H101" s="1820">
        <v>45250</v>
      </c>
      <c r="I101" s="1953"/>
      <c r="J101" s="1905"/>
      <c r="K101" s="1947"/>
      <c r="L101" s="219"/>
      <c r="M101"/>
      <c r="N101"/>
      <c r="O101"/>
    </row>
    <row r="102" spans="1:15" ht="15">
      <c r="A102" s="1942"/>
      <c r="B102" s="1942"/>
      <c r="C102" s="1942"/>
      <c r="D102" s="1955"/>
      <c r="E102" s="1946"/>
      <c r="F102" s="1971"/>
      <c r="G102" s="605">
        <f>6198.11-1875.39</f>
        <v>4322.7199999999993</v>
      </c>
      <c r="H102" s="623">
        <v>45250</v>
      </c>
      <c r="I102" s="605"/>
      <c r="J102" s="623"/>
      <c r="K102" s="503"/>
      <c r="L102" s="219"/>
      <c r="M102"/>
      <c r="N102"/>
      <c r="O102"/>
    </row>
    <row r="103" spans="1:15" ht="15">
      <c r="A103" s="623">
        <v>45197</v>
      </c>
      <c r="B103" s="623" t="s">
        <v>5522</v>
      </c>
      <c r="C103" s="623" t="s">
        <v>4404</v>
      </c>
      <c r="D103" s="624" t="s">
        <v>6179</v>
      </c>
      <c r="E103" s="603">
        <v>-1770.6</v>
      </c>
      <c r="F103" s="644">
        <v>0</v>
      </c>
      <c r="G103" s="605">
        <v>-1770.6</v>
      </c>
      <c r="H103" s="623"/>
      <c r="I103" s="605"/>
      <c r="J103" s="623"/>
      <c r="K103" s="503"/>
      <c r="L103" s="219"/>
      <c r="M103"/>
      <c r="N103"/>
      <c r="O103"/>
    </row>
    <row r="104" spans="1:15" ht="15">
      <c r="A104" s="623">
        <v>45198</v>
      </c>
      <c r="B104" s="623" t="s">
        <v>5522</v>
      </c>
      <c r="C104" s="623" t="s">
        <v>4404</v>
      </c>
      <c r="D104" s="624" t="s">
        <v>6180</v>
      </c>
      <c r="E104" s="603">
        <v>-152.69</v>
      </c>
      <c r="F104" s="644">
        <v>0</v>
      </c>
      <c r="G104" s="605">
        <v>-152.69</v>
      </c>
      <c r="H104" s="623"/>
      <c r="I104" s="605"/>
      <c r="J104" s="623"/>
      <c r="K104" s="503"/>
      <c r="L104" s="219"/>
      <c r="M104"/>
      <c r="N104"/>
      <c r="O104"/>
    </row>
    <row r="105" spans="1:15" ht="15">
      <c r="A105" s="623">
        <v>45201</v>
      </c>
      <c r="B105" s="623" t="s">
        <v>5522</v>
      </c>
      <c r="C105" s="623" t="s">
        <v>4404</v>
      </c>
      <c r="D105" s="624" t="s">
        <v>6181</v>
      </c>
      <c r="E105" s="603">
        <v>-116.89</v>
      </c>
      <c r="F105" s="644">
        <v>0</v>
      </c>
      <c r="G105" s="605">
        <v>-116.89</v>
      </c>
      <c r="H105" s="623"/>
      <c r="I105" s="605"/>
      <c r="J105" s="623"/>
      <c r="K105" s="503"/>
      <c r="L105" s="219"/>
      <c r="M105"/>
      <c r="N105"/>
      <c r="O105"/>
    </row>
    <row r="106" spans="1:15" ht="15">
      <c r="A106" s="623">
        <v>45201</v>
      </c>
      <c r="B106" s="623" t="s">
        <v>5522</v>
      </c>
      <c r="C106" s="623" t="s">
        <v>4404</v>
      </c>
      <c r="D106" s="624" t="s">
        <v>6182</v>
      </c>
      <c r="E106" s="603">
        <v>-2655.6</v>
      </c>
      <c r="F106" s="644">
        <v>0</v>
      </c>
      <c r="G106" s="605">
        <v>-2655.6</v>
      </c>
      <c r="H106" s="623"/>
      <c r="I106" s="605"/>
      <c r="J106" s="623"/>
      <c r="K106" s="503"/>
      <c r="L106" s="219"/>
      <c r="M106"/>
      <c r="N106"/>
      <c r="O106"/>
    </row>
    <row r="107" spans="1:15" ht="15">
      <c r="A107" s="623">
        <v>45201</v>
      </c>
      <c r="B107" s="623" t="s">
        <v>5522</v>
      </c>
      <c r="C107" s="623" t="s">
        <v>4404</v>
      </c>
      <c r="D107" s="624" t="s">
        <v>6183</v>
      </c>
      <c r="E107" s="603">
        <v>-180</v>
      </c>
      <c r="F107" s="644">
        <v>0</v>
      </c>
      <c r="G107" s="605">
        <v>-180</v>
      </c>
      <c r="H107" s="623"/>
      <c r="I107" s="605"/>
      <c r="J107" s="623"/>
      <c r="K107" s="503"/>
      <c r="L107" s="219"/>
      <c r="M107"/>
      <c r="N107"/>
      <c r="O107"/>
    </row>
    <row r="108" spans="1:15" ht="15">
      <c r="A108" s="623">
        <v>45201</v>
      </c>
      <c r="B108" s="623" t="s">
        <v>5522</v>
      </c>
      <c r="C108" s="623" t="s">
        <v>4404</v>
      </c>
      <c r="D108" s="624" t="s">
        <v>6184</v>
      </c>
      <c r="E108" s="603">
        <v>-360</v>
      </c>
      <c r="F108" s="644">
        <v>0</v>
      </c>
      <c r="G108" s="605">
        <v>-360</v>
      </c>
      <c r="H108" s="623"/>
      <c r="I108" s="605"/>
      <c r="J108" s="623"/>
      <c r="K108" s="503"/>
      <c r="L108" s="219"/>
      <c r="M108"/>
      <c r="N108"/>
      <c r="O108"/>
    </row>
    <row r="109" spans="1:15" ht="15">
      <c r="A109" s="623">
        <v>45201</v>
      </c>
      <c r="B109" s="623" t="s">
        <v>5522</v>
      </c>
      <c r="C109" s="623" t="s">
        <v>4404</v>
      </c>
      <c r="D109" s="624" t="s">
        <v>6185</v>
      </c>
      <c r="E109" s="603">
        <v>-135.72999999999999</v>
      </c>
      <c r="F109" s="644">
        <v>0</v>
      </c>
      <c r="G109" s="605">
        <v>-135.72999999999999</v>
      </c>
      <c r="H109" s="623"/>
      <c r="I109" s="605"/>
      <c r="J109" s="623"/>
      <c r="K109" s="503"/>
      <c r="L109" s="219"/>
      <c r="M109"/>
      <c r="N109"/>
      <c r="O109"/>
    </row>
    <row r="110" spans="1:15" ht="15">
      <c r="A110" s="623">
        <v>45201</v>
      </c>
      <c r="B110" s="623" t="s">
        <v>5522</v>
      </c>
      <c r="C110" s="623" t="s">
        <v>4404</v>
      </c>
      <c r="D110" s="624" t="s">
        <v>6186</v>
      </c>
      <c r="E110" s="603">
        <v>-215.59</v>
      </c>
      <c r="F110" s="644">
        <v>0</v>
      </c>
      <c r="G110" s="605">
        <v>-215.59</v>
      </c>
      <c r="H110" s="623"/>
      <c r="I110" s="605"/>
      <c r="J110" s="623"/>
      <c r="K110" s="503"/>
      <c r="L110" s="219"/>
      <c r="M110"/>
      <c r="N110"/>
      <c r="O110"/>
    </row>
    <row r="111" spans="1:15" ht="15">
      <c r="A111" s="623">
        <v>45201</v>
      </c>
      <c r="B111" s="623" t="s">
        <v>5522</v>
      </c>
      <c r="C111" s="623" t="s">
        <v>4404</v>
      </c>
      <c r="D111" s="624" t="s">
        <v>6187</v>
      </c>
      <c r="E111" s="603">
        <v>-100.51</v>
      </c>
      <c r="F111" s="644">
        <v>0</v>
      </c>
      <c r="G111" s="605">
        <v>-100.51</v>
      </c>
      <c r="H111" s="623"/>
      <c r="I111" s="605"/>
      <c r="J111" s="623"/>
      <c r="K111" s="503"/>
      <c r="L111" s="219"/>
      <c r="M111"/>
      <c r="N111"/>
      <c r="O111"/>
    </row>
    <row r="112" spans="1:15" ht="15">
      <c r="A112" s="623">
        <v>45201</v>
      </c>
      <c r="B112" s="623" t="s">
        <v>5522</v>
      </c>
      <c r="C112" s="623" t="s">
        <v>4404</v>
      </c>
      <c r="D112" s="624" t="s">
        <v>6188</v>
      </c>
      <c r="E112" s="603">
        <v>-112.01</v>
      </c>
      <c r="F112" s="644">
        <v>0</v>
      </c>
      <c r="G112" s="605">
        <v>-112.01</v>
      </c>
      <c r="H112" s="623"/>
      <c r="I112" s="605"/>
      <c r="J112" s="623"/>
      <c r="K112" s="503"/>
      <c r="L112" s="219"/>
      <c r="M112"/>
      <c r="N112"/>
      <c r="O112"/>
    </row>
    <row r="113" spans="1:15" ht="15">
      <c r="A113" s="623">
        <v>45208</v>
      </c>
      <c r="B113" s="623" t="s">
        <v>5522</v>
      </c>
      <c r="C113" s="623" t="s">
        <v>4404</v>
      </c>
      <c r="D113" s="624" t="s">
        <v>6312</v>
      </c>
      <c r="E113" s="603">
        <v>702</v>
      </c>
      <c r="F113" s="644">
        <v>0</v>
      </c>
      <c r="G113" s="605">
        <v>702</v>
      </c>
      <c r="H113" s="623">
        <v>45267</v>
      </c>
      <c r="I113" s="605"/>
      <c r="J113" s="623"/>
      <c r="K113" s="503"/>
      <c r="L113" s="219"/>
      <c r="M113"/>
      <c r="N113"/>
      <c r="O113"/>
    </row>
    <row r="114" spans="1:15" ht="15">
      <c r="A114" s="623">
        <v>45209</v>
      </c>
      <c r="B114" s="623" t="s">
        <v>5522</v>
      </c>
      <c r="C114" s="623" t="s">
        <v>4404</v>
      </c>
      <c r="D114" s="624" t="s">
        <v>6313</v>
      </c>
      <c r="E114" s="603">
        <v>1707.98</v>
      </c>
      <c r="F114" s="644">
        <v>0</v>
      </c>
      <c r="G114" s="605">
        <v>1707.98</v>
      </c>
      <c r="H114" s="623">
        <v>45268</v>
      </c>
      <c r="I114" s="605"/>
      <c r="J114" s="623"/>
      <c r="K114" s="503"/>
      <c r="L114" s="219"/>
      <c r="M114"/>
      <c r="N114"/>
      <c r="O114"/>
    </row>
    <row r="115" spans="1:15" ht="15">
      <c r="A115" s="623">
        <v>45215.333831018521</v>
      </c>
      <c r="B115" s="623" t="s">
        <v>5522</v>
      </c>
      <c r="C115" s="623" t="s">
        <v>4404</v>
      </c>
      <c r="D115" s="624" t="s">
        <v>6356</v>
      </c>
      <c r="E115" s="603">
        <v>2831.18</v>
      </c>
      <c r="F115" s="644">
        <v>0</v>
      </c>
      <c r="G115" s="605">
        <v>2831.18</v>
      </c>
      <c r="H115" s="623">
        <v>45274.333831018521</v>
      </c>
      <c r="I115" s="605"/>
      <c r="J115" s="623"/>
      <c r="K115" s="503"/>
      <c r="L115" s="219"/>
      <c r="M115"/>
      <c r="N115"/>
      <c r="O115"/>
    </row>
    <row r="116" spans="1:15" ht="15">
      <c r="A116" s="623">
        <v>45222</v>
      </c>
      <c r="B116" s="623" t="s">
        <v>5522</v>
      </c>
      <c r="C116" s="623" t="s">
        <v>4404</v>
      </c>
      <c r="D116" s="624" t="s">
        <v>6399</v>
      </c>
      <c r="E116" s="603">
        <v>-398.59</v>
      </c>
      <c r="F116" s="644">
        <v>0</v>
      </c>
      <c r="G116" s="605">
        <v>-398.59</v>
      </c>
      <c r="H116" s="623"/>
      <c r="I116" s="605"/>
      <c r="J116" s="623"/>
      <c r="K116" s="503"/>
      <c r="L116" s="219"/>
      <c r="M116"/>
      <c r="N116"/>
      <c r="O116"/>
    </row>
    <row r="117" spans="1:15" ht="15">
      <c r="A117" s="623">
        <v>45222</v>
      </c>
      <c r="B117" s="623" t="s">
        <v>5522</v>
      </c>
      <c r="C117" s="623" t="s">
        <v>4404</v>
      </c>
      <c r="D117" s="624" t="s">
        <v>6400</v>
      </c>
      <c r="E117" s="603">
        <v>-95.4</v>
      </c>
      <c r="F117" s="644">
        <v>0</v>
      </c>
      <c r="G117" s="605">
        <v>-95.4</v>
      </c>
      <c r="H117" s="623"/>
      <c r="I117" s="605"/>
      <c r="J117" s="623"/>
      <c r="K117" s="503"/>
      <c r="L117" s="219"/>
      <c r="M117"/>
      <c r="N117"/>
      <c r="O117"/>
    </row>
    <row r="118" spans="1:15" ht="15">
      <c r="A118" s="623">
        <v>45222</v>
      </c>
      <c r="B118" s="623" t="s">
        <v>5522</v>
      </c>
      <c r="C118" s="623" t="s">
        <v>4404</v>
      </c>
      <c r="D118" s="624" t="s">
        <v>6401</v>
      </c>
      <c r="E118" s="603">
        <v>-343.95</v>
      </c>
      <c r="F118" s="644">
        <v>0</v>
      </c>
      <c r="G118" s="605">
        <v>-343.95</v>
      </c>
      <c r="H118" s="623"/>
      <c r="I118" s="605"/>
      <c r="J118" s="623"/>
      <c r="K118" s="503"/>
      <c r="L118" s="219"/>
      <c r="M118"/>
      <c r="N118"/>
      <c r="O118"/>
    </row>
    <row r="119" spans="1:15" ht="15">
      <c r="A119" s="623">
        <v>45222</v>
      </c>
      <c r="B119" s="623" t="s">
        <v>5522</v>
      </c>
      <c r="C119" s="623" t="s">
        <v>4404</v>
      </c>
      <c r="D119" s="624" t="s">
        <v>6402</v>
      </c>
      <c r="E119" s="603">
        <v>-219.6</v>
      </c>
      <c r="F119" s="644">
        <v>0</v>
      </c>
      <c r="G119" s="605">
        <v>-219.6</v>
      </c>
      <c r="H119" s="623"/>
      <c r="I119" s="605"/>
      <c r="J119" s="623"/>
      <c r="K119" s="503"/>
      <c r="L119" s="219"/>
      <c r="M119"/>
      <c r="N119"/>
      <c r="O119"/>
    </row>
    <row r="120" spans="1:15" ht="15">
      <c r="A120" s="623">
        <v>45222</v>
      </c>
      <c r="B120" s="623" t="s">
        <v>5522</v>
      </c>
      <c r="C120" s="623" t="s">
        <v>4404</v>
      </c>
      <c r="D120" s="624" t="s">
        <v>6403</v>
      </c>
      <c r="E120" s="603">
        <v>-224.49</v>
      </c>
      <c r="F120" s="644">
        <v>0</v>
      </c>
      <c r="G120" s="605">
        <v>-224.49</v>
      </c>
      <c r="H120" s="623"/>
      <c r="I120" s="605"/>
      <c r="J120" s="623"/>
      <c r="K120" s="503"/>
      <c r="L120" s="219"/>
      <c r="M120"/>
      <c r="N120"/>
      <c r="O120"/>
    </row>
    <row r="121" spans="1:15" ht="15">
      <c r="A121" s="623">
        <v>45222</v>
      </c>
      <c r="B121" s="623" t="s">
        <v>5522</v>
      </c>
      <c r="C121" s="623" t="s">
        <v>4404</v>
      </c>
      <c r="D121" s="624" t="s">
        <v>6404</v>
      </c>
      <c r="E121" s="603">
        <v>-80.63</v>
      </c>
      <c r="F121" s="644">
        <v>0</v>
      </c>
      <c r="G121" s="605">
        <v>-80.63</v>
      </c>
      <c r="H121" s="623"/>
      <c r="I121" s="605"/>
      <c r="J121" s="623"/>
      <c r="K121" s="503"/>
      <c r="L121" s="219"/>
      <c r="M121"/>
      <c r="N121"/>
      <c r="O121"/>
    </row>
    <row r="122" spans="1:15" ht="15">
      <c r="A122" s="623">
        <v>45222</v>
      </c>
      <c r="B122" s="623" t="s">
        <v>5522</v>
      </c>
      <c r="C122" s="623" t="s">
        <v>4404</v>
      </c>
      <c r="D122" s="624" t="s">
        <v>6405</v>
      </c>
      <c r="E122" s="603">
        <v>-42.05</v>
      </c>
      <c r="F122" s="644">
        <v>0</v>
      </c>
      <c r="G122" s="605">
        <v>-42.05</v>
      </c>
      <c r="H122" s="623"/>
      <c r="I122" s="605"/>
      <c r="J122" s="623"/>
      <c r="K122" s="503"/>
      <c r="L122" s="219"/>
      <c r="M122"/>
      <c r="N122"/>
      <c r="O122"/>
    </row>
    <row r="123" spans="1:15" ht="15">
      <c r="A123" s="623">
        <v>45222</v>
      </c>
      <c r="B123" s="623" t="s">
        <v>5522</v>
      </c>
      <c r="C123" s="623" t="s">
        <v>4404</v>
      </c>
      <c r="D123" s="624" t="s">
        <v>6406</v>
      </c>
      <c r="E123" s="603">
        <v>-449.4</v>
      </c>
      <c r="F123" s="644">
        <v>0</v>
      </c>
      <c r="G123" s="605">
        <v>-449.4</v>
      </c>
      <c r="H123" s="623"/>
      <c r="I123" s="605"/>
      <c r="J123" s="623"/>
      <c r="K123" s="503"/>
      <c r="L123" s="219"/>
      <c r="M123"/>
      <c r="N123"/>
      <c r="O123"/>
    </row>
    <row r="124" spans="1:15" ht="15">
      <c r="A124" s="623">
        <v>45222</v>
      </c>
      <c r="B124" s="623" t="s">
        <v>5522</v>
      </c>
      <c r="C124" s="623" t="s">
        <v>4404</v>
      </c>
      <c r="D124" s="624" t="s">
        <v>6407</v>
      </c>
      <c r="E124" s="603">
        <v>-318.57</v>
      </c>
      <c r="F124" s="644">
        <v>0</v>
      </c>
      <c r="G124" s="605">
        <v>-318.57</v>
      </c>
      <c r="H124" s="623"/>
      <c r="I124" s="605"/>
      <c r="J124" s="623"/>
      <c r="K124" s="503"/>
      <c r="L124" s="219"/>
      <c r="M124"/>
      <c r="N124"/>
      <c r="O124"/>
    </row>
    <row r="125" spans="1:15" ht="15">
      <c r="A125" s="623">
        <v>45222</v>
      </c>
      <c r="B125" s="623" t="s">
        <v>5522</v>
      </c>
      <c r="C125" s="623" t="s">
        <v>4404</v>
      </c>
      <c r="D125" s="624" t="s">
        <v>6408</v>
      </c>
      <c r="E125" s="603">
        <v>-302.45999999999998</v>
      </c>
      <c r="F125" s="644">
        <v>0</v>
      </c>
      <c r="G125" s="605">
        <v>-302.45999999999998</v>
      </c>
      <c r="H125" s="623"/>
      <c r="I125" s="605"/>
      <c r="J125" s="623"/>
      <c r="K125" s="503"/>
      <c r="L125" s="219"/>
      <c r="M125"/>
      <c r="N125"/>
      <c r="O125"/>
    </row>
    <row r="126" spans="1:15" ht="15">
      <c r="A126" s="623">
        <v>45222</v>
      </c>
      <c r="B126" s="623" t="s">
        <v>5522</v>
      </c>
      <c r="C126" s="623" t="s">
        <v>4404</v>
      </c>
      <c r="D126" s="624" t="s">
        <v>6409</v>
      </c>
      <c r="E126" s="603">
        <v>-178.04</v>
      </c>
      <c r="F126" s="644">
        <v>0</v>
      </c>
      <c r="G126" s="605">
        <v>-178.04</v>
      </c>
      <c r="H126" s="623"/>
      <c r="I126" s="605"/>
      <c r="J126" s="623"/>
      <c r="K126" s="503"/>
      <c r="L126" s="219"/>
      <c r="M126"/>
      <c r="N126"/>
      <c r="O126"/>
    </row>
    <row r="127" spans="1:15" ht="15">
      <c r="A127" s="623">
        <v>45222</v>
      </c>
      <c r="B127" s="623" t="s">
        <v>5522</v>
      </c>
      <c r="C127" s="623" t="s">
        <v>4404</v>
      </c>
      <c r="D127" s="624" t="s">
        <v>6410</v>
      </c>
      <c r="E127" s="603">
        <v>-46.83</v>
      </c>
      <c r="F127" s="644">
        <v>0</v>
      </c>
      <c r="G127" s="605">
        <v>-46.83</v>
      </c>
      <c r="H127" s="623"/>
      <c r="I127" s="605"/>
      <c r="J127" s="623"/>
      <c r="K127" s="503"/>
      <c r="L127" s="219"/>
      <c r="M127"/>
      <c r="N127"/>
      <c r="O127"/>
    </row>
    <row r="128" spans="1:15" ht="15">
      <c r="A128" s="623">
        <v>45222</v>
      </c>
      <c r="B128" s="623" t="s">
        <v>5522</v>
      </c>
      <c r="C128" s="623" t="s">
        <v>4404</v>
      </c>
      <c r="D128" s="624" t="s">
        <v>6411</v>
      </c>
      <c r="E128" s="603">
        <v>-11</v>
      </c>
      <c r="F128" s="644">
        <v>-2.31</v>
      </c>
      <c r="G128" s="605">
        <v>-13.31</v>
      </c>
      <c r="H128" s="623"/>
      <c r="I128" s="605"/>
      <c r="J128" s="623"/>
      <c r="K128" s="503"/>
      <c r="L128" s="219"/>
      <c r="M128"/>
      <c r="N128"/>
      <c r="O128"/>
    </row>
    <row r="129" spans="1:15" ht="15">
      <c r="A129" s="623">
        <v>45222</v>
      </c>
      <c r="B129" s="623" t="s">
        <v>5522</v>
      </c>
      <c r="C129" s="623" t="s">
        <v>4404</v>
      </c>
      <c r="D129" s="624" t="s">
        <v>6412</v>
      </c>
      <c r="E129" s="603">
        <v>-264.05</v>
      </c>
      <c r="F129" s="644">
        <v>-55.45</v>
      </c>
      <c r="G129" s="605">
        <v>-319.5</v>
      </c>
      <c r="H129" s="623"/>
      <c r="I129" s="605"/>
      <c r="J129" s="623"/>
      <c r="K129" s="503"/>
      <c r="L129" s="219"/>
      <c r="M129"/>
      <c r="N129"/>
      <c r="O129"/>
    </row>
    <row r="130" spans="1:15" ht="15">
      <c r="A130" s="623">
        <v>45222</v>
      </c>
      <c r="B130" s="623" t="s">
        <v>5522</v>
      </c>
      <c r="C130" s="623" t="s">
        <v>4404</v>
      </c>
      <c r="D130" s="624" t="s">
        <v>6413</v>
      </c>
      <c r="E130" s="603">
        <v>-23.74</v>
      </c>
      <c r="F130" s="644">
        <v>-4.99</v>
      </c>
      <c r="G130" s="605">
        <v>-28.73</v>
      </c>
      <c r="H130" s="623"/>
      <c r="I130" s="605"/>
      <c r="J130" s="623"/>
      <c r="K130" s="503"/>
      <c r="L130" s="219"/>
      <c r="M130"/>
      <c r="N130"/>
      <c r="O130"/>
    </row>
    <row r="131" spans="1:15" ht="15">
      <c r="A131" s="623">
        <v>45225</v>
      </c>
      <c r="B131" s="623" t="s">
        <v>5522</v>
      </c>
      <c r="C131" s="623" t="s">
        <v>4404</v>
      </c>
      <c r="D131" s="624" t="s">
        <v>6414</v>
      </c>
      <c r="E131" s="603">
        <v>3012.78</v>
      </c>
      <c r="F131" s="644">
        <v>0</v>
      </c>
      <c r="G131" s="605">
        <v>3012.78</v>
      </c>
      <c r="H131" s="623">
        <v>45284</v>
      </c>
      <c r="I131" s="605"/>
      <c r="J131" s="623"/>
      <c r="K131" s="503"/>
      <c r="L131" s="219"/>
      <c r="M131"/>
      <c r="N131"/>
      <c r="O131"/>
    </row>
    <row r="132" spans="1:15" ht="15">
      <c r="A132" s="623">
        <v>45229</v>
      </c>
      <c r="B132" s="623" t="s">
        <v>5522</v>
      </c>
      <c r="C132" s="623" t="s">
        <v>4404</v>
      </c>
      <c r="D132" s="624" t="s">
        <v>6470</v>
      </c>
      <c r="E132" s="603">
        <v>790</v>
      </c>
      <c r="F132" s="644">
        <v>0</v>
      </c>
      <c r="G132" s="605">
        <v>790</v>
      </c>
      <c r="H132" s="623">
        <v>45289</v>
      </c>
      <c r="I132" s="605"/>
      <c r="J132" s="623"/>
      <c r="K132" s="503"/>
      <c r="L132" s="219"/>
      <c r="M132"/>
      <c r="N132"/>
      <c r="O132"/>
    </row>
    <row r="133" spans="1:15" ht="15">
      <c r="A133" s="623">
        <v>45240</v>
      </c>
      <c r="B133" s="623" t="s">
        <v>5522</v>
      </c>
      <c r="C133" s="623" t="s">
        <v>4404</v>
      </c>
      <c r="D133" s="624" t="s">
        <v>6519</v>
      </c>
      <c r="E133" s="603">
        <v>1987.5</v>
      </c>
      <c r="F133" s="644">
        <v>0</v>
      </c>
      <c r="G133" s="605">
        <v>1987.5</v>
      </c>
      <c r="H133" s="623">
        <v>45241</v>
      </c>
      <c r="I133" s="605"/>
      <c r="J133" s="623"/>
      <c r="K133" s="503"/>
      <c r="L133" s="219"/>
      <c r="M133"/>
      <c r="N133"/>
      <c r="O133"/>
    </row>
    <row r="134" spans="1:15" ht="15">
      <c r="A134" s="623">
        <v>45245</v>
      </c>
      <c r="B134" s="623" t="s">
        <v>5522</v>
      </c>
      <c r="C134" s="623" t="s">
        <v>4404</v>
      </c>
      <c r="D134" s="624" t="s">
        <v>6564</v>
      </c>
      <c r="E134" s="603">
        <v>3387</v>
      </c>
      <c r="F134" s="644">
        <v>0</v>
      </c>
      <c r="G134" s="605">
        <v>3387</v>
      </c>
      <c r="H134" s="623">
        <v>45305</v>
      </c>
      <c r="I134" s="605"/>
      <c r="J134" s="623"/>
      <c r="K134" s="503"/>
      <c r="L134" s="219"/>
      <c r="M134"/>
      <c r="N134"/>
      <c r="O134"/>
    </row>
    <row r="135" spans="1:15" ht="15">
      <c r="A135" s="623"/>
      <c r="B135" s="623"/>
      <c r="C135" s="623"/>
      <c r="D135" s="624"/>
      <c r="E135" s="603"/>
      <c r="F135" s="644"/>
      <c r="G135" s="605"/>
      <c r="H135" s="623"/>
      <c r="I135" s="605"/>
      <c r="J135" s="623"/>
      <c r="K135" s="503"/>
      <c r="L135" s="219"/>
      <c r="M135"/>
      <c r="N135"/>
      <c r="O135"/>
    </row>
    <row r="136" spans="1:15" ht="15">
      <c r="A136" s="623"/>
      <c r="B136" s="623"/>
      <c r="C136" s="623"/>
      <c r="D136" s="624"/>
      <c r="E136" s="603"/>
      <c r="F136" s="644"/>
      <c r="G136" s="605"/>
      <c r="H136" s="623"/>
      <c r="I136" s="605"/>
      <c r="J136" s="623"/>
      <c r="K136" s="503"/>
      <c r="L136" s="219"/>
      <c r="M136"/>
      <c r="N136"/>
      <c r="O136"/>
    </row>
    <row r="137" spans="1:15" ht="15">
      <c r="A137" s="623"/>
      <c r="B137" s="623"/>
      <c r="C137" s="623"/>
      <c r="D137" s="624"/>
      <c r="E137" s="603"/>
      <c r="F137" s="644"/>
      <c r="G137" s="605"/>
      <c r="H137" s="623"/>
      <c r="I137" s="605"/>
      <c r="J137" s="623"/>
      <c r="K137" s="503"/>
      <c r="L137" s="219"/>
      <c r="M137"/>
      <c r="N137"/>
      <c r="O137"/>
    </row>
    <row r="138" spans="1:15" ht="15">
      <c r="A138" s="623"/>
      <c r="B138" s="623"/>
      <c r="C138" s="623"/>
      <c r="D138" s="624"/>
      <c r="E138" s="603"/>
      <c r="F138" s="644"/>
      <c r="G138" s="605"/>
      <c r="H138" s="623"/>
      <c r="I138" s="605"/>
      <c r="J138" s="623"/>
      <c r="K138" s="503"/>
      <c r="L138" s="219"/>
      <c r="M138"/>
      <c r="N138"/>
      <c r="O138"/>
    </row>
    <row r="139" spans="1:15" ht="15">
      <c r="A139" s="623"/>
      <c r="B139" s="623"/>
      <c r="C139" s="623"/>
      <c r="D139" s="624"/>
      <c r="E139" s="603"/>
      <c r="F139" s="644"/>
      <c r="G139" s="605"/>
      <c r="H139" s="623"/>
      <c r="I139" s="605"/>
      <c r="J139" s="623"/>
      <c r="K139" s="503"/>
      <c r="L139" s="219"/>
      <c r="M139"/>
      <c r="N139"/>
      <c r="O139"/>
    </row>
    <row r="140" spans="1:15" ht="15">
      <c r="A140" s="623"/>
      <c r="B140" s="623"/>
      <c r="C140" s="623"/>
      <c r="D140" s="624"/>
      <c r="E140" s="603"/>
      <c r="F140" s="644"/>
      <c r="G140" s="605"/>
      <c r="H140" s="623"/>
      <c r="I140" s="605"/>
      <c r="J140" s="623"/>
      <c r="K140" s="503"/>
      <c r="L140" s="219"/>
      <c r="M140"/>
      <c r="N140"/>
      <c r="O140"/>
    </row>
    <row r="141" spans="1:15" ht="15">
      <c r="A141" s="623"/>
      <c r="B141" s="623"/>
      <c r="C141" s="623"/>
      <c r="D141" s="624"/>
      <c r="E141" s="603"/>
      <c r="F141" s="644"/>
      <c r="G141" s="605"/>
      <c r="H141" s="623"/>
      <c r="I141" s="605"/>
      <c r="J141" s="623"/>
      <c r="K141" s="503"/>
      <c r="L141" s="219"/>
      <c r="M141"/>
      <c r="N141"/>
      <c r="O141"/>
    </row>
    <row r="142" spans="1:15" ht="15">
      <c r="A142" s="623"/>
      <c r="B142" s="623"/>
      <c r="C142" s="623"/>
      <c r="D142" s="624"/>
      <c r="E142" s="603"/>
      <c r="F142" s="644"/>
      <c r="G142" s="605"/>
      <c r="H142" s="623"/>
      <c r="I142" s="605"/>
      <c r="J142" s="623"/>
      <c r="K142" s="503"/>
      <c r="L142" s="219"/>
      <c r="M142"/>
      <c r="N142"/>
      <c r="O142"/>
    </row>
    <row r="143" spans="1:15" ht="15">
      <c r="A143" s="623"/>
      <c r="B143" s="623"/>
      <c r="C143" s="623"/>
      <c r="D143" s="624"/>
      <c r="E143" s="603"/>
      <c r="F143" s="644"/>
      <c r="G143" s="605"/>
      <c r="H143" s="623"/>
      <c r="I143" s="605"/>
      <c r="J143" s="623"/>
      <c r="K143" s="503"/>
      <c r="L143" s="219"/>
      <c r="M143"/>
      <c r="N143"/>
      <c r="O143"/>
    </row>
    <row r="144" spans="1:15" ht="15">
      <c r="A144" s="623"/>
      <c r="B144" s="623"/>
      <c r="C144" s="623"/>
      <c r="D144" s="624"/>
      <c r="E144" s="603"/>
      <c r="F144" s="644"/>
      <c r="G144" s="605"/>
      <c r="H144" s="623"/>
      <c r="I144" s="605"/>
      <c r="J144" s="623"/>
      <c r="K144" s="503"/>
      <c r="L144" s="219"/>
      <c r="M144"/>
      <c r="N144"/>
      <c r="O144"/>
    </row>
    <row r="145" spans="1:14" ht="15">
      <c r="A145" s="620"/>
      <c r="B145" s="1124"/>
      <c r="C145" s="1124"/>
      <c r="D145" s="621"/>
      <c r="E145" s="619"/>
      <c r="F145" s="1144" t="s">
        <v>545</v>
      </c>
      <c r="G145" s="651">
        <f>SUM(G12:G144)-SUM(I12:I144)</f>
        <v>9879.9899999999907</v>
      </c>
      <c r="H145" s="620"/>
      <c r="I145" s="639"/>
      <c r="J145" s="620"/>
      <c r="K145" s="420"/>
      <c r="L145" s="226"/>
      <c r="M145" s="102"/>
      <c r="N145" s="102"/>
    </row>
    <row r="146" spans="1:14">
      <c r="A146" s="102"/>
      <c r="B146" s="168"/>
      <c r="C146" s="168"/>
      <c r="D146" s="102"/>
      <c r="E146" s="168"/>
      <c r="F146" s="527"/>
      <c r="G146" s="134"/>
      <c r="H146" s="134"/>
      <c r="I146" s="110"/>
      <c r="J146" s="102"/>
      <c r="K146" s="237"/>
      <c r="L146" s="102"/>
      <c r="M146" s="102"/>
      <c r="N146" s="102"/>
    </row>
    <row r="147" spans="1:14">
      <c r="A147" s="102"/>
      <c r="B147" s="168"/>
      <c r="C147" s="168"/>
      <c r="D147" s="102"/>
      <c r="E147" s="168"/>
      <c r="G147" s="134"/>
      <c r="H147" s="134"/>
      <c r="I147" s="190"/>
      <c r="J147" s="102"/>
      <c r="K147" s="237"/>
      <c r="L147" s="102"/>
      <c r="M147" s="102"/>
      <c r="N147" s="102"/>
    </row>
    <row r="148" spans="1:14">
      <c r="A148" s="102"/>
      <c r="B148" s="168"/>
      <c r="C148" s="168"/>
      <c r="D148" s="102"/>
      <c r="E148" s="168"/>
      <c r="G148" s="134"/>
      <c r="H148" s="134"/>
      <c r="I148" s="190"/>
      <c r="J148" s="102"/>
      <c r="K148" s="237"/>
      <c r="L148" s="102"/>
      <c r="M148" s="102"/>
      <c r="N148" s="102"/>
    </row>
    <row r="149" spans="1:14">
      <c r="F149" s="527"/>
      <c r="G149" s="134"/>
      <c r="H149" s="134"/>
      <c r="I149" s="190"/>
    </row>
    <row r="150" spans="1:14">
      <c r="F150" s="527"/>
      <c r="G150" s="134"/>
      <c r="H150" s="134"/>
      <c r="I150" s="190"/>
    </row>
    <row r="151" spans="1:14">
      <c r="G151" s="134"/>
      <c r="H151" s="134"/>
      <c r="I151" s="190"/>
    </row>
  </sheetData>
  <mergeCells count="92">
    <mergeCell ref="F101:F102"/>
    <mergeCell ref="I96:I101"/>
    <mergeCell ref="K96:K101"/>
    <mergeCell ref="J96:J101"/>
    <mergeCell ref="A101:A102"/>
    <mergeCell ref="B101:B102"/>
    <mergeCell ref="C101:C102"/>
    <mergeCell ref="D101:D102"/>
    <mergeCell ref="E101:E102"/>
    <mergeCell ref="F93:F94"/>
    <mergeCell ref="K91:K93"/>
    <mergeCell ref="J91:J93"/>
    <mergeCell ref="I91:I93"/>
    <mergeCell ref="A93:A94"/>
    <mergeCell ref="B93:B94"/>
    <mergeCell ref="C93:C94"/>
    <mergeCell ref="D93:D94"/>
    <mergeCell ref="E93:E94"/>
    <mergeCell ref="A90:A91"/>
    <mergeCell ref="F90:F91"/>
    <mergeCell ref="E90:E91"/>
    <mergeCell ref="D90:D91"/>
    <mergeCell ref="C90:C91"/>
    <mergeCell ref="B90:B91"/>
    <mergeCell ref="K43:K45"/>
    <mergeCell ref="J43:J45"/>
    <mergeCell ref="I43:I45"/>
    <mergeCell ref="C46:C48"/>
    <mergeCell ref="B46:B48"/>
    <mergeCell ref="F46:F48"/>
    <mergeCell ref="E46:E48"/>
    <mergeCell ref="D46:D48"/>
    <mergeCell ref="I29:I31"/>
    <mergeCell ref="K7:K11"/>
    <mergeCell ref="J7:J11"/>
    <mergeCell ref="I7:I11"/>
    <mergeCell ref="K12:K18"/>
    <mergeCell ref="J12:J18"/>
    <mergeCell ref="K19:K21"/>
    <mergeCell ref="J19:J21"/>
    <mergeCell ref="K22:K28"/>
    <mergeCell ref="J22:J28"/>
    <mergeCell ref="I22:I28"/>
    <mergeCell ref="J29:J31"/>
    <mergeCell ref="K29:K31"/>
    <mergeCell ref="I12:I18"/>
    <mergeCell ref="I19:I21"/>
    <mergeCell ref="A34:A38"/>
    <mergeCell ref="F28:F29"/>
    <mergeCell ref="E28:E29"/>
    <mergeCell ref="D28:D29"/>
    <mergeCell ref="A28:A29"/>
    <mergeCell ref="F34:F38"/>
    <mergeCell ref="E34:E38"/>
    <mergeCell ref="D34:D38"/>
    <mergeCell ref="C34:C38"/>
    <mergeCell ref="B34:B38"/>
    <mergeCell ref="C28:C29"/>
    <mergeCell ref="B28:B29"/>
    <mergeCell ref="G4:G5"/>
    <mergeCell ref="D18:D19"/>
    <mergeCell ref="A18:A19"/>
    <mergeCell ref="D21:D22"/>
    <mergeCell ref="A21:A22"/>
    <mergeCell ref="F4:F5"/>
    <mergeCell ref="F18:F19"/>
    <mergeCell ref="E18:E19"/>
    <mergeCell ref="F21:F22"/>
    <mergeCell ref="E21:E22"/>
    <mergeCell ref="C18:C19"/>
    <mergeCell ref="B18:B19"/>
    <mergeCell ref="C21:C22"/>
    <mergeCell ref="B21:B22"/>
    <mergeCell ref="A52:A53"/>
    <mergeCell ref="K48:K52"/>
    <mergeCell ref="J48:J52"/>
    <mergeCell ref="I48:I52"/>
    <mergeCell ref="K53:K70"/>
    <mergeCell ref="J53:J70"/>
    <mergeCell ref="I53:I70"/>
    <mergeCell ref="F52:F53"/>
    <mergeCell ref="E52:E53"/>
    <mergeCell ref="D52:D53"/>
    <mergeCell ref="C52:C53"/>
    <mergeCell ref="B52:B53"/>
    <mergeCell ref="A46:A48"/>
    <mergeCell ref="I71:I84"/>
    <mergeCell ref="K71:K84"/>
    <mergeCell ref="J71:J84"/>
    <mergeCell ref="K85:K89"/>
    <mergeCell ref="J85:J89"/>
    <mergeCell ref="I85:I89"/>
  </mergeCells>
  <phoneticPr fontId="15" type="noConversion"/>
  <hyperlinks>
    <hyperlink ref="F145" location="汇总!A1" display="剩余欠款"/>
  </hyperlinks>
  <pageMargins left="0.7" right="0.7" top="0.75" bottom="0.75" header="0.3" footer="0.3"/>
  <pageSetup paperSize="9" orientation="portrait" horizontalDpi="0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N64"/>
  <sheetViews>
    <sheetView zoomScaleSheetLayoutView="100" workbookViewId="0">
      <pane ySplit="1" topLeftCell="A35" activePane="bottomLeft" state="frozen"/>
      <selection activeCell="C33" sqref="C33"/>
      <selection pane="bottomLeft" activeCell="F59" sqref="F59"/>
    </sheetView>
  </sheetViews>
  <sheetFormatPr defaultColWidth="8.75" defaultRowHeight="14.25"/>
  <cols>
    <col min="1" max="1" width="14.625" style="379" bestFit="1" customWidth="1"/>
    <col min="2" max="2" width="8.875" style="1142" bestFit="1" customWidth="1"/>
    <col min="3" max="3" width="20.125" style="1142" bestFit="1" customWidth="1"/>
    <col min="4" max="4" width="15" style="379" bestFit="1" customWidth="1"/>
    <col min="5" max="5" width="11.375" style="1058" bestFit="1" customWidth="1"/>
    <col min="6" max="6" width="11.625" style="507" bestFit="1" customWidth="1"/>
    <col min="7" max="7" width="11.375" style="379" bestFit="1" customWidth="1"/>
    <col min="8" max="8" width="16.75" style="379" bestFit="1" customWidth="1"/>
    <col min="9" max="9" width="15.625" style="1046" customWidth="1"/>
    <col min="10" max="10" width="20.625" style="379" bestFit="1" customWidth="1"/>
    <col min="11" max="11" width="38.625" style="1046" customWidth="1"/>
    <col min="12" max="12" width="31.625" style="379" bestFit="1" customWidth="1"/>
    <col min="13" max="13" width="13.875" style="379" bestFit="1" customWidth="1"/>
    <col min="14" max="16384" width="8.75" style="379"/>
  </cols>
  <sheetData>
    <row r="1" spans="1:14" s="164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7" t="s">
        <v>4099</v>
      </c>
      <c r="I1" s="257" t="s">
        <v>3043</v>
      </c>
      <c r="J1" s="257" t="s">
        <v>4100</v>
      </c>
      <c r="K1" s="257" t="s">
        <v>541</v>
      </c>
      <c r="L1" s="257" t="s">
        <v>542</v>
      </c>
    </row>
    <row r="2" spans="1:14" s="380" customFormat="1" ht="15">
      <c r="A2" s="632">
        <v>44034</v>
      </c>
      <c r="B2" s="1124" t="s">
        <v>4127</v>
      </c>
      <c r="C2" s="1124" t="s">
        <v>4415</v>
      </c>
      <c r="D2" s="615" t="s">
        <v>1295</v>
      </c>
      <c r="E2" s="1041">
        <v>5482.64</v>
      </c>
      <c r="F2" s="610">
        <v>0</v>
      </c>
      <c r="G2" s="613">
        <v>5482.64</v>
      </c>
      <c r="H2" s="632">
        <v>44035</v>
      </c>
      <c r="I2" s="2327">
        <v>6552.04</v>
      </c>
      <c r="J2" s="2040">
        <v>44134</v>
      </c>
      <c r="K2" s="2244" t="s">
        <v>1911</v>
      </c>
      <c r="L2" s="381"/>
      <c r="M2" s="164"/>
      <c r="N2" s="164"/>
    </row>
    <row r="3" spans="1:14" s="380" customFormat="1" ht="15">
      <c r="A3" s="632">
        <v>44069</v>
      </c>
      <c r="B3" s="1124" t="s">
        <v>4127</v>
      </c>
      <c r="C3" s="1124" t="s">
        <v>4415</v>
      </c>
      <c r="D3" s="615" t="s">
        <v>1296</v>
      </c>
      <c r="E3" s="1041">
        <v>1069.4000000000001</v>
      </c>
      <c r="F3" s="610">
        <v>0</v>
      </c>
      <c r="G3" s="613">
        <v>1069.4000000000001</v>
      </c>
      <c r="H3" s="632">
        <v>44070</v>
      </c>
      <c r="I3" s="2327"/>
      <c r="J3" s="2040"/>
      <c r="K3" s="2041"/>
      <c r="L3" s="381"/>
      <c r="M3" s="164"/>
      <c r="N3" s="164"/>
    </row>
    <row r="4" spans="1:14" s="380" customFormat="1" ht="15">
      <c r="A4" s="632">
        <v>44169</v>
      </c>
      <c r="B4" s="1124" t="s">
        <v>4127</v>
      </c>
      <c r="C4" s="1124" t="s">
        <v>4415</v>
      </c>
      <c r="D4" s="615" t="s">
        <v>1297</v>
      </c>
      <c r="E4" s="1041">
        <v>1067.1199999999999</v>
      </c>
      <c r="F4" s="610">
        <v>0</v>
      </c>
      <c r="G4" s="1032">
        <v>1067.1199999999999</v>
      </c>
      <c r="H4" s="1031">
        <v>44170</v>
      </c>
      <c r="I4" s="2327">
        <v>2534.9299999999998</v>
      </c>
      <c r="J4" s="2040">
        <v>44293</v>
      </c>
      <c r="K4" s="2041" t="s">
        <v>2081</v>
      </c>
      <c r="L4" s="381"/>
      <c r="M4" s="164"/>
      <c r="N4" s="164"/>
    </row>
    <row r="5" spans="1:14" s="380" customFormat="1" ht="15">
      <c r="A5" s="632">
        <v>44218</v>
      </c>
      <c r="B5" s="1124" t="s">
        <v>4127</v>
      </c>
      <c r="C5" s="1124" t="s">
        <v>4415</v>
      </c>
      <c r="D5" s="615" t="s">
        <v>2103</v>
      </c>
      <c r="E5" s="1041">
        <v>655.61</v>
      </c>
      <c r="F5" s="610">
        <v>0</v>
      </c>
      <c r="G5" s="1032">
        <v>655.61</v>
      </c>
      <c r="H5" s="1031">
        <v>44219</v>
      </c>
      <c r="I5" s="2327"/>
      <c r="J5" s="2040"/>
      <c r="K5" s="2041"/>
      <c r="L5" s="381" t="s">
        <v>1298</v>
      </c>
      <c r="M5" s="164"/>
      <c r="N5" s="164"/>
    </row>
    <row r="6" spans="1:14" s="380" customFormat="1" ht="15">
      <c r="A6" s="632">
        <v>44256</v>
      </c>
      <c r="B6" s="1124" t="s">
        <v>4121</v>
      </c>
      <c r="C6" s="1124" t="s">
        <v>4415</v>
      </c>
      <c r="D6" s="615" t="s">
        <v>1299</v>
      </c>
      <c r="E6" s="1041">
        <v>812.2</v>
      </c>
      <c r="F6" s="610">
        <v>0</v>
      </c>
      <c r="G6" s="1032">
        <v>812.2</v>
      </c>
      <c r="H6" s="1031">
        <v>44257</v>
      </c>
      <c r="I6" s="2327"/>
      <c r="J6" s="2040"/>
      <c r="K6" s="2041"/>
      <c r="L6" s="381" t="s">
        <v>1300</v>
      </c>
      <c r="M6" s="164"/>
      <c r="N6" s="164"/>
    </row>
    <row r="7" spans="1:14" s="380" customFormat="1" ht="15">
      <c r="A7" s="1903">
        <v>44272.999490740738</v>
      </c>
      <c r="B7" s="1918" t="s">
        <v>4127</v>
      </c>
      <c r="C7" s="1918" t="s">
        <v>4415</v>
      </c>
      <c r="D7" s="1909" t="s">
        <v>1301</v>
      </c>
      <c r="E7" s="1923">
        <v>873.79</v>
      </c>
      <c r="F7" s="1927">
        <v>0</v>
      </c>
      <c r="G7" s="1032">
        <f>873.79-873</f>
        <v>0.78999999999996362</v>
      </c>
      <c r="H7" s="1031">
        <v>44274</v>
      </c>
      <c r="I7" s="1054">
        <v>0.78999999999996362</v>
      </c>
      <c r="J7" s="1031">
        <v>44393</v>
      </c>
      <c r="K7" s="1039" t="s">
        <v>3925</v>
      </c>
      <c r="L7" s="2155" t="s">
        <v>1300</v>
      </c>
      <c r="M7" s="164"/>
      <c r="N7" s="164"/>
    </row>
    <row r="8" spans="1:14" s="380" customFormat="1" ht="15">
      <c r="A8" s="1905"/>
      <c r="B8" s="1920"/>
      <c r="C8" s="1920"/>
      <c r="D8" s="1911"/>
      <c r="E8" s="1924"/>
      <c r="F8" s="1928"/>
      <c r="G8" s="1032">
        <v>873</v>
      </c>
      <c r="H8" s="1031">
        <v>44274</v>
      </c>
      <c r="I8" s="2327">
        <v>8405</v>
      </c>
      <c r="J8" s="2040">
        <v>44382</v>
      </c>
      <c r="K8" s="2244" t="s">
        <v>1752</v>
      </c>
      <c r="L8" s="2157"/>
      <c r="M8" s="164"/>
      <c r="N8" s="164"/>
    </row>
    <row r="9" spans="1:14" s="380" customFormat="1" ht="15">
      <c r="A9" s="632">
        <v>44295</v>
      </c>
      <c r="B9" s="1124" t="s">
        <v>4127</v>
      </c>
      <c r="C9" s="1124" t="s">
        <v>4415</v>
      </c>
      <c r="D9" s="615" t="s">
        <v>1302</v>
      </c>
      <c r="E9" s="1041">
        <v>-10.15</v>
      </c>
      <c r="F9" s="610">
        <v>0</v>
      </c>
      <c r="G9" s="1032">
        <v>-10.15</v>
      </c>
      <c r="H9" s="1031" t="s">
        <v>1529</v>
      </c>
      <c r="I9" s="2327"/>
      <c r="J9" s="2040"/>
      <c r="K9" s="2244"/>
      <c r="L9" s="381"/>
      <c r="M9" s="164"/>
      <c r="N9" s="164"/>
    </row>
    <row r="10" spans="1:14" s="380" customFormat="1" ht="15">
      <c r="A10" s="1903">
        <v>44316</v>
      </c>
      <c r="B10" s="1918" t="s">
        <v>4128</v>
      </c>
      <c r="C10" s="1918" t="s">
        <v>4415</v>
      </c>
      <c r="D10" s="1909" t="s">
        <v>1303</v>
      </c>
      <c r="E10" s="1923">
        <v>7542.17</v>
      </c>
      <c r="F10" s="1927">
        <v>0</v>
      </c>
      <c r="G10" s="1032">
        <v>7542.15</v>
      </c>
      <c r="H10" s="1031">
        <v>44317</v>
      </c>
      <c r="I10" s="2327"/>
      <c r="J10" s="2040"/>
      <c r="K10" s="2244"/>
      <c r="L10" s="381"/>
      <c r="M10" s="164"/>
      <c r="N10" s="164"/>
    </row>
    <row r="11" spans="1:14" s="380" customFormat="1" ht="15">
      <c r="A11" s="1905"/>
      <c r="B11" s="1920"/>
      <c r="C11" s="1920"/>
      <c r="D11" s="1911"/>
      <c r="E11" s="1924"/>
      <c r="F11" s="1928"/>
      <c r="G11" s="1032">
        <f>7542.17-7542.15</f>
        <v>2.0000000000436557E-2</v>
      </c>
      <c r="H11" s="1031">
        <v>44317</v>
      </c>
      <c r="I11" s="1054">
        <v>2.0000000000436557E-2</v>
      </c>
      <c r="J11" s="1031">
        <v>44393</v>
      </c>
      <c r="K11" s="1039" t="s">
        <v>3925</v>
      </c>
      <c r="L11" s="1045"/>
      <c r="M11" s="164"/>
      <c r="N11" s="164"/>
    </row>
    <row r="12" spans="1:14" s="380" customFormat="1" ht="15">
      <c r="A12" s="632">
        <v>44376</v>
      </c>
      <c r="B12" s="1124" t="s">
        <v>4128</v>
      </c>
      <c r="C12" s="1124" t="s">
        <v>4415</v>
      </c>
      <c r="D12" s="615" t="s">
        <v>1304</v>
      </c>
      <c r="E12" s="1041">
        <v>-7.3</v>
      </c>
      <c r="F12" s="610">
        <v>0</v>
      </c>
      <c r="G12" s="1032">
        <v>-7.3</v>
      </c>
      <c r="H12" s="1031" t="s">
        <v>1529</v>
      </c>
      <c r="I12" s="2328">
        <v>3855.69</v>
      </c>
      <c r="J12" s="2330" t="s">
        <v>3935</v>
      </c>
      <c r="K12" s="2329" t="s">
        <v>3933</v>
      </c>
      <c r="L12" s="381"/>
      <c r="M12" s="164"/>
      <c r="N12" s="164"/>
    </row>
    <row r="13" spans="1:14" s="380" customFormat="1" ht="15">
      <c r="A13" s="632">
        <v>44376</v>
      </c>
      <c r="B13" s="1124" t="s">
        <v>4128</v>
      </c>
      <c r="C13" s="1124" t="s">
        <v>4415</v>
      </c>
      <c r="D13" s="615" t="s">
        <v>1305</v>
      </c>
      <c r="E13" s="1041">
        <v>-11.02</v>
      </c>
      <c r="F13" s="610">
        <v>0</v>
      </c>
      <c r="G13" s="1032">
        <v>-11.02</v>
      </c>
      <c r="H13" s="1031" t="s">
        <v>1529</v>
      </c>
      <c r="I13" s="2328"/>
      <c r="J13" s="2040"/>
      <c r="K13" s="2041"/>
      <c r="L13" s="381"/>
      <c r="M13" s="164"/>
      <c r="N13" s="164"/>
    </row>
    <row r="14" spans="1:14" s="380" customFormat="1" ht="15">
      <c r="A14" s="632">
        <v>44376</v>
      </c>
      <c r="B14" s="1124" t="s">
        <v>4128</v>
      </c>
      <c r="C14" s="1124" t="s">
        <v>4415</v>
      </c>
      <c r="D14" s="615" t="s">
        <v>1306</v>
      </c>
      <c r="E14" s="1041">
        <v>-635.97</v>
      </c>
      <c r="F14" s="610">
        <v>0</v>
      </c>
      <c r="G14" s="1032">
        <v>-635.97</v>
      </c>
      <c r="H14" s="1031" t="s">
        <v>1529</v>
      </c>
      <c r="I14" s="2328"/>
      <c r="J14" s="2040"/>
      <c r="K14" s="2041"/>
      <c r="L14" s="381"/>
      <c r="M14" s="164"/>
      <c r="N14" s="164"/>
    </row>
    <row r="15" spans="1:14" s="380" customFormat="1" ht="15" customHeight="1">
      <c r="A15" s="632">
        <v>44418</v>
      </c>
      <c r="B15" s="1124" t="s">
        <v>4128</v>
      </c>
      <c r="C15" s="1124" t="s">
        <v>4415</v>
      </c>
      <c r="D15" s="615" t="s">
        <v>1307</v>
      </c>
      <c r="E15" s="1041">
        <v>618.82000000000005</v>
      </c>
      <c r="F15" s="610">
        <v>0</v>
      </c>
      <c r="G15" s="1032">
        <v>618.80999999999995</v>
      </c>
      <c r="H15" s="1031">
        <v>44419</v>
      </c>
      <c r="I15" s="2328"/>
      <c r="J15" s="2040"/>
      <c r="K15" s="2041"/>
      <c r="L15" s="381"/>
      <c r="M15" s="164"/>
      <c r="N15" s="164"/>
    </row>
    <row r="16" spans="1:14" s="380" customFormat="1" ht="15" customHeight="1">
      <c r="A16" s="632">
        <v>44448</v>
      </c>
      <c r="B16" s="1124" t="s">
        <v>4128</v>
      </c>
      <c r="C16" s="1124" t="s">
        <v>4415</v>
      </c>
      <c r="D16" s="615" t="s">
        <v>1308</v>
      </c>
      <c r="E16" s="1041">
        <v>1184</v>
      </c>
      <c r="F16" s="610">
        <v>0</v>
      </c>
      <c r="G16" s="1032">
        <v>1184</v>
      </c>
      <c r="H16" s="1031">
        <v>44449</v>
      </c>
      <c r="I16" s="2328"/>
      <c r="J16" s="2040"/>
      <c r="K16" s="2041"/>
      <c r="L16" s="381"/>
      <c r="M16" s="164"/>
      <c r="N16" s="164"/>
    </row>
    <row r="17" spans="1:14" s="380" customFormat="1" ht="15" customHeight="1">
      <c r="A17" s="632">
        <v>44467</v>
      </c>
      <c r="B17" s="1124" t="s">
        <v>4128</v>
      </c>
      <c r="C17" s="1124" t="s">
        <v>4415</v>
      </c>
      <c r="D17" s="615" t="s">
        <v>1309</v>
      </c>
      <c r="E17" s="1041">
        <v>694.63</v>
      </c>
      <c r="F17" s="610">
        <v>0</v>
      </c>
      <c r="G17" s="1032">
        <v>694.62</v>
      </c>
      <c r="H17" s="1031">
        <v>44468</v>
      </c>
      <c r="I17" s="2328"/>
      <c r="J17" s="2040"/>
      <c r="K17" s="2041"/>
      <c r="L17" s="381"/>
      <c r="M17" s="164"/>
      <c r="N17" s="164"/>
    </row>
    <row r="18" spans="1:14" s="380" customFormat="1" ht="15" customHeight="1">
      <c r="A18" s="632">
        <v>44494</v>
      </c>
      <c r="B18" s="1124" t="s">
        <v>4128</v>
      </c>
      <c r="C18" s="1124" t="s">
        <v>4415</v>
      </c>
      <c r="D18" s="615" t="s">
        <v>1310</v>
      </c>
      <c r="E18" s="1041">
        <v>766.99</v>
      </c>
      <c r="F18" s="610">
        <v>0</v>
      </c>
      <c r="G18" s="1032">
        <v>766.99</v>
      </c>
      <c r="H18" s="1031">
        <v>44495</v>
      </c>
      <c r="I18" s="2328"/>
      <c r="J18" s="2040"/>
      <c r="K18" s="2041"/>
      <c r="L18" s="381"/>
      <c r="M18" s="164"/>
      <c r="N18" s="164"/>
    </row>
    <row r="19" spans="1:14" s="380" customFormat="1" ht="15" customHeight="1">
      <c r="A19" s="632">
        <v>44522</v>
      </c>
      <c r="B19" s="1124" t="s">
        <v>4128</v>
      </c>
      <c r="C19" s="1124" t="s">
        <v>4415</v>
      </c>
      <c r="D19" s="615" t="s">
        <v>1311</v>
      </c>
      <c r="E19" s="1041">
        <v>1245.56</v>
      </c>
      <c r="F19" s="610">
        <v>0</v>
      </c>
      <c r="G19" s="1032">
        <v>1245.56</v>
      </c>
      <c r="H19" s="1031">
        <v>44523</v>
      </c>
      <c r="I19" s="2328"/>
      <c r="J19" s="2040"/>
      <c r="K19" s="2041"/>
      <c r="L19" s="381"/>
      <c r="M19" s="164"/>
      <c r="N19" s="164"/>
    </row>
    <row r="20" spans="1:14" s="380" customFormat="1" ht="30">
      <c r="A20" s="632">
        <v>44546</v>
      </c>
      <c r="B20" s="1124" t="s">
        <v>4128</v>
      </c>
      <c r="C20" s="1124" t="s">
        <v>4415</v>
      </c>
      <c r="D20" s="615" t="s">
        <v>1312</v>
      </c>
      <c r="E20" s="1041">
        <v>567.87</v>
      </c>
      <c r="F20" s="610">
        <v>0</v>
      </c>
      <c r="G20" s="1032">
        <v>567.87</v>
      </c>
      <c r="H20" s="1031">
        <v>44576</v>
      </c>
      <c r="I20" s="730">
        <v>567.87</v>
      </c>
      <c r="J20" s="678" t="s">
        <v>3934</v>
      </c>
      <c r="K20" s="451" t="s">
        <v>3932</v>
      </c>
      <c r="L20" s="381"/>
      <c r="M20" s="164"/>
      <c r="N20" s="164"/>
    </row>
    <row r="21" spans="1:14" s="380" customFormat="1" ht="15" customHeight="1">
      <c r="A21" s="632">
        <v>44574</v>
      </c>
      <c r="B21" s="1124" t="s">
        <v>4128</v>
      </c>
      <c r="C21" s="1124" t="s">
        <v>4415</v>
      </c>
      <c r="D21" s="615" t="s">
        <v>1313</v>
      </c>
      <c r="E21" s="1041">
        <v>1373.2</v>
      </c>
      <c r="F21" s="610">
        <v>0</v>
      </c>
      <c r="G21" s="1032">
        <v>1373.2</v>
      </c>
      <c r="H21" s="1031">
        <v>44575</v>
      </c>
      <c r="I21" s="2328">
        <v>2266.35</v>
      </c>
      <c r="J21" s="2040">
        <v>44694</v>
      </c>
      <c r="K21" s="2041" t="s">
        <v>2081</v>
      </c>
      <c r="L21" s="2155"/>
      <c r="M21" s="164"/>
      <c r="N21" s="164"/>
    </row>
    <row r="22" spans="1:14" s="380" customFormat="1" ht="15" customHeight="1">
      <c r="A22" s="632">
        <v>44589</v>
      </c>
      <c r="B22" s="1124" t="s">
        <v>4128</v>
      </c>
      <c r="C22" s="1124" t="s">
        <v>4415</v>
      </c>
      <c r="D22" s="615" t="s">
        <v>1314</v>
      </c>
      <c r="E22" s="1041">
        <v>893.15</v>
      </c>
      <c r="F22" s="610">
        <v>0</v>
      </c>
      <c r="G22" s="1032">
        <v>893.15</v>
      </c>
      <c r="H22" s="1031">
        <v>44619</v>
      </c>
      <c r="I22" s="2328"/>
      <c r="J22" s="2040"/>
      <c r="K22" s="2322"/>
      <c r="L22" s="2157"/>
      <c r="M22" s="164"/>
      <c r="N22" s="164"/>
    </row>
    <row r="23" spans="1:14" s="380" customFormat="1" ht="15.75" customHeight="1">
      <c r="A23" s="632">
        <v>44652</v>
      </c>
      <c r="B23" s="1124" t="s">
        <v>4119</v>
      </c>
      <c r="C23" s="1124" t="s">
        <v>4415</v>
      </c>
      <c r="D23" s="615" t="s">
        <v>1902</v>
      </c>
      <c r="E23" s="1041">
        <v>2608.1999999999998</v>
      </c>
      <c r="F23" s="610">
        <v>0</v>
      </c>
      <c r="G23" s="1041">
        <v>2608.1999999999998</v>
      </c>
      <c r="H23" s="1031">
        <v>44682</v>
      </c>
      <c r="I23" s="2331">
        <v>6008.59</v>
      </c>
      <c r="J23" s="2040">
        <v>44761</v>
      </c>
      <c r="K23" s="2041" t="s">
        <v>2503</v>
      </c>
      <c r="L23" s="2332"/>
      <c r="M23" s="164"/>
      <c r="N23" s="164"/>
    </row>
    <row r="24" spans="1:14" s="380" customFormat="1" ht="15.75" customHeight="1">
      <c r="A24" s="632">
        <v>44692</v>
      </c>
      <c r="B24" s="1124" t="s">
        <v>4119</v>
      </c>
      <c r="C24" s="1124" t="s">
        <v>4415</v>
      </c>
      <c r="D24" s="615" t="s">
        <v>2101</v>
      </c>
      <c r="E24" s="1041">
        <v>864.73</v>
      </c>
      <c r="F24" s="610">
        <v>0</v>
      </c>
      <c r="G24" s="1041">
        <v>864.73</v>
      </c>
      <c r="H24" s="1031">
        <v>44722</v>
      </c>
      <c r="I24" s="2331"/>
      <c r="J24" s="2040"/>
      <c r="K24" s="2322"/>
      <c r="L24" s="2332"/>
      <c r="M24" s="164"/>
      <c r="N24" s="164"/>
    </row>
    <row r="25" spans="1:14" s="380" customFormat="1" ht="15.75" customHeight="1">
      <c r="A25" s="632">
        <v>44694</v>
      </c>
      <c r="B25" s="1124" t="s">
        <v>4119</v>
      </c>
      <c r="C25" s="1124" t="s">
        <v>4415</v>
      </c>
      <c r="D25" s="615" t="s">
        <v>2102</v>
      </c>
      <c r="E25" s="1041">
        <v>2535.66</v>
      </c>
      <c r="F25" s="610">
        <v>0</v>
      </c>
      <c r="G25" s="1041">
        <v>2535.66</v>
      </c>
      <c r="H25" s="1031">
        <v>44724</v>
      </c>
      <c r="I25" s="2331"/>
      <c r="J25" s="2040"/>
      <c r="K25" s="2322"/>
      <c r="L25" s="2332"/>
      <c r="M25" s="164"/>
      <c r="N25" s="164"/>
    </row>
    <row r="26" spans="1:14" s="380" customFormat="1" ht="15">
      <c r="A26" s="2325">
        <v>44736</v>
      </c>
      <c r="B26" s="1918" t="s">
        <v>4119</v>
      </c>
      <c r="C26" s="1918" t="s">
        <v>4415</v>
      </c>
      <c r="D26" s="2323" t="s">
        <v>2338</v>
      </c>
      <c r="E26" s="1923">
        <v>1312.37</v>
      </c>
      <c r="F26" s="1927">
        <v>0</v>
      </c>
      <c r="G26" s="1041">
        <f>1312.37-446.62</f>
        <v>865.74999999999989</v>
      </c>
      <c r="H26" s="1031">
        <v>44737</v>
      </c>
      <c r="I26" s="730">
        <v>865.74999999999989</v>
      </c>
      <c r="J26" s="1031">
        <v>44783</v>
      </c>
      <c r="K26" s="1029" t="s">
        <v>2720</v>
      </c>
      <c r="L26" s="381" t="s">
        <v>2733</v>
      </c>
      <c r="M26" s="164"/>
      <c r="N26" s="164"/>
    </row>
    <row r="27" spans="1:14" ht="15">
      <c r="A27" s="2326"/>
      <c r="B27" s="1920"/>
      <c r="C27" s="1920"/>
      <c r="D27" s="2324"/>
      <c r="E27" s="1924"/>
      <c r="F27" s="1928"/>
      <c r="G27" s="609">
        <v>446.62</v>
      </c>
      <c r="H27" s="632">
        <v>44737</v>
      </c>
      <c r="I27" s="2023">
        <v>0</v>
      </c>
      <c r="J27" s="2040">
        <v>44775</v>
      </c>
      <c r="K27" s="2041" t="s">
        <v>2639</v>
      </c>
      <c r="L27" s="492"/>
      <c r="M27" s="164"/>
      <c r="N27" s="164"/>
    </row>
    <row r="28" spans="1:14" s="380" customFormat="1" ht="15.75" customHeight="1">
      <c r="A28" s="632">
        <v>44762.000497685185</v>
      </c>
      <c r="B28" s="1124" t="s">
        <v>521</v>
      </c>
      <c r="C28" s="1124" t="s">
        <v>4415</v>
      </c>
      <c r="D28" s="615" t="s">
        <v>2491</v>
      </c>
      <c r="E28" s="1041">
        <v>-45.56</v>
      </c>
      <c r="F28" s="610">
        <v>0</v>
      </c>
      <c r="G28" s="609">
        <v>-45.56</v>
      </c>
      <c r="H28" s="632"/>
      <c r="I28" s="2024"/>
      <c r="J28" s="2040"/>
      <c r="K28" s="2245"/>
      <c r="L28" s="381"/>
      <c r="M28" s="164"/>
      <c r="N28" s="164"/>
    </row>
    <row r="29" spans="1:14" s="380" customFormat="1" ht="15.75" customHeight="1">
      <c r="A29" s="632">
        <v>44762.000497685185</v>
      </c>
      <c r="B29" s="1124" t="s">
        <v>521</v>
      </c>
      <c r="C29" s="1124" t="s">
        <v>4415</v>
      </c>
      <c r="D29" s="615" t="s">
        <v>2492</v>
      </c>
      <c r="E29" s="1041">
        <v>-45.49</v>
      </c>
      <c r="F29" s="610">
        <v>0</v>
      </c>
      <c r="G29" s="609">
        <v>-45.49</v>
      </c>
      <c r="H29" s="632"/>
      <c r="I29" s="2024"/>
      <c r="J29" s="2040"/>
      <c r="K29" s="2245"/>
      <c r="L29" s="381"/>
      <c r="M29" s="164"/>
      <c r="N29" s="164"/>
    </row>
    <row r="30" spans="1:14" s="380" customFormat="1" ht="15.75" customHeight="1">
      <c r="A30" s="632">
        <v>44762.000497685185</v>
      </c>
      <c r="B30" s="1124" t="s">
        <v>521</v>
      </c>
      <c r="C30" s="1124" t="s">
        <v>4415</v>
      </c>
      <c r="D30" s="615" t="s">
        <v>2493</v>
      </c>
      <c r="E30" s="1041">
        <v>-355.57</v>
      </c>
      <c r="F30" s="610">
        <v>0</v>
      </c>
      <c r="G30" s="609">
        <v>-355.57</v>
      </c>
      <c r="H30" s="632"/>
      <c r="I30" s="2025"/>
      <c r="J30" s="2040"/>
      <c r="K30" s="2245"/>
      <c r="L30" s="381"/>
      <c r="M30" s="164"/>
      <c r="N30" s="164"/>
    </row>
    <row r="31" spans="1:14" s="380" customFormat="1" ht="15">
      <c r="A31" s="632">
        <v>44753.000497685185</v>
      </c>
      <c r="B31" s="1124" t="s">
        <v>521</v>
      </c>
      <c r="C31" s="1124" t="s">
        <v>4415</v>
      </c>
      <c r="D31" s="615" t="s">
        <v>2447</v>
      </c>
      <c r="E31" s="1041">
        <v>1060.2</v>
      </c>
      <c r="F31" s="610">
        <v>0</v>
      </c>
      <c r="G31" s="609">
        <v>1060.2</v>
      </c>
      <c r="H31" s="632">
        <v>44754.000497685185</v>
      </c>
      <c r="I31" s="730">
        <v>1060.2</v>
      </c>
      <c r="J31" s="632">
        <v>44783</v>
      </c>
      <c r="K31" s="1029" t="s">
        <v>2720</v>
      </c>
      <c r="L31" s="506" t="s">
        <v>2733</v>
      </c>
      <c r="M31" s="164"/>
      <c r="N31" s="164"/>
    </row>
    <row r="32" spans="1:14" s="380" customFormat="1" ht="15.75" customHeight="1">
      <c r="A32" s="896">
        <v>44782.000497685185</v>
      </c>
      <c r="B32" s="1124" t="s">
        <v>2644</v>
      </c>
      <c r="C32" s="1124" t="s">
        <v>4415</v>
      </c>
      <c r="D32" s="898" t="s">
        <v>2700</v>
      </c>
      <c r="E32" s="1041">
        <v>1421.88</v>
      </c>
      <c r="F32" s="895">
        <v>0</v>
      </c>
      <c r="G32" s="900">
        <v>1421.88</v>
      </c>
      <c r="H32" s="896">
        <v>44783.000497685185</v>
      </c>
      <c r="I32" s="2023">
        <v>3645.84</v>
      </c>
      <c r="J32" s="1903">
        <v>44874</v>
      </c>
      <c r="K32" s="1935" t="s">
        <v>4900</v>
      </c>
      <c r="L32" s="506"/>
      <c r="M32" s="164"/>
      <c r="N32" s="164"/>
    </row>
    <row r="33" spans="1:14" s="380" customFormat="1" ht="15.75" customHeight="1">
      <c r="A33" s="896">
        <v>44809</v>
      </c>
      <c r="B33" s="1124" t="s">
        <v>2644</v>
      </c>
      <c r="C33" s="1124" t="s">
        <v>4415</v>
      </c>
      <c r="D33" s="898" t="s">
        <v>2961</v>
      </c>
      <c r="E33" s="1041">
        <v>1453.5</v>
      </c>
      <c r="F33" s="895">
        <v>0</v>
      </c>
      <c r="G33" s="900">
        <v>1453.5</v>
      </c>
      <c r="H33" s="896">
        <v>44810</v>
      </c>
      <c r="I33" s="2024"/>
      <c r="J33" s="1904"/>
      <c r="K33" s="2254"/>
      <c r="L33" s="583"/>
      <c r="M33" s="164"/>
      <c r="N33" s="164"/>
    </row>
    <row r="34" spans="1:14" s="380" customFormat="1" ht="15.75" customHeight="1">
      <c r="A34" s="896">
        <v>44820</v>
      </c>
      <c r="B34" s="1124" t="s">
        <v>2644</v>
      </c>
      <c r="C34" s="1124" t="s">
        <v>4415</v>
      </c>
      <c r="D34" s="898" t="s">
        <v>3016</v>
      </c>
      <c r="E34" s="1041">
        <v>770.46</v>
      </c>
      <c r="F34" s="895">
        <v>0</v>
      </c>
      <c r="G34" s="900">
        <v>770.46</v>
      </c>
      <c r="H34" s="896">
        <v>44821</v>
      </c>
      <c r="I34" s="2025"/>
      <c r="J34" s="1905"/>
      <c r="K34" s="2255"/>
      <c r="L34" s="583"/>
      <c r="M34" s="164"/>
      <c r="N34" s="164"/>
    </row>
    <row r="35" spans="1:14" s="380" customFormat="1" ht="15">
      <c r="A35" s="1031">
        <v>44858</v>
      </c>
      <c r="B35" s="1124" t="s">
        <v>3719</v>
      </c>
      <c r="C35" s="1124" t="s">
        <v>4415</v>
      </c>
      <c r="D35" s="1036" t="s">
        <v>3369</v>
      </c>
      <c r="E35" s="1041">
        <v>1724.65</v>
      </c>
      <c r="F35" s="1030">
        <v>0</v>
      </c>
      <c r="G35" s="1041">
        <v>1724.65</v>
      </c>
      <c r="H35" s="1031">
        <v>44859</v>
      </c>
      <c r="I35" s="730">
        <v>1724.65</v>
      </c>
      <c r="J35" s="860">
        <v>44938</v>
      </c>
      <c r="K35" s="1029" t="s">
        <v>3926</v>
      </c>
      <c r="L35" s="868"/>
      <c r="M35" s="164"/>
      <c r="N35" s="164"/>
    </row>
    <row r="36" spans="1:14" s="380" customFormat="1" ht="15">
      <c r="A36" s="1170">
        <v>44907</v>
      </c>
      <c r="B36" s="1170" t="s">
        <v>3719</v>
      </c>
      <c r="C36" s="1170" t="s">
        <v>4415</v>
      </c>
      <c r="D36" s="1173" t="s">
        <v>3708</v>
      </c>
      <c r="E36" s="1179">
        <v>1835.21</v>
      </c>
      <c r="F36" s="1169">
        <v>0</v>
      </c>
      <c r="G36" s="1179">
        <v>1835.21</v>
      </c>
      <c r="H36" s="1170">
        <v>44908</v>
      </c>
      <c r="I36" s="730">
        <v>1835.21</v>
      </c>
      <c r="J36" s="860">
        <v>44977</v>
      </c>
      <c r="K36" s="1168" t="s">
        <v>4249</v>
      </c>
      <c r="L36" s="868"/>
      <c r="M36" s="164"/>
      <c r="N36" s="164"/>
    </row>
    <row r="37" spans="1:14" s="380" customFormat="1" ht="15.75" customHeight="1">
      <c r="A37" s="1339">
        <v>44937</v>
      </c>
      <c r="B37" s="1339" t="s">
        <v>3719</v>
      </c>
      <c r="C37" s="1339" t="s">
        <v>4415</v>
      </c>
      <c r="D37" s="1341" t="s">
        <v>3907</v>
      </c>
      <c r="E37" s="1350">
        <v>1063.28</v>
      </c>
      <c r="F37" s="1338">
        <v>0</v>
      </c>
      <c r="G37" s="1350">
        <v>1063.28</v>
      </c>
      <c r="H37" s="1339">
        <v>44997</v>
      </c>
      <c r="I37" s="2023">
        <v>2257.77</v>
      </c>
      <c r="J37" s="1903">
        <v>45040</v>
      </c>
      <c r="K37" s="1938" t="s">
        <v>5466</v>
      </c>
      <c r="L37" s="1045"/>
      <c r="M37" s="164"/>
      <c r="N37" s="164"/>
    </row>
    <row r="38" spans="1:14" s="380" customFormat="1" ht="15.75" customHeight="1">
      <c r="A38" s="1339">
        <v>44970</v>
      </c>
      <c r="B38" s="1339" t="s">
        <v>3719</v>
      </c>
      <c r="C38" s="1339" t="s">
        <v>4415</v>
      </c>
      <c r="D38" s="1341" t="s">
        <v>4184</v>
      </c>
      <c r="E38" s="1350">
        <v>1194.49</v>
      </c>
      <c r="F38" s="1338">
        <v>0</v>
      </c>
      <c r="G38" s="1350">
        <v>1194.49</v>
      </c>
      <c r="H38" s="1339">
        <v>45030</v>
      </c>
      <c r="I38" s="2025"/>
      <c r="J38" s="1905"/>
      <c r="K38" s="2255"/>
      <c r="L38" s="1045"/>
      <c r="M38" s="164"/>
      <c r="N38" s="164"/>
    </row>
    <row r="39" spans="1:14" s="380" customFormat="1" ht="15.75" customHeight="1">
      <c r="A39" s="1484">
        <v>44993</v>
      </c>
      <c r="B39" s="1484" t="s">
        <v>2644</v>
      </c>
      <c r="C39" s="1484" t="s">
        <v>4415</v>
      </c>
      <c r="D39" s="1486" t="s">
        <v>4450</v>
      </c>
      <c r="E39" s="1488">
        <v>1720.49</v>
      </c>
      <c r="F39" s="1483">
        <v>0</v>
      </c>
      <c r="G39" s="1488">
        <v>1720.49</v>
      </c>
      <c r="H39" s="1484">
        <v>44993</v>
      </c>
      <c r="I39" s="2023">
        <v>3367.64</v>
      </c>
      <c r="J39" s="1903">
        <v>45096</v>
      </c>
      <c r="K39" s="2319" t="s">
        <v>6344</v>
      </c>
      <c r="L39" s="868"/>
      <c r="M39" s="164"/>
      <c r="N39" s="164"/>
    </row>
    <row r="40" spans="1:14" s="380" customFormat="1" ht="15.75" customHeight="1">
      <c r="A40" s="1484">
        <v>45035</v>
      </c>
      <c r="B40" s="1484" t="s">
        <v>2644</v>
      </c>
      <c r="C40" s="1484" t="s">
        <v>4415</v>
      </c>
      <c r="D40" s="1486" t="s">
        <v>4828</v>
      </c>
      <c r="E40" s="1488">
        <v>564.29999999999995</v>
      </c>
      <c r="F40" s="1483">
        <v>0</v>
      </c>
      <c r="G40" s="1488">
        <v>564.29999999999995</v>
      </c>
      <c r="H40" s="1484">
        <v>45095</v>
      </c>
      <c r="I40" s="2024"/>
      <c r="J40" s="1904"/>
      <c r="K40" s="2320"/>
      <c r="L40" s="1227"/>
      <c r="M40" s="164"/>
      <c r="N40" s="164"/>
    </row>
    <row r="41" spans="1:14" s="380" customFormat="1" ht="15.75" customHeight="1">
      <c r="A41" s="1484">
        <v>45041</v>
      </c>
      <c r="B41" s="1484" t="s">
        <v>2644</v>
      </c>
      <c r="C41" s="1484" t="s">
        <v>4415</v>
      </c>
      <c r="D41" s="1486" t="s">
        <v>4879</v>
      </c>
      <c r="E41" s="1488">
        <v>1187.2</v>
      </c>
      <c r="F41" s="1483">
        <v>0</v>
      </c>
      <c r="G41" s="1488">
        <v>1187.2</v>
      </c>
      <c r="H41" s="1484">
        <v>45101</v>
      </c>
      <c r="I41" s="2024"/>
      <c r="J41" s="1904"/>
      <c r="K41" s="2320"/>
      <c r="L41" s="1356"/>
      <c r="M41" s="164"/>
      <c r="N41" s="164"/>
    </row>
    <row r="42" spans="1:14" s="380" customFormat="1" ht="15.75" customHeight="1">
      <c r="A42" s="1484">
        <v>45050</v>
      </c>
      <c r="B42" s="1484" t="s">
        <v>2644</v>
      </c>
      <c r="C42" s="1484" t="s">
        <v>4415</v>
      </c>
      <c r="D42" s="1486" t="s">
        <v>4920</v>
      </c>
      <c r="E42" s="1488">
        <v>-104.35</v>
      </c>
      <c r="F42" s="1483">
        <v>0</v>
      </c>
      <c r="G42" s="1488">
        <v>-104.35</v>
      </c>
      <c r="H42" s="1484"/>
      <c r="I42" s="2025"/>
      <c r="J42" s="1905"/>
      <c r="K42" s="2321"/>
      <c r="L42" s="1356"/>
      <c r="M42" s="164"/>
      <c r="N42" s="164"/>
    </row>
    <row r="43" spans="1:14" s="380" customFormat="1" ht="15.75" customHeight="1">
      <c r="A43" s="1657">
        <v>45096</v>
      </c>
      <c r="B43" s="1657" t="s">
        <v>2644</v>
      </c>
      <c r="C43" s="1657" t="s">
        <v>4415</v>
      </c>
      <c r="D43" s="1661" t="s">
        <v>5435</v>
      </c>
      <c r="E43" s="1666">
        <v>677.6</v>
      </c>
      <c r="F43" s="1656">
        <v>0</v>
      </c>
      <c r="G43" s="1666">
        <v>677.6</v>
      </c>
      <c r="H43" s="1657">
        <v>45156</v>
      </c>
      <c r="I43" s="2023">
        <v>3180.81</v>
      </c>
      <c r="J43" s="1903">
        <v>45166</v>
      </c>
      <c r="K43" s="1938" t="s">
        <v>5974</v>
      </c>
      <c r="L43" s="1491"/>
      <c r="M43" s="164"/>
      <c r="N43" s="164"/>
    </row>
    <row r="44" spans="1:14" s="380" customFormat="1" ht="15.75" customHeight="1">
      <c r="A44" s="1657">
        <v>45097</v>
      </c>
      <c r="B44" s="1657" t="s">
        <v>2644</v>
      </c>
      <c r="C44" s="1657" t="s">
        <v>4415</v>
      </c>
      <c r="D44" s="1661" t="s">
        <v>5436</v>
      </c>
      <c r="E44" s="1666">
        <v>2503.21</v>
      </c>
      <c r="F44" s="1656">
        <v>0</v>
      </c>
      <c r="G44" s="1666">
        <v>2503.21</v>
      </c>
      <c r="H44" s="1657">
        <v>45157</v>
      </c>
      <c r="I44" s="2025"/>
      <c r="J44" s="1905"/>
      <c r="K44" s="2255"/>
      <c r="L44" s="1491"/>
      <c r="M44" s="164"/>
      <c r="N44" s="164"/>
    </row>
    <row r="45" spans="1:14" s="380" customFormat="1" ht="15.75" customHeight="1">
      <c r="A45" s="1768">
        <v>45161</v>
      </c>
      <c r="B45" s="1768" t="s">
        <v>2644</v>
      </c>
      <c r="C45" s="1768" t="s">
        <v>4415</v>
      </c>
      <c r="D45" s="1769" t="s">
        <v>5925</v>
      </c>
      <c r="E45" s="1773">
        <v>2116.37</v>
      </c>
      <c r="F45" s="1767">
        <v>0</v>
      </c>
      <c r="G45" s="1773">
        <v>2116.37</v>
      </c>
      <c r="H45" s="1768">
        <v>45221</v>
      </c>
      <c r="I45" s="2023">
        <v>4174.03</v>
      </c>
      <c r="J45" s="1903">
        <v>45212</v>
      </c>
      <c r="K45" s="2319" t="s">
        <v>6345</v>
      </c>
      <c r="L45" s="1491"/>
      <c r="M45" s="164"/>
      <c r="N45" s="164"/>
    </row>
    <row r="46" spans="1:14" s="380" customFormat="1" ht="15.75" customHeight="1">
      <c r="A46" s="1768">
        <v>45205</v>
      </c>
      <c r="B46" s="1768" t="s">
        <v>2644</v>
      </c>
      <c r="C46" s="1768" t="s">
        <v>4415</v>
      </c>
      <c r="D46" s="1769" t="s">
        <v>6299</v>
      </c>
      <c r="E46" s="1773">
        <v>2057.66</v>
      </c>
      <c r="F46" s="1767">
        <v>0</v>
      </c>
      <c r="G46" s="1773">
        <v>2057.66</v>
      </c>
      <c r="H46" s="1768">
        <v>45264</v>
      </c>
      <c r="I46" s="2025"/>
      <c r="J46" s="1905"/>
      <c r="K46" s="2321"/>
      <c r="L46" s="1491"/>
      <c r="M46" s="164"/>
      <c r="N46" s="164"/>
    </row>
    <row r="47" spans="1:14" s="380" customFormat="1" ht="15.75">
      <c r="A47" s="623">
        <v>45210</v>
      </c>
      <c r="B47" s="623" t="s">
        <v>2644</v>
      </c>
      <c r="C47" s="623" t="s">
        <v>4415</v>
      </c>
      <c r="D47" s="624" t="s">
        <v>6331</v>
      </c>
      <c r="E47" s="603">
        <v>1367.2</v>
      </c>
      <c r="F47" s="604">
        <v>0</v>
      </c>
      <c r="G47" s="603">
        <v>1367.2</v>
      </c>
      <c r="H47" s="623">
        <v>45269</v>
      </c>
      <c r="I47" s="1776"/>
      <c r="J47" s="1768"/>
      <c r="K47" s="1775"/>
      <c r="L47" s="1777"/>
      <c r="M47" s="164"/>
      <c r="N47" s="164"/>
    </row>
    <row r="48" spans="1:14" s="380" customFormat="1" ht="15.75">
      <c r="A48" s="623">
        <v>45219.333831018521</v>
      </c>
      <c r="B48" s="623" t="s">
        <v>2644</v>
      </c>
      <c r="C48" s="623" t="s">
        <v>4415</v>
      </c>
      <c r="D48" s="624" t="s">
        <v>6376</v>
      </c>
      <c r="E48" s="603">
        <v>-15.2</v>
      </c>
      <c r="F48" s="604">
        <v>0</v>
      </c>
      <c r="G48" s="603">
        <v>-15.2</v>
      </c>
      <c r="H48" s="623" t="s">
        <v>1529</v>
      </c>
      <c r="I48" s="1776"/>
      <c r="J48" s="1768"/>
      <c r="K48" s="1775"/>
      <c r="L48" s="1777"/>
      <c r="M48" s="164"/>
      <c r="N48" s="164"/>
    </row>
    <row r="49" spans="1:14" s="380" customFormat="1" ht="15.75">
      <c r="A49" s="623">
        <v>45219.333831018521</v>
      </c>
      <c r="B49" s="623" t="s">
        <v>2644</v>
      </c>
      <c r="C49" s="623" t="s">
        <v>4415</v>
      </c>
      <c r="D49" s="624" t="s">
        <v>6377</v>
      </c>
      <c r="E49" s="603">
        <v>-261.24</v>
      </c>
      <c r="F49" s="604">
        <v>0</v>
      </c>
      <c r="G49" s="603">
        <v>-261.24</v>
      </c>
      <c r="H49" s="623" t="s">
        <v>1529</v>
      </c>
      <c r="I49" s="1776"/>
      <c r="J49" s="1768"/>
      <c r="K49" s="1775"/>
      <c r="L49" s="1777"/>
      <c r="M49" s="164"/>
      <c r="N49" s="164"/>
    </row>
    <row r="50" spans="1:14" s="380" customFormat="1" ht="15.75">
      <c r="A50" s="623">
        <v>45237</v>
      </c>
      <c r="B50" s="623" t="s">
        <v>2644</v>
      </c>
      <c r="C50" s="623" t="s">
        <v>4415</v>
      </c>
      <c r="D50" s="624" t="s">
        <v>6523</v>
      </c>
      <c r="E50" s="603">
        <v>1321.64</v>
      </c>
      <c r="F50" s="604">
        <v>0</v>
      </c>
      <c r="G50" s="603">
        <v>1321.64</v>
      </c>
      <c r="H50" s="623">
        <v>45297</v>
      </c>
      <c r="I50" s="1776"/>
      <c r="J50" s="1768"/>
      <c r="K50" s="1775"/>
      <c r="L50" s="1777"/>
      <c r="M50" s="164"/>
      <c r="N50" s="164"/>
    </row>
    <row r="51" spans="1:14" s="380" customFormat="1" ht="15.75">
      <c r="A51" s="623"/>
      <c r="B51" s="623"/>
      <c r="C51" s="623"/>
      <c r="D51" s="624"/>
      <c r="E51" s="603"/>
      <c r="F51" s="604"/>
      <c r="G51" s="603"/>
      <c r="H51" s="623"/>
      <c r="I51" s="1776"/>
      <c r="J51" s="1768"/>
      <c r="K51" s="1775"/>
      <c r="L51" s="1777"/>
      <c r="M51" s="164"/>
      <c r="N51" s="164"/>
    </row>
    <row r="52" spans="1:14" s="380" customFormat="1" ht="15.75">
      <c r="A52" s="623"/>
      <c r="B52" s="623"/>
      <c r="C52" s="623"/>
      <c r="D52" s="624"/>
      <c r="E52" s="603"/>
      <c r="F52" s="604"/>
      <c r="G52" s="603"/>
      <c r="H52" s="623"/>
      <c r="I52" s="1776"/>
      <c r="J52" s="1768"/>
      <c r="K52" s="1775"/>
      <c r="L52" s="1777"/>
      <c r="M52" s="164"/>
      <c r="N52" s="164"/>
    </row>
    <row r="53" spans="1:14" s="380" customFormat="1" ht="15.75">
      <c r="A53" s="623"/>
      <c r="B53" s="623"/>
      <c r="C53" s="623"/>
      <c r="D53" s="624"/>
      <c r="E53" s="603"/>
      <c r="F53" s="604"/>
      <c r="G53" s="603"/>
      <c r="H53" s="623"/>
      <c r="I53" s="1776"/>
      <c r="J53" s="1768"/>
      <c r="K53" s="1775"/>
      <c r="L53" s="1777"/>
      <c r="M53" s="164"/>
      <c r="N53" s="164"/>
    </row>
    <row r="54" spans="1:14" s="380" customFormat="1" ht="15.75">
      <c r="A54" s="623"/>
      <c r="B54" s="623"/>
      <c r="C54" s="623"/>
      <c r="D54" s="624"/>
      <c r="E54" s="603"/>
      <c r="F54" s="604"/>
      <c r="G54" s="603"/>
      <c r="H54" s="623"/>
      <c r="I54" s="1776"/>
      <c r="J54" s="1768"/>
      <c r="K54" s="1775"/>
      <c r="L54" s="1777"/>
      <c r="M54" s="164"/>
      <c r="N54" s="164"/>
    </row>
    <row r="55" spans="1:14" s="380" customFormat="1" ht="15.75">
      <c r="A55" s="623"/>
      <c r="B55" s="623"/>
      <c r="C55" s="623"/>
      <c r="D55" s="624"/>
      <c r="E55" s="603"/>
      <c r="F55" s="604"/>
      <c r="G55" s="603"/>
      <c r="H55" s="623"/>
      <c r="I55" s="1355"/>
      <c r="J55" s="1339"/>
      <c r="K55" s="1354"/>
      <c r="L55" s="1356"/>
      <c r="M55" s="164"/>
      <c r="N55" s="164"/>
    </row>
    <row r="56" spans="1:14" s="380" customFormat="1" ht="15.75">
      <c r="A56" s="623"/>
      <c r="B56" s="623"/>
      <c r="C56" s="623"/>
      <c r="D56" s="624"/>
      <c r="E56" s="603"/>
      <c r="F56" s="604"/>
      <c r="G56" s="603"/>
      <c r="H56" s="623"/>
      <c r="I56" s="1226"/>
      <c r="J56" s="1215"/>
      <c r="K56" s="1225"/>
      <c r="L56" s="1227"/>
      <c r="M56" s="164"/>
      <c r="N56" s="164"/>
    </row>
    <row r="57" spans="1:14" s="380" customFormat="1" ht="15.75">
      <c r="A57" s="623"/>
      <c r="B57" s="623"/>
      <c r="C57" s="623"/>
      <c r="D57" s="624"/>
      <c r="E57" s="603"/>
      <c r="F57" s="604"/>
      <c r="G57" s="603"/>
      <c r="H57" s="623"/>
      <c r="I57" s="730"/>
      <c r="J57" s="860"/>
      <c r="K57" s="1044"/>
      <c r="L57" s="868"/>
      <c r="M57" s="164"/>
      <c r="N57" s="164"/>
    </row>
    <row r="58" spans="1:14" s="380" customFormat="1" ht="15.75">
      <c r="A58" s="623"/>
      <c r="B58" s="623"/>
      <c r="C58" s="623"/>
      <c r="D58" s="624"/>
      <c r="E58" s="603"/>
      <c r="F58" s="604"/>
      <c r="G58" s="603"/>
      <c r="H58" s="623"/>
      <c r="I58" s="730"/>
      <c r="J58" s="860"/>
      <c r="K58" s="1044"/>
      <c r="L58" s="868"/>
      <c r="M58" s="164"/>
      <c r="N58" s="164"/>
    </row>
    <row r="59" spans="1:14" s="380" customFormat="1" ht="15">
      <c r="A59" s="615"/>
      <c r="B59" s="1133"/>
      <c r="C59" s="1133"/>
      <c r="D59" s="624"/>
      <c r="E59" s="795"/>
      <c r="F59" s="1144" t="s">
        <v>545</v>
      </c>
      <c r="G59" s="704">
        <f>SUM(G23:G58)-SUM(I23:I58)</f>
        <v>2412.3999999999978</v>
      </c>
      <c r="H59" s="615"/>
      <c r="I59" s="730"/>
      <c r="J59" s="632"/>
      <c r="K59" s="1029"/>
      <c r="L59" s="381"/>
      <c r="M59" s="164"/>
      <c r="N59" s="164"/>
    </row>
    <row r="60" spans="1:14" s="380" customFormat="1">
      <c r="E60" s="1057"/>
    </row>
    <row r="61" spans="1:14" s="380" customFormat="1">
      <c r="E61" s="1057"/>
    </row>
    <row r="62" spans="1:14" s="269" customFormat="1">
      <c r="E62" s="530"/>
    </row>
    <row r="63" spans="1:14" s="269" customFormat="1">
      <c r="E63" s="530"/>
    </row>
    <row r="64" spans="1:14" s="269" customFormat="1">
      <c r="E64" s="530"/>
    </row>
  </sheetData>
  <mergeCells count="57">
    <mergeCell ref="K45:K46"/>
    <mergeCell ref="J45:J46"/>
    <mergeCell ref="I45:I46"/>
    <mergeCell ref="L7:L8"/>
    <mergeCell ref="K8:K10"/>
    <mergeCell ref="J8:J10"/>
    <mergeCell ref="I8:I10"/>
    <mergeCell ref="I12:I19"/>
    <mergeCell ref="K12:K19"/>
    <mergeCell ref="J12:J19"/>
    <mergeCell ref="K23:K25"/>
    <mergeCell ref="J23:J25"/>
    <mergeCell ref="I23:I25"/>
    <mergeCell ref="L23:L25"/>
    <mergeCell ref="I21:I22"/>
    <mergeCell ref="L21:L22"/>
    <mergeCell ref="F7:F8"/>
    <mergeCell ref="E7:E8"/>
    <mergeCell ref="D7:D8"/>
    <mergeCell ref="A7:A8"/>
    <mergeCell ref="F10:F11"/>
    <mergeCell ref="E10:E11"/>
    <mergeCell ref="D10:D11"/>
    <mergeCell ref="A10:A11"/>
    <mergeCell ref="C7:C8"/>
    <mergeCell ref="B7:B8"/>
    <mergeCell ref="C10:C11"/>
    <mergeCell ref="B10:B11"/>
    <mergeCell ref="K2:K3"/>
    <mergeCell ref="I2:I3"/>
    <mergeCell ref="I4:I6"/>
    <mergeCell ref="J2:J3"/>
    <mergeCell ref="J4:J6"/>
    <mergeCell ref="K4:K6"/>
    <mergeCell ref="K21:K22"/>
    <mergeCell ref="J21:J22"/>
    <mergeCell ref="D26:D27"/>
    <mergeCell ref="A26:A27"/>
    <mergeCell ref="K27:K30"/>
    <mergeCell ref="J27:J30"/>
    <mergeCell ref="I27:I30"/>
    <mergeCell ref="F26:F27"/>
    <mergeCell ref="E26:E27"/>
    <mergeCell ref="C26:C27"/>
    <mergeCell ref="B26:B27"/>
    <mergeCell ref="K37:K38"/>
    <mergeCell ref="J37:J38"/>
    <mergeCell ref="I37:I38"/>
    <mergeCell ref="K32:K34"/>
    <mergeCell ref="J32:J34"/>
    <mergeCell ref="I32:I34"/>
    <mergeCell ref="K43:K44"/>
    <mergeCell ref="J43:J44"/>
    <mergeCell ref="I43:I44"/>
    <mergeCell ref="K39:K42"/>
    <mergeCell ref="J39:J42"/>
    <mergeCell ref="I39:I42"/>
  </mergeCells>
  <phoneticPr fontId="15" type="noConversion"/>
  <hyperlinks>
    <hyperlink ref="F59" location="汇总!A1" display="剩余欠款"/>
  </hyperlinks>
  <pageMargins left="0.75" right="0.75" top="1" bottom="1" header="0.5" footer="0.5"/>
  <pageSetup paperSize="9" orientation="portrait" horizontalDpi="0" verticalDpi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M189"/>
  <sheetViews>
    <sheetView zoomScaleNormal="100" zoomScaleSheetLayoutView="100" workbookViewId="0">
      <pane ySplit="1" topLeftCell="A155" activePane="bottomLeft" state="frozen"/>
      <selection activeCell="C33" sqref="C33"/>
      <selection pane="bottomLeft" activeCell="F188" sqref="F188"/>
    </sheetView>
  </sheetViews>
  <sheetFormatPr defaultRowHeight="14.25"/>
  <cols>
    <col min="1" max="1" width="15.125" style="189" customWidth="1"/>
    <col min="2" max="2" width="9" style="189" bestFit="1" customWidth="1"/>
    <col min="3" max="3" width="37.875" style="189" bestFit="1" customWidth="1"/>
    <col min="4" max="4" width="18.25" style="237" customWidth="1"/>
    <col min="5" max="5" width="12.375" style="509" customWidth="1"/>
    <col min="6" max="6" width="12.375" style="512" customWidth="1"/>
    <col min="7" max="8" width="15" style="294" customWidth="1"/>
    <col min="9" max="9" width="15.375" style="295" customWidth="1"/>
    <col min="10" max="10" width="17.125" style="295" customWidth="1"/>
    <col min="11" max="11" width="20.375" style="295" customWidth="1"/>
    <col min="12" max="12" width="73.75" style="295" bestFit="1" customWidth="1"/>
    <col min="13" max="13" width="7.875" style="295" customWidth="1"/>
    <col min="14" max="16384" width="9" style="295"/>
  </cols>
  <sheetData>
    <row r="1" spans="1:13" s="164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65" t="s">
        <v>2718</v>
      </c>
      <c r="F1" s="510" t="s">
        <v>2719</v>
      </c>
      <c r="G1" s="256" t="s">
        <v>2721</v>
      </c>
      <c r="H1" s="257" t="s">
        <v>4099</v>
      </c>
      <c r="I1" s="257" t="s">
        <v>3043</v>
      </c>
      <c r="J1" s="257" t="s">
        <v>4100</v>
      </c>
      <c r="K1" s="257" t="s">
        <v>541</v>
      </c>
      <c r="L1" s="257" t="s">
        <v>542</v>
      </c>
    </row>
    <row r="2" spans="1:13" ht="15">
      <c r="A2" s="673">
        <v>43881</v>
      </c>
      <c r="B2" s="1124"/>
      <c r="C2" s="1124"/>
      <c r="D2" s="701" t="s">
        <v>897</v>
      </c>
      <c r="E2" s="613"/>
      <c r="F2" s="633"/>
      <c r="G2" s="696">
        <v>8038.67</v>
      </c>
      <c r="H2" s="706"/>
      <c r="I2" s="772">
        <v>6000</v>
      </c>
      <c r="J2" s="673">
        <v>44020</v>
      </c>
      <c r="K2" s="701" t="s">
        <v>3113</v>
      </c>
      <c r="L2" s="185" t="s">
        <v>400</v>
      </c>
    </row>
    <row r="3" spans="1:13" ht="15">
      <c r="A3" s="701"/>
      <c r="B3" s="1124"/>
      <c r="C3" s="1124"/>
      <c r="D3" s="701"/>
      <c r="E3" s="613"/>
      <c r="F3" s="633" t="s">
        <v>3093</v>
      </c>
      <c r="G3" s="696">
        <v>2038.67</v>
      </c>
      <c r="H3" s="706"/>
      <c r="I3" s="2333">
        <v>6000</v>
      </c>
      <c r="J3" s="2243">
        <v>44067</v>
      </c>
      <c r="K3" s="2274" t="s">
        <v>3114</v>
      </c>
      <c r="L3" s="185"/>
    </row>
    <row r="4" spans="1:13" ht="15">
      <c r="A4" s="673">
        <v>43959</v>
      </c>
      <c r="B4" s="1124"/>
      <c r="C4" s="1124"/>
      <c r="D4" s="621"/>
      <c r="E4" s="613"/>
      <c r="F4" s="633"/>
      <c r="G4" s="696">
        <v>4876.55</v>
      </c>
      <c r="H4" s="706"/>
      <c r="I4" s="2333"/>
      <c r="J4" s="2274"/>
      <c r="K4" s="2274"/>
      <c r="L4" s="126" t="s">
        <v>400</v>
      </c>
      <c r="M4" s="281"/>
    </row>
    <row r="5" spans="1:13" ht="15">
      <c r="A5" s="701"/>
      <c r="B5" s="1124"/>
      <c r="C5" s="1124"/>
      <c r="D5" s="701"/>
      <c r="E5" s="613"/>
      <c r="F5" s="633" t="s">
        <v>3093</v>
      </c>
      <c r="G5" s="696">
        <f>SUM(G3:G4)-I3</f>
        <v>915.22000000000025</v>
      </c>
      <c r="H5" s="706"/>
      <c r="I5" s="2333">
        <v>13000</v>
      </c>
      <c r="J5" s="2243">
        <v>44161</v>
      </c>
      <c r="K5" s="2274" t="s">
        <v>3115</v>
      </c>
      <c r="L5" s="126"/>
      <c r="M5" s="281"/>
    </row>
    <row r="6" spans="1:13" ht="15">
      <c r="A6" s="673">
        <v>43971</v>
      </c>
      <c r="B6" s="1124"/>
      <c r="C6" s="1124"/>
      <c r="D6" s="621"/>
      <c r="E6" s="613"/>
      <c r="F6" s="633"/>
      <c r="G6" s="696">
        <v>300.72000000000003</v>
      </c>
      <c r="H6" s="706"/>
      <c r="I6" s="2333"/>
      <c r="J6" s="2274"/>
      <c r="K6" s="2274"/>
      <c r="L6" s="126" t="s">
        <v>400</v>
      </c>
      <c r="M6" s="281"/>
    </row>
    <row r="7" spans="1:13" ht="15">
      <c r="A7" s="673">
        <v>43971</v>
      </c>
      <c r="B7" s="1124"/>
      <c r="C7" s="1124"/>
      <c r="D7" s="701"/>
      <c r="E7" s="613"/>
      <c r="F7" s="633"/>
      <c r="G7" s="696">
        <v>3289.44</v>
      </c>
      <c r="H7" s="706"/>
      <c r="I7" s="2333"/>
      <c r="J7" s="2274"/>
      <c r="K7" s="2274"/>
      <c r="L7" s="126"/>
      <c r="M7" s="281"/>
    </row>
    <row r="8" spans="1:13" ht="15">
      <c r="A8" s="673">
        <v>43983</v>
      </c>
      <c r="B8" s="1124"/>
      <c r="C8" s="1124"/>
      <c r="D8" s="701"/>
      <c r="E8" s="613"/>
      <c r="F8" s="633"/>
      <c r="G8" s="696">
        <v>984.62</v>
      </c>
      <c r="H8" s="706"/>
      <c r="I8" s="2333"/>
      <c r="J8" s="2274"/>
      <c r="K8" s="2274"/>
      <c r="L8" s="126"/>
      <c r="M8" s="281"/>
    </row>
    <row r="9" spans="1:13" ht="15">
      <c r="A9" s="673">
        <v>44020</v>
      </c>
      <c r="B9" s="1124" t="s">
        <v>522</v>
      </c>
      <c r="C9" s="1124" t="s">
        <v>4021</v>
      </c>
      <c r="D9" s="701" t="s">
        <v>899</v>
      </c>
      <c r="E9" s="613">
        <v>2033.71</v>
      </c>
      <c r="F9" s="633">
        <v>0</v>
      </c>
      <c r="G9" s="696">
        <v>2033.71</v>
      </c>
      <c r="H9" s="706"/>
      <c r="I9" s="2333"/>
      <c r="J9" s="2274"/>
      <c r="K9" s="2274"/>
      <c r="L9" s="126"/>
      <c r="M9" s="281"/>
    </row>
    <row r="10" spans="1:13" ht="15">
      <c r="A10" s="673">
        <v>44020</v>
      </c>
      <c r="B10" s="1124" t="s">
        <v>522</v>
      </c>
      <c r="C10" s="1124" t="s">
        <v>4021</v>
      </c>
      <c r="D10" s="701" t="s">
        <v>900</v>
      </c>
      <c r="E10" s="613">
        <v>609</v>
      </c>
      <c r="F10" s="633">
        <v>0</v>
      </c>
      <c r="G10" s="696">
        <v>609</v>
      </c>
      <c r="H10" s="706"/>
      <c r="I10" s="2333"/>
      <c r="J10" s="2274"/>
      <c r="K10" s="2274"/>
      <c r="L10" s="126"/>
      <c r="M10" s="281"/>
    </row>
    <row r="11" spans="1:13" ht="15">
      <c r="A11" s="673">
        <v>44019</v>
      </c>
      <c r="B11" s="1124"/>
      <c r="C11" s="1124"/>
      <c r="D11" s="701" t="s">
        <v>901</v>
      </c>
      <c r="E11" s="613"/>
      <c r="F11" s="633"/>
      <c r="G11" s="696">
        <v>8180.8</v>
      </c>
      <c r="H11" s="706"/>
      <c r="I11" s="2333"/>
      <c r="J11" s="2274"/>
      <c r="K11" s="2274"/>
      <c r="L11" s="126" t="s">
        <v>400</v>
      </c>
      <c r="M11" s="281"/>
    </row>
    <row r="12" spans="1:13" ht="15">
      <c r="A12" s="701"/>
      <c r="B12" s="1124"/>
      <c r="C12" s="1124"/>
      <c r="D12" s="701"/>
      <c r="E12" s="613"/>
      <c r="F12" s="633" t="s">
        <v>3093</v>
      </c>
      <c r="G12" s="696">
        <f>SUM(G5:G11)-I5</f>
        <v>3313.51</v>
      </c>
      <c r="H12" s="706"/>
      <c r="I12" s="2333">
        <v>5211.43</v>
      </c>
      <c r="J12" s="2243">
        <v>44250</v>
      </c>
      <c r="K12" s="2274" t="s">
        <v>3116</v>
      </c>
      <c r="L12" s="126"/>
      <c r="M12" s="281"/>
    </row>
    <row r="13" spans="1:13" ht="15">
      <c r="A13" s="673">
        <v>44019</v>
      </c>
      <c r="B13" s="1124"/>
      <c r="C13" s="1124"/>
      <c r="D13" s="701" t="s">
        <v>902</v>
      </c>
      <c r="E13" s="613"/>
      <c r="F13" s="633"/>
      <c r="G13" s="696">
        <v>852.32</v>
      </c>
      <c r="H13" s="706"/>
      <c r="I13" s="2333"/>
      <c r="J13" s="2274"/>
      <c r="K13" s="2274"/>
      <c r="L13" s="126" t="s">
        <v>400</v>
      </c>
      <c r="M13" s="281"/>
    </row>
    <row r="14" spans="1:13" ht="15">
      <c r="A14" s="673">
        <v>44047</v>
      </c>
      <c r="B14" s="1124" t="s">
        <v>522</v>
      </c>
      <c r="C14" s="1124" t="s">
        <v>4021</v>
      </c>
      <c r="D14" s="701" t="s">
        <v>904</v>
      </c>
      <c r="E14" s="613">
        <v>543.48</v>
      </c>
      <c r="F14" s="633">
        <v>0</v>
      </c>
      <c r="G14" s="696">
        <v>543.48</v>
      </c>
      <c r="H14" s="706"/>
      <c r="I14" s="2333"/>
      <c r="J14" s="2274"/>
      <c r="K14" s="2274"/>
      <c r="L14" s="126" t="s">
        <v>386</v>
      </c>
      <c r="M14" s="281"/>
    </row>
    <row r="15" spans="1:13" ht="19.5" customHeight="1">
      <c r="A15" s="673">
        <v>44047</v>
      </c>
      <c r="B15" s="1124"/>
      <c r="C15" s="1124"/>
      <c r="D15" s="669" t="s">
        <v>905</v>
      </c>
      <c r="E15" s="613"/>
      <c r="F15" s="633"/>
      <c r="G15" s="696">
        <v>-3.36</v>
      </c>
      <c r="H15" s="706"/>
      <c r="I15" s="2333"/>
      <c r="J15" s="2274"/>
      <c r="K15" s="2274"/>
      <c r="L15" s="126"/>
      <c r="M15" s="281"/>
    </row>
    <row r="16" spans="1:13" ht="15">
      <c r="A16" s="673">
        <v>44062</v>
      </c>
      <c r="B16" s="1124" t="s">
        <v>522</v>
      </c>
      <c r="C16" s="1124" t="s">
        <v>4021</v>
      </c>
      <c r="D16" s="701" t="s">
        <v>906</v>
      </c>
      <c r="E16" s="613">
        <v>2654.96</v>
      </c>
      <c r="F16" s="633">
        <v>0</v>
      </c>
      <c r="G16" s="696">
        <v>2654.96</v>
      </c>
      <c r="H16" s="706"/>
      <c r="I16" s="2333"/>
      <c r="J16" s="2274"/>
      <c r="K16" s="2274"/>
      <c r="L16" s="126" t="s">
        <v>386</v>
      </c>
      <c r="M16" s="281"/>
    </row>
    <row r="17" spans="1:13" ht="15">
      <c r="A17" s="701"/>
      <c r="B17" s="1124"/>
      <c r="C17" s="1124"/>
      <c r="D17" s="701"/>
      <c r="E17" s="613"/>
      <c r="F17" s="633" t="s">
        <v>3093</v>
      </c>
      <c r="G17" s="696">
        <f>G12+G13+G14+G15+G16-I12</f>
        <v>2149.4799999999996</v>
      </c>
      <c r="H17" s="706"/>
      <c r="I17" s="2333">
        <v>13000</v>
      </c>
      <c r="J17" s="2243">
        <v>44281</v>
      </c>
      <c r="K17" s="2274" t="s">
        <v>3117</v>
      </c>
      <c r="L17" s="126"/>
      <c r="M17" s="281"/>
    </row>
    <row r="18" spans="1:13" ht="15">
      <c r="A18" s="673">
        <v>44083</v>
      </c>
      <c r="B18" s="1124" t="s">
        <v>522</v>
      </c>
      <c r="C18" s="1124" t="s">
        <v>4021</v>
      </c>
      <c r="D18" s="701" t="s">
        <v>907</v>
      </c>
      <c r="E18" s="613">
        <v>622.91</v>
      </c>
      <c r="F18" s="633">
        <v>0</v>
      </c>
      <c r="G18" s="696">
        <v>622.91</v>
      </c>
      <c r="H18" s="706"/>
      <c r="I18" s="2333"/>
      <c r="J18" s="2274"/>
      <c r="K18" s="2274"/>
      <c r="L18" s="126" t="s">
        <v>908</v>
      </c>
      <c r="M18" s="281"/>
    </row>
    <row r="19" spans="1:13" ht="15">
      <c r="A19" s="673">
        <v>44118</v>
      </c>
      <c r="B19" s="1124" t="s">
        <v>522</v>
      </c>
      <c r="C19" s="1124" t="s">
        <v>4021</v>
      </c>
      <c r="D19" s="701" t="s">
        <v>909</v>
      </c>
      <c r="E19" s="613">
        <v>1583.02</v>
      </c>
      <c r="F19" s="633">
        <v>0</v>
      </c>
      <c r="G19" s="696">
        <v>1583.02</v>
      </c>
      <c r="H19" s="706"/>
      <c r="I19" s="2333"/>
      <c r="J19" s="2274"/>
      <c r="K19" s="2274"/>
      <c r="L19" s="126" t="s">
        <v>910</v>
      </c>
      <c r="M19" s="281"/>
    </row>
    <row r="20" spans="1:13" ht="15">
      <c r="A20" s="673">
        <v>44147</v>
      </c>
      <c r="B20" s="1124" t="s">
        <v>522</v>
      </c>
      <c r="C20" s="1124" t="s">
        <v>4021</v>
      </c>
      <c r="D20" s="701" t="s">
        <v>912</v>
      </c>
      <c r="E20" s="613">
        <v>1708.18</v>
      </c>
      <c r="F20" s="633">
        <v>0</v>
      </c>
      <c r="G20" s="696">
        <v>1708.18</v>
      </c>
      <c r="H20" s="673">
        <v>44148</v>
      </c>
      <c r="I20" s="2333"/>
      <c r="J20" s="2274"/>
      <c r="K20" s="2274"/>
      <c r="L20" s="126" t="s">
        <v>913</v>
      </c>
      <c r="M20" s="281"/>
    </row>
    <row r="21" spans="1:13" ht="15">
      <c r="A21" s="673">
        <v>44153</v>
      </c>
      <c r="B21" s="1124" t="s">
        <v>522</v>
      </c>
      <c r="C21" s="1124" t="s">
        <v>4021</v>
      </c>
      <c r="D21" s="701" t="s">
        <v>914</v>
      </c>
      <c r="E21" s="613">
        <v>3008.22</v>
      </c>
      <c r="F21" s="633">
        <v>0</v>
      </c>
      <c r="G21" s="696">
        <v>3008.22</v>
      </c>
      <c r="H21" s="673">
        <v>44154</v>
      </c>
      <c r="I21" s="2333"/>
      <c r="J21" s="2274"/>
      <c r="K21" s="2274"/>
      <c r="L21" s="126"/>
      <c r="M21" s="281"/>
    </row>
    <row r="22" spans="1:13" ht="15">
      <c r="A22" s="673">
        <v>44182</v>
      </c>
      <c r="B22" s="1124"/>
      <c r="C22" s="1124"/>
      <c r="D22" s="701" t="s">
        <v>915</v>
      </c>
      <c r="E22" s="613"/>
      <c r="F22" s="633"/>
      <c r="G22" s="696">
        <v>1337</v>
      </c>
      <c r="H22" s="673"/>
      <c r="I22" s="2333"/>
      <c r="J22" s="2274"/>
      <c r="K22" s="2274"/>
      <c r="L22" s="126" t="s">
        <v>916</v>
      </c>
      <c r="M22" s="281"/>
    </row>
    <row r="23" spans="1:13" ht="15">
      <c r="A23" s="673">
        <v>43837</v>
      </c>
      <c r="B23" s="1124" t="s">
        <v>522</v>
      </c>
      <c r="C23" s="1124" t="s">
        <v>4021</v>
      </c>
      <c r="D23" s="701" t="s">
        <v>917</v>
      </c>
      <c r="E23" s="613">
        <v>771</v>
      </c>
      <c r="F23" s="633">
        <v>0</v>
      </c>
      <c r="G23" s="696">
        <v>771</v>
      </c>
      <c r="H23" s="673">
        <v>44204</v>
      </c>
      <c r="I23" s="2333"/>
      <c r="J23" s="2274"/>
      <c r="K23" s="2274"/>
      <c r="L23" s="126" t="s">
        <v>674</v>
      </c>
      <c r="M23" s="281"/>
    </row>
    <row r="24" spans="1:13" ht="15">
      <c r="A24" s="673">
        <v>44243</v>
      </c>
      <c r="B24" s="1124"/>
      <c r="C24" s="1124"/>
      <c r="D24" s="701" t="s">
        <v>918</v>
      </c>
      <c r="E24" s="613"/>
      <c r="F24" s="633"/>
      <c r="G24" s="696">
        <v>4486.28</v>
      </c>
      <c r="H24" s="673"/>
      <c r="I24" s="2333"/>
      <c r="J24" s="2274"/>
      <c r="K24" s="2274"/>
      <c r="L24" s="126" t="s">
        <v>674</v>
      </c>
      <c r="M24" s="281"/>
    </row>
    <row r="25" spans="1:13" ht="15">
      <c r="A25" s="701"/>
      <c r="B25" s="1124"/>
      <c r="C25" s="1124"/>
      <c r="D25" s="701"/>
      <c r="E25" s="613"/>
      <c r="F25" s="633" t="s">
        <v>3093</v>
      </c>
      <c r="G25" s="696">
        <f>G17+G18+G19+G20+G21+G22+G23+G24-I17</f>
        <v>2666.09</v>
      </c>
      <c r="H25" s="673"/>
      <c r="I25" s="2333">
        <v>13000</v>
      </c>
      <c r="J25" s="2243">
        <v>44342</v>
      </c>
      <c r="K25" s="2274" t="s">
        <v>3117</v>
      </c>
      <c r="L25" s="126"/>
      <c r="M25" s="281"/>
    </row>
    <row r="26" spans="1:13" ht="15">
      <c r="A26" s="673">
        <v>44285</v>
      </c>
      <c r="B26" s="1124" t="s">
        <v>522</v>
      </c>
      <c r="C26" s="1124" t="s">
        <v>4021</v>
      </c>
      <c r="D26" s="701" t="s">
        <v>919</v>
      </c>
      <c r="E26" s="613">
        <v>11971.23</v>
      </c>
      <c r="F26" s="633">
        <v>0</v>
      </c>
      <c r="G26" s="696">
        <v>11971.23</v>
      </c>
      <c r="H26" s="673">
        <v>44286</v>
      </c>
      <c r="I26" s="2333"/>
      <c r="J26" s="2274"/>
      <c r="K26" s="2274"/>
      <c r="L26" s="126" t="s">
        <v>920</v>
      </c>
      <c r="M26" s="281"/>
    </row>
    <row r="27" spans="1:13" ht="15">
      <c r="A27" s="673">
        <v>44302</v>
      </c>
      <c r="B27" s="1124" t="s">
        <v>522</v>
      </c>
      <c r="C27" s="1124" t="s">
        <v>4021</v>
      </c>
      <c r="D27" s="701" t="s">
        <v>921</v>
      </c>
      <c r="E27" s="613">
        <v>-782.88</v>
      </c>
      <c r="F27" s="633">
        <v>0</v>
      </c>
      <c r="G27" s="696">
        <v>-782.88</v>
      </c>
      <c r="H27" s="673" t="s">
        <v>1529</v>
      </c>
      <c r="I27" s="2333"/>
      <c r="J27" s="2274"/>
      <c r="K27" s="2274"/>
      <c r="L27" s="126" t="s">
        <v>887</v>
      </c>
      <c r="M27" s="281"/>
    </row>
    <row r="28" spans="1:13" ht="15">
      <c r="A28" s="673">
        <v>44302</v>
      </c>
      <c r="B28" s="1124" t="s">
        <v>522</v>
      </c>
      <c r="C28" s="1124" t="s">
        <v>4021</v>
      </c>
      <c r="D28" s="701" t="s">
        <v>922</v>
      </c>
      <c r="E28" s="613">
        <v>-834.27</v>
      </c>
      <c r="F28" s="633">
        <v>0</v>
      </c>
      <c r="G28" s="696">
        <v>-834.27</v>
      </c>
      <c r="H28" s="673" t="s">
        <v>1529</v>
      </c>
      <c r="I28" s="2333"/>
      <c r="J28" s="2274"/>
      <c r="K28" s="2274"/>
      <c r="L28" s="126" t="s">
        <v>887</v>
      </c>
      <c r="M28" s="281"/>
    </row>
    <row r="29" spans="1:13" ht="15">
      <c r="A29" s="673">
        <v>44307</v>
      </c>
      <c r="B29" s="1124" t="s">
        <v>522</v>
      </c>
      <c r="C29" s="1124" t="s">
        <v>4021</v>
      </c>
      <c r="D29" s="701" t="s">
        <v>923</v>
      </c>
      <c r="E29" s="613">
        <v>-85.12</v>
      </c>
      <c r="F29" s="633">
        <v>0</v>
      </c>
      <c r="G29" s="696">
        <v>-85.12</v>
      </c>
      <c r="H29" s="673" t="s">
        <v>1529</v>
      </c>
      <c r="I29" s="2333"/>
      <c r="J29" s="2274"/>
      <c r="K29" s="2274"/>
      <c r="L29" s="126" t="s">
        <v>887</v>
      </c>
      <c r="M29" s="281"/>
    </row>
    <row r="30" spans="1:13" ht="15">
      <c r="A30" s="673">
        <v>44309</v>
      </c>
      <c r="B30" s="1124" t="s">
        <v>522</v>
      </c>
      <c r="C30" s="1124" t="s">
        <v>4021</v>
      </c>
      <c r="D30" s="701" t="s">
        <v>924</v>
      </c>
      <c r="E30" s="613">
        <v>1784.72</v>
      </c>
      <c r="F30" s="633">
        <v>0</v>
      </c>
      <c r="G30" s="696">
        <v>1784.72</v>
      </c>
      <c r="H30" s="673">
        <v>44310</v>
      </c>
      <c r="I30" s="2333"/>
      <c r="J30" s="2274"/>
      <c r="K30" s="2274"/>
      <c r="L30" s="126"/>
      <c r="M30" s="281"/>
    </row>
    <row r="31" spans="1:13" ht="15">
      <c r="A31" s="673"/>
      <c r="B31" s="1124"/>
      <c r="C31" s="1124"/>
      <c r="D31" s="701"/>
      <c r="E31" s="613"/>
      <c r="F31" s="633" t="s">
        <v>3093</v>
      </c>
      <c r="G31" s="696">
        <f>SUM(G25:G30)-I25</f>
        <v>1719.7699999999986</v>
      </c>
      <c r="H31" s="673"/>
      <c r="I31" s="2333">
        <v>20000</v>
      </c>
      <c r="J31" s="2243">
        <v>44410</v>
      </c>
      <c r="K31" s="2274" t="s">
        <v>3117</v>
      </c>
      <c r="L31" s="126"/>
      <c r="M31" s="281"/>
    </row>
    <row r="32" spans="1:13" ht="15">
      <c r="A32" s="673">
        <v>44331</v>
      </c>
      <c r="B32" s="1124" t="s">
        <v>522</v>
      </c>
      <c r="C32" s="1124" t="s">
        <v>4021</v>
      </c>
      <c r="D32" s="701" t="s">
        <v>925</v>
      </c>
      <c r="E32" s="613">
        <v>4341.17</v>
      </c>
      <c r="F32" s="633">
        <v>0</v>
      </c>
      <c r="G32" s="696">
        <v>4341.17</v>
      </c>
      <c r="H32" s="673">
        <v>44332</v>
      </c>
      <c r="I32" s="2333"/>
      <c r="J32" s="2274"/>
      <c r="K32" s="2274"/>
      <c r="L32" s="126"/>
      <c r="M32" s="281"/>
    </row>
    <row r="33" spans="1:13" ht="15">
      <c r="A33" s="673">
        <v>44344</v>
      </c>
      <c r="B33" s="1124" t="s">
        <v>522</v>
      </c>
      <c r="C33" s="1124" t="s">
        <v>4021</v>
      </c>
      <c r="D33" s="701" t="s">
        <v>926</v>
      </c>
      <c r="E33" s="613">
        <v>13014.49</v>
      </c>
      <c r="F33" s="633">
        <v>0</v>
      </c>
      <c r="G33" s="696">
        <v>13014.49</v>
      </c>
      <c r="H33" s="673">
        <v>44345</v>
      </c>
      <c r="I33" s="2333"/>
      <c r="J33" s="2274"/>
      <c r="K33" s="2274"/>
      <c r="L33" s="126"/>
      <c r="M33" s="281"/>
    </row>
    <row r="34" spans="1:13" ht="15">
      <c r="A34" s="673">
        <v>44355</v>
      </c>
      <c r="B34" s="1124" t="s">
        <v>522</v>
      </c>
      <c r="C34" s="1124" t="s">
        <v>4021</v>
      </c>
      <c r="D34" s="701" t="s">
        <v>927</v>
      </c>
      <c r="E34" s="613">
        <v>-86.4</v>
      </c>
      <c r="F34" s="633">
        <v>0</v>
      </c>
      <c r="G34" s="696">
        <v>-86.4</v>
      </c>
      <c r="H34" s="673">
        <v>44356</v>
      </c>
      <c r="I34" s="2333"/>
      <c r="J34" s="2274"/>
      <c r="K34" s="2274"/>
      <c r="L34" s="126"/>
      <c r="M34" s="281"/>
    </row>
    <row r="35" spans="1:13" ht="15">
      <c r="A35" s="673">
        <v>44361</v>
      </c>
      <c r="B35" s="1124" t="s">
        <v>522</v>
      </c>
      <c r="C35" s="1124" t="s">
        <v>4021</v>
      </c>
      <c r="D35" s="669" t="s">
        <v>928</v>
      </c>
      <c r="E35" s="613">
        <v>-608.79</v>
      </c>
      <c r="F35" s="633">
        <v>0</v>
      </c>
      <c r="G35" s="696">
        <v>-608.79</v>
      </c>
      <c r="H35" s="673" t="s">
        <v>1529</v>
      </c>
      <c r="I35" s="2333"/>
      <c r="J35" s="2274"/>
      <c r="K35" s="2274"/>
      <c r="L35" s="126"/>
      <c r="M35" s="281"/>
    </row>
    <row r="36" spans="1:13" ht="15">
      <c r="A36" s="673">
        <v>44361</v>
      </c>
      <c r="B36" s="1124" t="s">
        <v>522</v>
      </c>
      <c r="C36" s="1124" t="s">
        <v>4021</v>
      </c>
      <c r="D36" s="701" t="s">
        <v>929</v>
      </c>
      <c r="E36" s="613">
        <v>-1432.34</v>
      </c>
      <c r="F36" s="633">
        <v>0</v>
      </c>
      <c r="G36" s="696">
        <v>-1432.34</v>
      </c>
      <c r="H36" s="673" t="s">
        <v>1529</v>
      </c>
      <c r="I36" s="2333"/>
      <c r="J36" s="2274"/>
      <c r="K36" s="2274"/>
      <c r="L36" s="126"/>
      <c r="M36" s="281"/>
    </row>
    <row r="37" spans="1:13" ht="15">
      <c r="A37" s="673">
        <v>44363</v>
      </c>
      <c r="B37" s="1124" t="s">
        <v>522</v>
      </c>
      <c r="C37" s="1124" t="s">
        <v>4021</v>
      </c>
      <c r="D37" s="701" t="s">
        <v>930</v>
      </c>
      <c r="E37" s="613">
        <v>1893.2</v>
      </c>
      <c r="F37" s="633">
        <v>0</v>
      </c>
      <c r="G37" s="696">
        <v>1893.2</v>
      </c>
      <c r="H37" s="673">
        <v>44364</v>
      </c>
      <c r="I37" s="2333"/>
      <c r="J37" s="2274"/>
      <c r="K37" s="2274"/>
      <c r="L37" s="126"/>
      <c r="M37" s="281"/>
    </row>
    <row r="38" spans="1:13" ht="15">
      <c r="A38" s="673">
        <v>44366</v>
      </c>
      <c r="B38" s="1124" t="s">
        <v>522</v>
      </c>
      <c r="C38" s="1124" t="s">
        <v>4021</v>
      </c>
      <c r="D38" s="701" t="s">
        <v>931</v>
      </c>
      <c r="E38" s="613">
        <v>1837.2</v>
      </c>
      <c r="F38" s="633">
        <v>0</v>
      </c>
      <c r="G38" s="696">
        <v>1837.2</v>
      </c>
      <c r="H38" s="673">
        <v>44367</v>
      </c>
      <c r="I38" s="2333"/>
      <c r="J38" s="2274"/>
      <c r="K38" s="2274"/>
      <c r="L38" s="126"/>
      <c r="M38" s="281"/>
    </row>
    <row r="39" spans="1:13" ht="15">
      <c r="A39" s="673"/>
      <c r="B39" s="1124"/>
      <c r="C39" s="1124"/>
      <c r="D39" s="701"/>
      <c r="E39" s="613"/>
      <c r="F39" s="633" t="s">
        <v>3093</v>
      </c>
      <c r="G39" s="696">
        <f>G31+G32+G33+G34+G35+G36+G37+G38-I31</f>
        <v>678.29999999999927</v>
      </c>
      <c r="H39" s="673"/>
      <c r="I39" s="2333">
        <v>6938.13</v>
      </c>
      <c r="J39" s="2243">
        <v>44454</v>
      </c>
      <c r="K39" s="2274" t="s">
        <v>3116</v>
      </c>
      <c r="L39" s="126"/>
      <c r="M39" s="281"/>
    </row>
    <row r="40" spans="1:13" ht="15">
      <c r="A40" s="673">
        <v>44370</v>
      </c>
      <c r="B40" s="1124" t="s">
        <v>522</v>
      </c>
      <c r="C40" s="1124" t="s">
        <v>4021</v>
      </c>
      <c r="D40" s="701" t="s">
        <v>932</v>
      </c>
      <c r="E40" s="613">
        <v>2296.42</v>
      </c>
      <c r="F40" s="633">
        <v>0</v>
      </c>
      <c r="G40" s="696">
        <v>2296.42</v>
      </c>
      <c r="H40" s="673">
        <v>44371</v>
      </c>
      <c r="I40" s="2333"/>
      <c r="J40" s="2274"/>
      <c r="K40" s="2274"/>
      <c r="L40" s="126"/>
      <c r="M40" s="281"/>
    </row>
    <row r="41" spans="1:13" ht="15">
      <c r="A41" s="673">
        <v>44392</v>
      </c>
      <c r="B41" s="1124" t="s">
        <v>522</v>
      </c>
      <c r="C41" s="1124" t="s">
        <v>4021</v>
      </c>
      <c r="D41" s="701" t="s">
        <v>933</v>
      </c>
      <c r="E41" s="613">
        <v>4033.43</v>
      </c>
      <c r="F41" s="633">
        <v>0</v>
      </c>
      <c r="G41" s="696">
        <v>4033.43</v>
      </c>
      <c r="H41" s="673">
        <v>44393</v>
      </c>
      <c r="I41" s="2333"/>
      <c r="J41" s="2274"/>
      <c r="K41" s="2274"/>
      <c r="L41" s="126"/>
      <c r="M41" s="281"/>
    </row>
    <row r="42" spans="1:13" ht="15">
      <c r="A42" s="673">
        <v>44397</v>
      </c>
      <c r="B42" s="1124" t="s">
        <v>522</v>
      </c>
      <c r="C42" s="1124" t="s">
        <v>4021</v>
      </c>
      <c r="D42" s="701" t="s">
        <v>934</v>
      </c>
      <c r="E42" s="613">
        <v>-69.75</v>
      </c>
      <c r="F42" s="633">
        <v>0</v>
      </c>
      <c r="G42" s="696">
        <v>-69.75</v>
      </c>
      <c r="H42" s="673">
        <v>44398</v>
      </c>
      <c r="I42" s="2333"/>
      <c r="J42" s="2274"/>
      <c r="K42" s="2274"/>
      <c r="L42" s="126" t="s">
        <v>935</v>
      </c>
      <c r="M42" s="281"/>
    </row>
    <row r="43" spans="1:13" ht="15">
      <c r="A43" s="673"/>
      <c r="B43" s="1124" t="s">
        <v>522</v>
      </c>
      <c r="C43" s="1124" t="s">
        <v>4021</v>
      </c>
      <c r="D43" s="701" t="s">
        <v>936</v>
      </c>
      <c r="E43" s="613">
        <v>-21.62</v>
      </c>
      <c r="F43" s="633">
        <v>0</v>
      </c>
      <c r="G43" s="696"/>
      <c r="H43" s="673">
        <v>44401</v>
      </c>
      <c r="I43" s="2336">
        <v>-21.62</v>
      </c>
      <c r="J43" s="2336"/>
      <c r="K43" s="2336"/>
      <c r="L43" s="126" t="s">
        <v>937</v>
      </c>
      <c r="M43" s="281"/>
    </row>
    <row r="44" spans="1:13" ht="15">
      <c r="A44" s="673"/>
      <c r="B44" s="1124"/>
      <c r="C44" s="1124"/>
      <c r="D44" s="701"/>
      <c r="E44" s="613"/>
      <c r="F44" s="633" t="s">
        <v>3093</v>
      </c>
      <c r="G44" s="696">
        <f>G39+G40+G41+G42-I39</f>
        <v>0.26999999999952706</v>
      </c>
      <c r="H44" s="673"/>
      <c r="I44" s="2333">
        <v>20000</v>
      </c>
      <c r="J44" s="2243">
        <v>44469</v>
      </c>
      <c r="K44" s="2274" t="s">
        <v>3117</v>
      </c>
      <c r="L44" s="126"/>
      <c r="M44" s="281"/>
    </row>
    <row r="45" spans="1:13" ht="15">
      <c r="A45" s="673">
        <v>44405</v>
      </c>
      <c r="B45" s="1124" t="s">
        <v>522</v>
      </c>
      <c r="C45" s="1124" t="s">
        <v>4021</v>
      </c>
      <c r="D45" s="701" t="s">
        <v>938</v>
      </c>
      <c r="E45" s="613">
        <v>3103.55</v>
      </c>
      <c r="F45" s="633">
        <v>0</v>
      </c>
      <c r="G45" s="696">
        <v>3103.55</v>
      </c>
      <c r="H45" s="673">
        <v>44406</v>
      </c>
      <c r="I45" s="2333"/>
      <c r="J45" s="2274"/>
      <c r="K45" s="2274"/>
      <c r="L45" s="126"/>
      <c r="M45" s="281"/>
    </row>
    <row r="46" spans="1:13" ht="15">
      <c r="A46" s="673">
        <v>44407</v>
      </c>
      <c r="B46" s="1124" t="s">
        <v>522</v>
      </c>
      <c r="C46" s="1124" t="s">
        <v>4021</v>
      </c>
      <c r="D46" s="701" t="s">
        <v>939</v>
      </c>
      <c r="E46" s="613">
        <v>787.08</v>
      </c>
      <c r="F46" s="633">
        <v>0</v>
      </c>
      <c r="G46" s="696">
        <v>787.08</v>
      </c>
      <c r="H46" s="673">
        <v>44408</v>
      </c>
      <c r="I46" s="2333"/>
      <c r="J46" s="2274"/>
      <c r="K46" s="2274"/>
      <c r="L46" s="126"/>
      <c r="M46" s="281"/>
    </row>
    <row r="47" spans="1:13" ht="15">
      <c r="A47" s="673">
        <v>44411</v>
      </c>
      <c r="B47" s="1124" t="s">
        <v>522</v>
      </c>
      <c r="C47" s="1124" t="s">
        <v>4021</v>
      </c>
      <c r="D47" s="701" t="s">
        <v>940</v>
      </c>
      <c r="E47" s="613">
        <v>22954.65</v>
      </c>
      <c r="F47" s="633">
        <v>0</v>
      </c>
      <c r="G47" s="696">
        <v>22954.65</v>
      </c>
      <c r="H47" s="673">
        <v>44412</v>
      </c>
      <c r="I47" s="2333"/>
      <c r="J47" s="2274"/>
      <c r="K47" s="2274"/>
      <c r="L47" s="126"/>
      <c r="M47" s="281"/>
    </row>
    <row r="48" spans="1:13" ht="15">
      <c r="A48" s="673"/>
      <c r="B48" s="1124"/>
      <c r="C48" s="1124"/>
      <c r="D48" s="701"/>
      <c r="E48" s="613"/>
      <c r="F48" s="633" t="s">
        <v>3093</v>
      </c>
      <c r="G48" s="696">
        <f>G45+G46+G47-I44</f>
        <v>6845.2800000000025</v>
      </c>
      <c r="H48" s="673"/>
      <c r="I48" s="2333">
        <v>14000</v>
      </c>
      <c r="J48" s="2243">
        <v>44529</v>
      </c>
      <c r="K48" s="2274" t="s">
        <v>3118</v>
      </c>
      <c r="L48" s="126"/>
      <c r="M48" s="281"/>
    </row>
    <row r="49" spans="1:13" ht="15">
      <c r="A49" s="673">
        <v>44411</v>
      </c>
      <c r="B49" s="1124" t="s">
        <v>522</v>
      </c>
      <c r="C49" s="1124" t="s">
        <v>4021</v>
      </c>
      <c r="D49" s="701" t="s">
        <v>941</v>
      </c>
      <c r="E49" s="613">
        <v>34.65</v>
      </c>
      <c r="F49" s="633">
        <v>0</v>
      </c>
      <c r="G49" s="696">
        <v>34.65</v>
      </c>
      <c r="H49" s="673">
        <v>44412</v>
      </c>
      <c r="I49" s="2333"/>
      <c r="J49" s="2274"/>
      <c r="K49" s="2274"/>
      <c r="L49" s="126" t="s">
        <v>942</v>
      </c>
      <c r="M49" s="281"/>
    </row>
    <row r="50" spans="1:13" ht="15">
      <c r="A50" s="673">
        <v>44441</v>
      </c>
      <c r="B50" s="1124" t="s">
        <v>522</v>
      </c>
      <c r="C50" s="1124" t="s">
        <v>4021</v>
      </c>
      <c r="D50" s="701" t="s">
        <v>943</v>
      </c>
      <c r="E50" s="613">
        <v>2034.74</v>
      </c>
      <c r="F50" s="633">
        <v>0</v>
      </c>
      <c r="G50" s="696">
        <v>2034.74</v>
      </c>
      <c r="H50" s="673">
        <v>44442</v>
      </c>
      <c r="I50" s="2333"/>
      <c r="J50" s="2274"/>
      <c r="K50" s="2274"/>
      <c r="L50" s="126"/>
      <c r="M50" s="281"/>
    </row>
    <row r="51" spans="1:13" ht="15">
      <c r="A51" s="673">
        <v>44447</v>
      </c>
      <c r="B51" s="1124" t="s">
        <v>522</v>
      </c>
      <c r="C51" s="1124" t="s">
        <v>4021</v>
      </c>
      <c r="D51" s="701" t="s">
        <v>944</v>
      </c>
      <c r="E51" s="613">
        <v>869.4</v>
      </c>
      <c r="F51" s="633">
        <v>0</v>
      </c>
      <c r="G51" s="696">
        <v>869.4</v>
      </c>
      <c r="H51" s="673">
        <v>44448</v>
      </c>
      <c r="I51" s="2333"/>
      <c r="J51" s="2274"/>
      <c r="K51" s="2274"/>
      <c r="L51" s="126"/>
      <c r="M51" s="281"/>
    </row>
    <row r="52" spans="1:13" ht="15">
      <c r="A52" s="673">
        <v>44449</v>
      </c>
      <c r="B52" s="1124" t="s">
        <v>522</v>
      </c>
      <c r="C52" s="1124" t="s">
        <v>4021</v>
      </c>
      <c r="D52" s="701" t="s">
        <v>945</v>
      </c>
      <c r="E52" s="613">
        <v>2963.47</v>
      </c>
      <c r="F52" s="633">
        <v>0</v>
      </c>
      <c r="G52" s="696">
        <v>2963.47</v>
      </c>
      <c r="H52" s="673">
        <v>44450</v>
      </c>
      <c r="I52" s="2333"/>
      <c r="J52" s="2274"/>
      <c r="K52" s="2274"/>
      <c r="L52" s="126"/>
      <c r="M52" s="281"/>
    </row>
    <row r="53" spans="1:13" ht="15">
      <c r="A53" s="673">
        <v>44452</v>
      </c>
      <c r="B53" s="1124" t="s">
        <v>522</v>
      </c>
      <c r="C53" s="1124" t="s">
        <v>4021</v>
      </c>
      <c r="D53" s="701" t="s">
        <v>946</v>
      </c>
      <c r="E53" s="613">
        <v>-74.75</v>
      </c>
      <c r="F53" s="633">
        <v>0</v>
      </c>
      <c r="G53" s="696">
        <v>-74.75</v>
      </c>
      <c r="H53" s="673">
        <v>44453</v>
      </c>
      <c r="I53" s="2333"/>
      <c r="J53" s="2274"/>
      <c r="K53" s="2274"/>
      <c r="L53" s="126" t="s">
        <v>947</v>
      </c>
      <c r="M53" s="281"/>
    </row>
    <row r="54" spans="1:13" ht="15">
      <c r="A54" s="701"/>
      <c r="B54" s="1124"/>
      <c r="C54" s="1124"/>
      <c r="D54" s="701"/>
      <c r="E54" s="613"/>
      <c r="F54" s="633" t="s">
        <v>3093</v>
      </c>
      <c r="G54" s="696">
        <f>SUM(G48:G53)-I48</f>
        <v>-1327.2099999999991</v>
      </c>
      <c r="H54" s="673"/>
      <c r="I54" s="2333">
        <v>25000</v>
      </c>
      <c r="J54" s="2243">
        <v>44582</v>
      </c>
      <c r="K54" s="2274" t="s">
        <v>3118</v>
      </c>
      <c r="L54" s="126"/>
      <c r="M54" s="281"/>
    </row>
    <row r="55" spans="1:13" ht="15">
      <c r="A55" s="673">
        <v>44468</v>
      </c>
      <c r="B55" s="1124" t="s">
        <v>522</v>
      </c>
      <c r="C55" s="1124" t="s">
        <v>4021</v>
      </c>
      <c r="D55" s="701" t="s">
        <v>948</v>
      </c>
      <c r="E55" s="613">
        <v>14172.71</v>
      </c>
      <c r="F55" s="633">
        <v>0</v>
      </c>
      <c r="G55" s="696">
        <v>14172.71</v>
      </c>
      <c r="H55" s="673">
        <v>44469</v>
      </c>
      <c r="I55" s="2333"/>
      <c r="J55" s="2274"/>
      <c r="K55" s="2274"/>
      <c r="L55" s="126"/>
      <c r="M55" s="281"/>
    </row>
    <row r="56" spans="1:13" ht="15">
      <c r="A56" s="673">
        <v>44475</v>
      </c>
      <c r="B56" s="1124" t="s">
        <v>522</v>
      </c>
      <c r="C56" s="1124" t="s">
        <v>4021</v>
      </c>
      <c r="D56" s="701" t="s">
        <v>949</v>
      </c>
      <c r="E56" s="613">
        <v>-172.8</v>
      </c>
      <c r="F56" s="633">
        <v>0</v>
      </c>
      <c r="G56" s="696">
        <v>-172.8</v>
      </c>
      <c r="H56" s="673">
        <v>44476</v>
      </c>
      <c r="I56" s="2333"/>
      <c r="J56" s="2274"/>
      <c r="K56" s="2274"/>
      <c r="L56" s="126" t="s">
        <v>950</v>
      </c>
      <c r="M56" s="281"/>
    </row>
    <row r="57" spans="1:13" ht="15">
      <c r="A57" s="673">
        <v>44476</v>
      </c>
      <c r="B57" s="1124" t="s">
        <v>522</v>
      </c>
      <c r="C57" s="1124" t="s">
        <v>4021</v>
      </c>
      <c r="D57" s="701" t="s">
        <v>951</v>
      </c>
      <c r="E57" s="613">
        <v>-21.7</v>
      </c>
      <c r="F57" s="633">
        <v>0</v>
      </c>
      <c r="G57" s="696">
        <v>-21.7</v>
      </c>
      <c r="H57" s="673" t="s">
        <v>1529</v>
      </c>
      <c r="I57" s="2333"/>
      <c r="J57" s="2274"/>
      <c r="K57" s="2274"/>
      <c r="L57" s="126" t="s">
        <v>2062</v>
      </c>
      <c r="M57" s="281"/>
    </row>
    <row r="58" spans="1:13" ht="15">
      <c r="A58" s="673">
        <v>44482</v>
      </c>
      <c r="B58" s="1124" t="s">
        <v>522</v>
      </c>
      <c r="C58" s="1124" t="s">
        <v>4021</v>
      </c>
      <c r="D58" s="701" t="s">
        <v>952</v>
      </c>
      <c r="E58" s="613">
        <v>332.86</v>
      </c>
      <c r="F58" s="633">
        <v>0</v>
      </c>
      <c r="G58" s="696">
        <v>332.86</v>
      </c>
      <c r="H58" s="673">
        <v>44483</v>
      </c>
      <c r="I58" s="2333"/>
      <c r="J58" s="2274"/>
      <c r="K58" s="2274"/>
      <c r="L58" s="126"/>
      <c r="M58" s="281"/>
    </row>
    <row r="59" spans="1:13" ht="15">
      <c r="A59" s="673">
        <v>44498</v>
      </c>
      <c r="B59" s="1124" t="s">
        <v>522</v>
      </c>
      <c r="C59" s="1124" t="s">
        <v>4021</v>
      </c>
      <c r="D59" s="701" t="s">
        <v>953</v>
      </c>
      <c r="E59" s="613">
        <v>2680</v>
      </c>
      <c r="F59" s="633">
        <v>0</v>
      </c>
      <c r="G59" s="696">
        <v>2680</v>
      </c>
      <c r="H59" s="673">
        <v>44499</v>
      </c>
      <c r="I59" s="2333"/>
      <c r="J59" s="2274"/>
      <c r="K59" s="2274"/>
      <c r="L59" s="440"/>
      <c r="M59" s="281"/>
    </row>
    <row r="60" spans="1:13" ht="15">
      <c r="A60" s="673">
        <v>44518</v>
      </c>
      <c r="B60" s="1124" t="s">
        <v>522</v>
      </c>
      <c r="C60" s="1124" t="s">
        <v>4021</v>
      </c>
      <c r="D60" s="701" t="s">
        <v>954</v>
      </c>
      <c r="E60" s="613">
        <v>3658.22</v>
      </c>
      <c r="F60" s="633">
        <v>0</v>
      </c>
      <c r="G60" s="696">
        <v>3658.49</v>
      </c>
      <c r="H60" s="673">
        <v>44519</v>
      </c>
      <c r="I60" s="2333"/>
      <c r="J60" s="2274"/>
      <c r="K60" s="2274"/>
      <c r="L60" s="440"/>
      <c r="M60" s="281"/>
    </row>
    <row r="61" spans="1:13" ht="15">
      <c r="A61" s="673">
        <v>44527</v>
      </c>
      <c r="B61" s="1124" t="s">
        <v>522</v>
      </c>
      <c r="C61" s="1124" t="s">
        <v>4021</v>
      </c>
      <c r="D61" s="701" t="s">
        <v>955</v>
      </c>
      <c r="E61" s="613">
        <v>10962.57</v>
      </c>
      <c r="F61" s="633">
        <v>0</v>
      </c>
      <c r="G61" s="696">
        <v>10962.57</v>
      </c>
      <c r="H61" s="673">
        <v>44527</v>
      </c>
      <c r="I61" s="2333"/>
      <c r="J61" s="2274"/>
      <c r="K61" s="2274"/>
      <c r="L61" s="440"/>
      <c r="M61" s="281"/>
    </row>
    <row r="62" spans="1:13" ht="15">
      <c r="A62" s="673"/>
      <c r="B62" s="1124"/>
      <c r="C62" s="1124"/>
      <c r="D62" s="701"/>
      <c r="E62" s="613"/>
      <c r="F62" s="633" t="s">
        <v>3093</v>
      </c>
      <c r="G62" s="696">
        <f>SUM(G54:G61)-I54</f>
        <v>5284.9199999999983</v>
      </c>
      <c r="H62" s="673"/>
      <c r="I62" s="2333">
        <v>20000</v>
      </c>
      <c r="J62" s="2243">
        <v>44615</v>
      </c>
      <c r="K62" s="2274" t="s">
        <v>3119</v>
      </c>
      <c r="L62" s="440"/>
      <c r="M62" s="281"/>
    </row>
    <row r="63" spans="1:13" ht="15">
      <c r="A63" s="673">
        <v>44559</v>
      </c>
      <c r="B63" s="1124" t="s">
        <v>522</v>
      </c>
      <c r="C63" s="1124" t="s">
        <v>4021</v>
      </c>
      <c r="D63" s="701" t="s">
        <v>956</v>
      </c>
      <c r="E63" s="613">
        <v>5568.15</v>
      </c>
      <c r="F63" s="633">
        <v>0</v>
      </c>
      <c r="G63" s="696">
        <v>5568.15</v>
      </c>
      <c r="H63" s="673">
        <v>44560</v>
      </c>
      <c r="I63" s="2333"/>
      <c r="J63" s="2274"/>
      <c r="K63" s="2274"/>
      <c r="L63" s="440"/>
      <c r="M63" s="281"/>
    </row>
    <row r="64" spans="1:13" ht="15">
      <c r="A64" s="673">
        <v>44578</v>
      </c>
      <c r="B64" s="1124" t="s">
        <v>522</v>
      </c>
      <c r="C64" s="1124" t="s">
        <v>4021</v>
      </c>
      <c r="D64" s="701" t="s">
        <v>957</v>
      </c>
      <c r="E64" s="613">
        <v>22172.86</v>
      </c>
      <c r="F64" s="633">
        <v>0</v>
      </c>
      <c r="G64" s="696">
        <v>22172.86</v>
      </c>
      <c r="H64" s="673">
        <v>44583</v>
      </c>
      <c r="I64" s="2333"/>
      <c r="J64" s="2274"/>
      <c r="K64" s="2274"/>
      <c r="L64" s="440"/>
      <c r="M64" s="281"/>
    </row>
    <row r="65" spans="1:13" ht="15">
      <c r="A65" s="673"/>
      <c r="B65" s="1124"/>
      <c r="C65" s="1124"/>
      <c r="D65" s="701"/>
      <c r="E65" s="613"/>
      <c r="F65" s="633" t="s">
        <v>3093</v>
      </c>
      <c r="G65" s="696">
        <f>SUM(G62:G64)-I62</f>
        <v>13025.93</v>
      </c>
      <c r="H65" s="673"/>
      <c r="I65" s="772">
        <v>8000</v>
      </c>
      <c r="J65" s="673">
        <v>44648</v>
      </c>
      <c r="K65" s="701" t="s">
        <v>3119</v>
      </c>
      <c r="L65" s="440"/>
      <c r="M65" s="281"/>
    </row>
    <row r="66" spans="1:13" ht="15">
      <c r="A66" s="673"/>
      <c r="B66" s="1124"/>
      <c r="C66" s="1124"/>
      <c r="D66" s="701"/>
      <c r="E66" s="613"/>
      <c r="F66" s="633" t="s">
        <v>3093</v>
      </c>
      <c r="G66" s="696">
        <f>SUM(G65)-I65</f>
        <v>5025.93</v>
      </c>
      <c r="H66" s="673"/>
      <c r="I66" s="2188">
        <v>31000</v>
      </c>
      <c r="J66" s="2017">
        <v>44699</v>
      </c>
      <c r="K66" s="2225" t="s">
        <v>3119</v>
      </c>
      <c r="L66" s="440"/>
      <c r="M66" s="281"/>
    </row>
    <row r="67" spans="1:13" ht="15">
      <c r="A67" s="673">
        <v>44585</v>
      </c>
      <c r="B67" s="1124" t="s">
        <v>522</v>
      </c>
      <c r="C67" s="1124" t="s">
        <v>4021</v>
      </c>
      <c r="D67" s="701" t="s">
        <v>958</v>
      </c>
      <c r="E67" s="613">
        <v>3544.14</v>
      </c>
      <c r="F67" s="633">
        <v>0</v>
      </c>
      <c r="G67" s="696">
        <v>3544.14</v>
      </c>
      <c r="H67" s="673">
        <v>44586</v>
      </c>
      <c r="I67" s="2334"/>
      <c r="J67" s="2018"/>
      <c r="K67" s="2335"/>
      <c r="L67" s="440"/>
      <c r="M67" s="281"/>
    </row>
    <row r="68" spans="1:13" ht="15">
      <c r="A68" s="673">
        <v>44599</v>
      </c>
      <c r="B68" s="1124" t="s">
        <v>521</v>
      </c>
      <c r="C68" s="1124" t="s">
        <v>4021</v>
      </c>
      <c r="D68" s="701" t="s">
        <v>2753</v>
      </c>
      <c r="E68" s="696">
        <v>1301.4000000000001</v>
      </c>
      <c r="F68" s="633">
        <v>0</v>
      </c>
      <c r="G68" s="696">
        <v>1301.4000000000001</v>
      </c>
      <c r="H68" s="673"/>
      <c r="I68" s="2334"/>
      <c r="J68" s="2018"/>
      <c r="K68" s="2335"/>
      <c r="L68" s="440"/>
      <c r="M68" s="281"/>
    </row>
    <row r="69" spans="1:13" ht="15">
      <c r="A69" s="673">
        <v>44599</v>
      </c>
      <c r="B69" s="1124" t="s">
        <v>521</v>
      </c>
      <c r="C69" s="1124" t="s">
        <v>4021</v>
      </c>
      <c r="D69" s="701" t="s">
        <v>959</v>
      </c>
      <c r="E69" s="613">
        <v>-17.64</v>
      </c>
      <c r="F69" s="633">
        <v>0</v>
      </c>
      <c r="G69" s="696">
        <v>-17.64</v>
      </c>
      <c r="H69" s="673" t="s">
        <v>1529</v>
      </c>
      <c r="I69" s="2334"/>
      <c r="J69" s="2018"/>
      <c r="K69" s="2335"/>
      <c r="L69" s="440"/>
      <c r="M69" s="281"/>
    </row>
    <row r="70" spans="1:13" ht="15">
      <c r="A70" s="673">
        <v>44606</v>
      </c>
      <c r="B70" s="1124" t="s">
        <v>521</v>
      </c>
      <c r="C70" s="1124" t="s">
        <v>4021</v>
      </c>
      <c r="D70" s="701" t="s">
        <v>960</v>
      </c>
      <c r="E70" s="613">
        <v>-2449.09</v>
      </c>
      <c r="F70" s="633">
        <v>0</v>
      </c>
      <c r="G70" s="696">
        <v>-2449.09</v>
      </c>
      <c r="H70" s="673" t="s">
        <v>1529</v>
      </c>
      <c r="I70" s="2334"/>
      <c r="J70" s="2018"/>
      <c r="K70" s="2335"/>
      <c r="L70" s="440"/>
      <c r="M70" s="281"/>
    </row>
    <row r="71" spans="1:13" ht="15">
      <c r="A71" s="673">
        <v>44606</v>
      </c>
      <c r="B71" s="1124" t="s">
        <v>521</v>
      </c>
      <c r="C71" s="1124" t="s">
        <v>4021</v>
      </c>
      <c r="D71" s="701" t="s">
        <v>961</v>
      </c>
      <c r="E71" s="613">
        <v>-713.25</v>
      </c>
      <c r="F71" s="633">
        <v>0</v>
      </c>
      <c r="G71" s="696">
        <v>-713.25</v>
      </c>
      <c r="H71" s="673" t="s">
        <v>1529</v>
      </c>
      <c r="I71" s="2334"/>
      <c r="J71" s="2018"/>
      <c r="K71" s="2335"/>
      <c r="L71" s="440"/>
      <c r="M71" s="281"/>
    </row>
    <row r="72" spans="1:13" ht="15">
      <c r="A72" s="673">
        <v>44606</v>
      </c>
      <c r="B72" s="1124" t="s">
        <v>521</v>
      </c>
      <c r="C72" s="1124" t="s">
        <v>4021</v>
      </c>
      <c r="D72" s="701" t="s">
        <v>962</v>
      </c>
      <c r="E72" s="613">
        <v>-455.88</v>
      </c>
      <c r="F72" s="633">
        <v>0</v>
      </c>
      <c r="G72" s="696">
        <v>-455.87</v>
      </c>
      <c r="H72" s="673" t="s">
        <v>1529</v>
      </c>
      <c r="I72" s="2334"/>
      <c r="J72" s="2018"/>
      <c r="K72" s="2335"/>
      <c r="L72" s="440"/>
      <c r="M72" s="281"/>
    </row>
    <row r="73" spans="1:13" ht="15">
      <c r="A73" s="673">
        <v>44606</v>
      </c>
      <c r="B73" s="1124" t="s">
        <v>521</v>
      </c>
      <c r="C73" s="1124" t="s">
        <v>4021</v>
      </c>
      <c r="D73" s="701" t="s">
        <v>963</v>
      </c>
      <c r="E73" s="613">
        <v>-374.26</v>
      </c>
      <c r="F73" s="633">
        <v>0</v>
      </c>
      <c r="G73" s="696">
        <v>-374.26</v>
      </c>
      <c r="H73" s="673" t="s">
        <v>1529</v>
      </c>
      <c r="I73" s="2334"/>
      <c r="J73" s="2018"/>
      <c r="K73" s="2335"/>
      <c r="L73" s="440"/>
      <c r="M73" s="281"/>
    </row>
    <row r="74" spans="1:13" ht="15">
      <c r="A74" s="673">
        <v>44606</v>
      </c>
      <c r="B74" s="1124" t="s">
        <v>521</v>
      </c>
      <c r="C74" s="1124" t="s">
        <v>4021</v>
      </c>
      <c r="D74" s="701" t="s">
        <v>964</v>
      </c>
      <c r="E74" s="613">
        <v>-557.08000000000004</v>
      </c>
      <c r="F74" s="633">
        <v>0</v>
      </c>
      <c r="G74" s="696">
        <v>-557.08000000000004</v>
      </c>
      <c r="H74" s="673" t="s">
        <v>1529</v>
      </c>
      <c r="I74" s="2334"/>
      <c r="J74" s="2018"/>
      <c r="K74" s="2335"/>
      <c r="L74" s="440"/>
      <c r="M74" s="281"/>
    </row>
    <row r="75" spans="1:13" ht="15">
      <c r="A75" s="673">
        <v>44606</v>
      </c>
      <c r="B75" s="1124" t="s">
        <v>521</v>
      </c>
      <c r="C75" s="1124" t="s">
        <v>4021</v>
      </c>
      <c r="D75" s="701" t="s">
        <v>965</v>
      </c>
      <c r="E75" s="613">
        <v>-25.59</v>
      </c>
      <c r="F75" s="633">
        <v>0</v>
      </c>
      <c r="G75" s="696">
        <v>-25.59</v>
      </c>
      <c r="H75" s="673" t="s">
        <v>1529</v>
      </c>
      <c r="I75" s="2334"/>
      <c r="J75" s="2018"/>
      <c r="K75" s="2335"/>
      <c r="L75" s="440"/>
      <c r="M75" s="281"/>
    </row>
    <row r="76" spans="1:13" ht="15">
      <c r="A76" s="673">
        <v>44615</v>
      </c>
      <c r="B76" s="1124" t="s">
        <v>521</v>
      </c>
      <c r="C76" s="1124" t="s">
        <v>4021</v>
      </c>
      <c r="D76" s="701" t="s">
        <v>966</v>
      </c>
      <c r="E76" s="613">
        <v>8473.0300000000007</v>
      </c>
      <c r="F76" s="633">
        <v>0</v>
      </c>
      <c r="G76" s="696">
        <v>8473.0300000000007</v>
      </c>
      <c r="H76" s="673">
        <v>44616</v>
      </c>
      <c r="I76" s="2334"/>
      <c r="J76" s="2018"/>
      <c r="K76" s="2335"/>
      <c r="L76" s="440"/>
      <c r="M76" s="281"/>
    </row>
    <row r="77" spans="1:13" ht="15">
      <c r="A77" s="673">
        <v>44616</v>
      </c>
      <c r="B77" s="1124" t="s">
        <v>521</v>
      </c>
      <c r="C77" s="1124" t="s">
        <v>4021</v>
      </c>
      <c r="D77" s="701" t="s">
        <v>967</v>
      </c>
      <c r="E77" s="613">
        <v>-1379.95</v>
      </c>
      <c r="F77" s="633">
        <v>0</v>
      </c>
      <c r="G77" s="696">
        <v>-1379.95</v>
      </c>
      <c r="H77" s="673" t="s">
        <v>1529</v>
      </c>
      <c r="I77" s="2334"/>
      <c r="J77" s="2018"/>
      <c r="K77" s="2335"/>
      <c r="L77" s="440"/>
      <c r="M77" s="281"/>
    </row>
    <row r="78" spans="1:13" ht="15">
      <c r="A78" s="673">
        <v>44616</v>
      </c>
      <c r="B78" s="1124" t="s">
        <v>521</v>
      </c>
      <c r="C78" s="1124" t="s">
        <v>4021</v>
      </c>
      <c r="D78" s="701" t="s">
        <v>968</v>
      </c>
      <c r="E78" s="613">
        <v>-2104.83</v>
      </c>
      <c r="F78" s="633">
        <v>0</v>
      </c>
      <c r="G78" s="696">
        <v>-2104.83</v>
      </c>
      <c r="H78" s="673" t="s">
        <v>1529</v>
      </c>
      <c r="I78" s="2334"/>
      <c r="J78" s="2018"/>
      <c r="K78" s="2335"/>
      <c r="L78" s="440"/>
      <c r="M78" s="281"/>
    </row>
    <row r="79" spans="1:13" ht="15">
      <c r="A79" s="673">
        <v>44656</v>
      </c>
      <c r="B79" s="1124" t="s">
        <v>521</v>
      </c>
      <c r="C79" s="1124" t="s">
        <v>4021</v>
      </c>
      <c r="D79" s="701" t="s">
        <v>1903</v>
      </c>
      <c r="E79" s="613">
        <v>12028.05</v>
      </c>
      <c r="F79" s="633">
        <v>0</v>
      </c>
      <c r="G79" s="696">
        <v>12028.05</v>
      </c>
      <c r="H79" s="673">
        <v>44657</v>
      </c>
      <c r="I79" s="2334"/>
      <c r="J79" s="2018"/>
      <c r="K79" s="2335"/>
      <c r="L79" s="440"/>
      <c r="M79" s="281"/>
    </row>
    <row r="80" spans="1:13" ht="15">
      <c r="A80" s="673">
        <v>44656</v>
      </c>
      <c r="B80" s="1124" t="s">
        <v>521</v>
      </c>
      <c r="C80" s="1124" t="s">
        <v>4021</v>
      </c>
      <c r="D80" s="701" t="s">
        <v>1904</v>
      </c>
      <c r="E80" s="613">
        <v>4276.16</v>
      </c>
      <c r="F80" s="633">
        <v>0</v>
      </c>
      <c r="G80" s="696">
        <v>4276.16</v>
      </c>
      <c r="H80" s="673">
        <v>44657</v>
      </c>
      <c r="I80" s="2334"/>
      <c r="J80" s="2018"/>
      <c r="K80" s="2335"/>
      <c r="L80" s="440"/>
      <c r="M80" s="281"/>
    </row>
    <row r="81" spans="1:13" ht="15">
      <c r="A81" s="2193">
        <v>44656</v>
      </c>
      <c r="B81" s="1918" t="s">
        <v>521</v>
      </c>
      <c r="C81" s="1918" t="s">
        <v>4021</v>
      </c>
      <c r="D81" s="2199" t="s">
        <v>1905</v>
      </c>
      <c r="E81" s="1915">
        <v>7808.38</v>
      </c>
      <c r="F81" s="2002">
        <v>0</v>
      </c>
      <c r="G81" s="713">
        <f>7808.38-3379.53</f>
        <v>4428.8500000000004</v>
      </c>
      <c r="H81" s="607">
        <v>44657</v>
      </c>
      <c r="I81" s="2189"/>
      <c r="J81" s="2019"/>
      <c r="K81" s="2190"/>
      <c r="L81" s="440"/>
      <c r="M81" s="281"/>
    </row>
    <row r="82" spans="1:13" ht="15">
      <c r="A82" s="2194"/>
      <c r="B82" s="1920"/>
      <c r="C82" s="1920"/>
      <c r="D82" s="2200"/>
      <c r="E82" s="1917"/>
      <c r="F82" s="2003"/>
      <c r="G82" s="713">
        <v>3379.53</v>
      </c>
      <c r="H82" s="607">
        <v>44657</v>
      </c>
      <c r="I82" s="2083">
        <v>25000</v>
      </c>
      <c r="J82" s="2017">
        <v>44740</v>
      </c>
      <c r="K82" s="2225" t="s">
        <v>3119</v>
      </c>
      <c r="L82" s="440"/>
      <c r="M82" s="281"/>
    </row>
    <row r="83" spans="1:13" ht="15">
      <c r="A83" s="607">
        <v>44657</v>
      </c>
      <c r="B83" s="1124" t="s">
        <v>521</v>
      </c>
      <c r="C83" s="1124" t="s">
        <v>4021</v>
      </c>
      <c r="D83" s="608" t="s">
        <v>1906</v>
      </c>
      <c r="E83" s="613">
        <v>313.8</v>
      </c>
      <c r="F83" s="633">
        <v>0</v>
      </c>
      <c r="G83" s="713">
        <v>313.8</v>
      </c>
      <c r="H83" s="607">
        <v>44658</v>
      </c>
      <c r="I83" s="2084"/>
      <c r="J83" s="2018"/>
      <c r="K83" s="2335"/>
      <c r="L83" s="440"/>
      <c r="M83" s="281"/>
    </row>
    <row r="84" spans="1:13" ht="15">
      <c r="A84" s="607">
        <v>44662</v>
      </c>
      <c r="B84" s="1124" t="s">
        <v>521</v>
      </c>
      <c r="C84" s="1124" t="s">
        <v>4021</v>
      </c>
      <c r="D84" s="608" t="s">
        <v>1934</v>
      </c>
      <c r="E84" s="613">
        <v>125.65</v>
      </c>
      <c r="F84" s="633">
        <v>0</v>
      </c>
      <c r="G84" s="713">
        <v>125.65</v>
      </c>
      <c r="H84" s="607">
        <v>44663</v>
      </c>
      <c r="I84" s="2084"/>
      <c r="J84" s="2018"/>
      <c r="K84" s="2335"/>
      <c r="L84" s="440"/>
      <c r="M84" s="281"/>
    </row>
    <row r="85" spans="1:13" ht="15">
      <c r="A85" s="607">
        <v>44664</v>
      </c>
      <c r="B85" s="1124" t="s">
        <v>521</v>
      </c>
      <c r="C85" s="1124" t="s">
        <v>4021</v>
      </c>
      <c r="D85" s="608" t="s">
        <v>1935</v>
      </c>
      <c r="E85" s="613">
        <v>1908.18</v>
      </c>
      <c r="F85" s="633">
        <v>0</v>
      </c>
      <c r="G85" s="713">
        <v>1908.18</v>
      </c>
      <c r="H85" s="607">
        <v>44665</v>
      </c>
      <c r="I85" s="2084"/>
      <c r="J85" s="2018"/>
      <c r="K85" s="2335"/>
      <c r="L85" s="440"/>
      <c r="M85" s="281"/>
    </row>
    <row r="86" spans="1:13" ht="15">
      <c r="A86" s="607">
        <v>44685</v>
      </c>
      <c r="B86" s="1124" t="s">
        <v>521</v>
      </c>
      <c r="C86" s="1124" t="s">
        <v>4021</v>
      </c>
      <c r="D86" s="608" t="s">
        <v>2061</v>
      </c>
      <c r="E86" s="613">
        <v>18082.61</v>
      </c>
      <c r="F86" s="633">
        <v>0</v>
      </c>
      <c r="G86" s="713">
        <v>18082.61</v>
      </c>
      <c r="H86" s="607">
        <v>44686</v>
      </c>
      <c r="I86" s="2084"/>
      <c r="J86" s="2018"/>
      <c r="K86" s="2335"/>
      <c r="L86" s="440"/>
      <c r="M86" s="281"/>
    </row>
    <row r="87" spans="1:13" ht="15">
      <c r="A87" s="2193">
        <v>44691</v>
      </c>
      <c r="B87" s="1918" t="s">
        <v>521</v>
      </c>
      <c r="C87" s="1918" t="s">
        <v>4021</v>
      </c>
      <c r="D87" s="2199" t="s">
        <v>2104</v>
      </c>
      <c r="E87" s="1923">
        <v>4325.26</v>
      </c>
      <c r="F87" s="1927">
        <v>0</v>
      </c>
      <c r="G87" s="713">
        <v>1190.23</v>
      </c>
      <c r="H87" s="607">
        <v>44692</v>
      </c>
      <c r="I87" s="2085"/>
      <c r="J87" s="2019"/>
      <c r="K87" s="2190"/>
      <c r="L87" s="440"/>
      <c r="M87" s="281"/>
    </row>
    <row r="88" spans="1:13" ht="15">
      <c r="A88" s="2196"/>
      <c r="B88" s="1919"/>
      <c r="C88" s="1919"/>
      <c r="D88" s="2204"/>
      <c r="E88" s="1961"/>
      <c r="F88" s="1960"/>
      <c r="G88" s="713">
        <v>227.63</v>
      </c>
      <c r="H88" s="607">
        <v>44692</v>
      </c>
      <c r="I88" s="735">
        <v>227.63</v>
      </c>
      <c r="J88" s="773">
        <v>44797</v>
      </c>
      <c r="K88" s="774" t="s">
        <v>3119</v>
      </c>
      <c r="L88" s="564"/>
      <c r="M88" s="281"/>
    </row>
    <row r="89" spans="1:13" ht="15">
      <c r="A89" s="2194"/>
      <c r="B89" s="1920"/>
      <c r="C89" s="1920"/>
      <c r="D89" s="2200"/>
      <c r="E89" s="1924"/>
      <c r="F89" s="1928"/>
      <c r="G89" s="713">
        <f>4325.26-1190.23-227.63</f>
        <v>2907.4</v>
      </c>
      <c r="H89" s="607">
        <v>44692</v>
      </c>
      <c r="I89" s="2083">
        <v>20000</v>
      </c>
      <c r="J89" s="2017">
        <v>44762</v>
      </c>
      <c r="K89" s="2225" t="s">
        <v>3119</v>
      </c>
      <c r="L89" s="440"/>
      <c r="M89" s="281"/>
    </row>
    <row r="90" spans="1:13" ht="15">
      <c r="A90" s="612">
        <v>44691</v>
      </c>
      <c r="B90" s="1124" t="s">
        <v>521</v>
      </c>
      <c r="C90" s="1124" t="s">
        <v>4021</v>
      </c>
      <c r="D90" s="775" t="s">
        <v>2105</v>
      </c>
      <c r="E90" s="776">
        <v>17092.599999999999</v>
      </c>
      <c r="F90" s="777">
        <v>0</v>
      </c>
      <c r="G90" s="713">
        <v>17092.599999999999</v>
      </c>
      <c r="H90" s="607">
        <v>44692</v>
      </c>
      <c r="I90" s="2085"/>
      <c r="J90" s="2019"/>
      <c r="K90" s="2190"/>
      <c r="L90" s="440"/>
      <c r="M90" s="281"/>
    </row>
    <row r="91" spans="1:13" ht="15">
      <c r="A91" s="607">
        <v>44698</v>
      </c>
      <c r="B91" s="1124" t="s">
        <v>521</v>
      </c>
      <c r="C91" s="1124" t="s">
        <v>4021</v>
      </c>
      <c r="D91" s="608" t="s">
        <v>2143</v>
      </c>
      <c r="E91" s="609">
        <v>3665.9</v>
      </c>
      <c r="F91" s="649">
        <v>0</v>
      </c>
      <c r="G91" s="713">
        <v>3665.9</v>
      </c>
      <c r="H91" s="607">
        <v>44699</v>
      </c>
      <c r="I91" s="778">
        <v>3665.9</v>
      </c>
      <c r="J91" s="2017">
        <v>44797</v>
      </c>
      <c r="K91" s="2225" t="s">
        <v>3119</v>
      </c>
      <c r="L91" s="440"/>
      <c r="M91" s="442"/>
    </row>
    <row r="92" spans="1:13" ht="15">
      <c r="A92" s="607">
        <v>44699</v>
      </c>
      <c r="B92" s="1124" t="s">
        <v>521</v>
      </c>
      <c r="C92" s="1124" t="s">
        <v>4021</v>
      </c>
      <c r="D92" s="608" t="s">
        <v>2144</v>
      </c>
      <c r="E92" s="609">
        <v>6241.83</v>
      </c>
      <c r="F92" s="649">
        <v>0</v>
      </c>
      <c r="G92" s="713">
        <v>6241.83</v>
      </c>
      <c r="H92" s="607">
        <v>44700</v>
      </c>
      <c r="I92" s="778">
        <v>6241.83</v>
      </c>
      <c r="J92" s="2018"/>
      <c r="K92" s="2335"/>
      <c r="L92" s="440"/>
      <c r="M92" s="442"/>
    </row>
    <row r="93" spans="1:13" ht="15">
      <c r="A93" s="607">
        <v>44700</v>
      </c>
      <c r="B93" s="1124" t="s">
        <v>521</v>
      </c>
      <c r="C93" s="1124" t="s">
        <v>4021</v>
      </c>
      <c r="D93" s="608" t="s">
        <v>2145</v>
      </c>
      <c r="E93" s="609">
        <v>-70.150000000000006</v>
      </c>
      <c r="F93" s="649">
        <v>0</v>
      </c>
      <c r="G93" s="713">
        <v>-70.150000000000006</v>
      </c>
      <c r="H93" s="607">
        <v>44701</v>
      </c>
      <c r="I93" s="778">
        <v>-70.150000000000006</v>
      </c>
      <c r="J93" s="2018"/>
      <c r="K93" s="2335"/>
      <c r="L93" s="440"/>
      <c r="M93" s="442"/>
    </row>
    <row r="94" spans="1:13" ht="15">
      <c r="A94" s="607">
        <v>44701</v>
      </c>
      <c r="B94" s="1124" t="s">
        <v>521</v>
      </c>
      <c r="C94" s="1124" t="s">
        <v>4021</v>
      </c>
      <c r="D94" s="608" t="s">
        <v>2146</v>
      </c>
      <c r="E94" s="609">
        <v>2505.48</v>
      </c>
      <c r="F94" s="649">
        <v>0</v>
      </c>
      <c r="G94" s="713">
        <v>2505.48</v>
      </c>
      <c r="H94" s="607">
        <v>44702</v>
      </c>
      <c r="I94" s="778">
        <v>2505.48</v>
      </c>
      <c r="J94" s="2018"/>
      <c r="K94" s="2335"/>
      <c r="L94" s="440"/>
      <c r="M94" s="442"/>
    </row>
    <row r="95" spans="1:13" ht="15">
      <c r="A95" s="607">
        <v>44712</v>
      </c>
      <c r="B95" s="1124" t="s">
        <v>521</v>
      </c>
      <c r="C95" s="1124" t="s">
        <v>4021</v>
      </c>
      <c r="D95" s="608" t="s">
        <v>2244</v>
      </c>
      <c r="E95" s="609">
        <v>2590.8000000000002</v>
      </c>
      <c r="F95" s="649">
        <v>0</v>
      </c>
      <c r="G95" s="713">
        <v>2590.8000000000002</v>
      </c>
      <c r="H95" s="607">
        <v>44713</v>
      </c>
      <c r="I95" s="778">
        <v>2590.8000000000002</v>
      </c>
      <c r="J95" s="2018"/>
      <c r="K95" s="2335"/>
      <c r="L95" s="440"/>
      <c r="M95" s="442"/>
    </row>
    <row r="96" spans="1:13" ht="15">
      <c r="A96" s="607">
        <v>44712</v>
      </c>
      <c r="B96" s="1124" t="s">
        <v>521</v>
      </c>
      <c r="C96" s="1124" t="s">
        <v>4021</v>
      </c>
      <c r="D96" s="608" t="s">
        <v>2245</v>
      </c>
      <c r="E96" s="609">
        <v>285.60000000000002</v>
      </c>
      <c r="F96" s="649">
        <v>0</v>
      </c>
      <c r="G96" s="713">
        <v>285.60000000000002</v>
      </c>
      <c r="H96" s="607">
        <v>44713</v>
      </c>
      <c r="I96" s="778">
        <v>285.60000000000002</v>
      </c>
      <c r="J96" s="2018"/>
      <c r="K96" s="2335"/>
      <c r="L96" s="440"/>
      <c r="M96" s="442"/>
    </row>
    <row r="97" spans="1:13" ht="15">
      <c r="A97" s="607">
        <v>44712</v>
      </c>
      <c r="B97" s="1124" t="s">
        <v>521</v>
      </c>
      <c r="C97" s="1124" t="s">
        <v>4021</v>
      </c>
      <c r="D97" s="608" t="s">
        <v>2246</v>
      </c>
      <c r="E97" s="609">
        <v>491.5</v>
      </c>
      <c r="F97" s="649">
        <v>0</v>
      </c>
      <c r="G97" s="713">
        <v>491.5</v>
      </c>
      <c r="H97" s="607">
        <v>44713</v>
      </c>
      <c r="I97" s="778">
        <v>491.5</v>
      </c>
      <c r="J97" s="2018"/>
      <c r="K97" s="2335"/>
      <c r="L97" s="440"/>
      <c r="M97" s="442"/>
    </row>
    <row r="98" spans="1:13" ht="15">
      <c r="A98" s="607">
        <v>44726</v>
      </c>
      <c r="B98" s="1124" t="s">
        <v>521</v>
      </c>
      <c r="C98" s="1124" t="s">
        <v>4021</v>
      </c>
      <c r="D98" s="608" t="s">
        <v>2301</v>
      </c>
      <c r="E98" s="609">
        <v>3326.57</v>
      </c>
      <c r="F98" s="649">
        <v>0</v>
      </c>
      <c r="G98" s="713">
        <v>3326.57</v>
      </c>
      <c r="H98" s="607">
        <v>44727</v>
      </c>
      <c r="I98" s="778">
        <v>3326.57</v>
      </c>
      <c r="J98" s="2018"/>
      <c r="K98" s="2335"/>
      <c r="L98" s="440"/>
      <c r="M98" s="442"/>
    </row>
    <row r="99" spans="1:13" ht="15">
      <c r="A99" s="607">
        <v>44732</v>
      </c>
      <c r="B99" s="1124" t="s">
        <v>521</v>
      </c>
      <c r="C99" s="1124" t="s">
        <v>4021</v>
      </c>
      <c r="D99" s="608" t="s">
        <v>2339</v>
      </c>
      <c r="E99" s="609">
        <v>5481.45</v>
      </c>
      <c r="F99" s="649">
        <v>0</v>
      </c>
      <c r="G99" s="713">
        <v>5481.45</v>
      </c>
      <c r="H99" s="607">
        <v>44733</v>
      </c>
      <c r="I99" s="778">
        <v>5481.45</v>
      </c>
      <c r="J99" s="2018"/>
      <c r="K99" s="2335"/>
      <c r="L99" s="440"/>
      <c r="M99" s="442"/>
    </row>
    <row r="100" spans="1:13" ht="15">
      <c r="A100" s="607">
        <v>44732</v>
      </c>
      <c r="B100" s="1124" t="s">
        <v>521</v>
      </c>
      <c r="C100" s="1124" t="s">
        <v>4021</v>
      </c>
      <c r="D100" s="608" t="s">
        <v>2340</v>
      </c>
      <c r="E100" s="609">
        <v>-2903.6</v>
      </c>
      <c r="F100" s="649">
        <v>0</v>
      </c>
      <c r="G100" s="713">
        <v>-2903.6</v>
      </c>
      <c r="H100" s="607">
        <v>44733</v>
      </c>
      <c r="I100" s="778">
        <v>-2903.6</v>
      </c>
      <c r="J100" s="2018"/>
      <c r="K100" s="2335"/>
      <c r="L100" s="440"/>
      <c r="M100" s="442"/>
    </row>
    <row r="101" spans="1:13" ht="15">
      <c r="A101" s="607">
        <v>44740</v>
      </c>
      <c r="B101" s="1124" t="s">
        <v>521</v>
      </c>
      <c r="C101" s="1124" t="s">
        <v>4021</v>
      </c>
      <c r="D101" s="608" t="s">
        <v>2378</v>
      </c>
      <c r="E101" s="609">
        <v>7990.35</v>
      </c>
      <c r="F101" s="649">
        <v>0</v>
      </c>
      <c r="G101" s="713">
        <v>7990.35</v>
      </c>
      <c r="H101" s="607">
        <v>44741</v>
      </c>
      <c r="I101" s="778">
        <v>7990.35</v>
      </c>
      <c r="J101" s="2018"/>
      <c r="K101" s="2335"/>
      <c r="L101" s="440"/>
      <c r="M101" s="442"/>
    </row>
    <row r="102" spans="1:13" ht="15">
      <c r="A102" s="2193">
        <v>44741</v>
      </c>
      <c r="B102" s="1918" t="s">
        <v>521</v>
      </c>
      <c r="C102" s="1918" t="s">
        <v>4021</v>
      </c>
      <c r="D102" s="2199" t="s">
        <v>2379</v>
      </c>
      <c r="E102" s="1923">
        <v>4649.83</v>
      </c>
      <c r="F102" s="1927">
        <v>0</v>
      </c>
      <c r="G102" s="824">
        <v>1336.37</v>
      </c>
      <c r="H102" s="823">
        <v>44742</v>
      </c>
      <c r="I102" s="757">
        <v>1336.37</v>
      </c>
      <c r="J102" s="2019"/>
      <c r="K102" s="2190"/>
      <c r="L102" s="440"/>
      <c r="M102" s="442"/>
    </row>
    <row r="103" spans="1:13" ht="15">
      <c r="A103" s="2194"/>
      <c r="B103" s="1920"/>
      <c r="C103" s="1920"/>
      <c r="D103" s="2200"/>
      <c r="E103" s="1924"/>
      <c r="F103" s="1928"/>
      <c r="G103" s="824">
        <f>4649.83-1336.37</f>
        <v>3313.46</v>
      </c>
      <c r="H103" s="823">
        <v>44742</v>
      </c>
      <c r="I103" s="2083">
        <v>20000</v>
      </c>
      <c r="J103" s="2017">
        <v>44834</v>
      </c>
      <c r="K103" s="2337" t="s">
        <v>3207</v>
      </c>
      <c r="L103" s="570"/>
      <c r="M103" s="442"/>
    </row>
    <row r="104" spans="1:13" ht="15">
      <c r="A104" s="823">
        <v>44760.000497685185</v>
      </c>
      <c r="B104" s="1124" t="s">
        <v>521</v>
      </c>
      <c r="C104" s="1124" t="s">
        <v>4021</v>
      </c>
      <c r="D104" s="608" t="s">
        <v>2494</v>
      </c>
      <c r="E104" s="822">
        <v>1528.68</v>
      </c>
      <c r="F104" s="649">
        <v>0</v>
      </c>
      <c r="G104" s="824">
        <v>1528.68</v>
      </c>
      <c r="H104" s="823">
        <v>44761</v>
      </c>
      <c r="I104" s="2084"/>
      <c r="J104" s="2018"/>
      <c r="K104" s="2335"/>
      <c r="L104" s="480"/>
      <c r="M104" s="442"/>
    </row>
    <row r="105" spans="1:13" ht="15">
      <c r="A105" s="823">
        <v>44763.000497685185</v>
      </c>
      <c r="B105" s="1124" t="s">
        <v>521</v>
      </c>
      <c r="C105" s="1124" t="s">
        <v>4021</v>
      </c>
      <c r="D105" s="608" t="s">
        <v>2498</v>
      </c>
      <c r="E105" s="822">
        <v>14619.92</v>
      </c>
      <c r="F105" s="649">
        <v>0</v>
      </c>
      <c r="G105" s="824">
        <v>14619.92</v>
      </c>
      <c r="H105" s="823">
        <v>44764</v>
      </c>
      <c r="I105" s="2084"/>
      <c r="J105" s="2018"/>
      <c r="K105" s="2335"/>
      <c r="L105" s="480"/>
      <c r="M105" s="442"/>
    </row>
    <row r="106" spans="1:13" ht="15">
      <c r="A106" s="2193">
        <v>44763.000497685185</v>
      </c>
      <c r="B106" s="1918" t="s">
        <v>521</v>
      </c>
      <c r="C106" s="1918" t="s">
        <v>4021</v>
      </c>
      <c r="D106" s="2199" t="s">
        <v>2499</v>
      </c>
      <c r="E106" s="1923">
        <v>4909</v>
      </c>
      <c r="F106" s="1927">
        <v>0</v>
      </c>
      <c r="G106" s="915">
        <v>537.94000000000005</v>
      </c>
      <c r="H106" s="914">
        <v>44764</v>
      </c>
      <c r="I106" s="2085"/>
      <c r="J106" s="2019"/>
      <c r="K106" s="2190"/>
      <c r="L106" s="480"/>
      <c r="M106" s="442"/>
    </row>
    <row r="107" spans="1:13" ht="15">
      <c r="A107" s="2194"/>
      <c r="B107" s="1920"/>
      <c r="C107" s="1920"/>
      <c r="D107" s="2200"/>
      <c r="E107" s="1924"/>
      <c r="F107" s="1928"/>
      <c r="G107" s="915">
        <f>4909-537.94</f>
        <v>4371.0599999999995</v>
      </c>
      <c r="H107" s="914">
        <v>44764</v>
      </c>
      <c r="I107" s="816">
        <v>4371.0599999999995</v>
      </c>
      <c r="J107" s="812">
        <v>44880</v>
      </c>
      <c r="K107" s="819" t="s">
        <v>3512</v>
      </c>
      <c r="L107" s="820"/>
      <c r="M107" s="442"/>
    </row>
    <row r="108" spans="1:13" ht="15">
      <c r="A108" s="607">
        <v>44762.000497685185</v>
      </c>
      <c r="B108" s="1124" t="s">
        <v>521</v>
      </c>
      <c r="C108" s="1124" t="s">
        <v>4021</v>
      </c>
      <c r="D108" s="608" t="s">
        <v>2495</v>
      </c>
      <c r="E108" s="609">
        <v>-80.64</v>
      </c>
      <c r="F108" s="649">
        <v>0</v>
      </c>
      <c r="G108" s="713">
        <v>-80.64</v>
      </c>
      <c r="H108" s="601"/>
      <c r="I108" s="757">
        <v>-80.64</v>
      </c>
      <c r="J108" s="2017">
        <v>44797</v>
      </c>
      <c r="K108" s="2225" t="s">
        <v>3119</v>
      </c>
      <c r="L108" s="480"/>
      <c r="M108" s="442"/>
    </row>
    <row r="109" spans="1:13" ht="15">
      <c r="A109" s="607">
        <v>44762.000497685185</v>
      </c>
      <c r="B109" s="1124" t="s">
        <v>521</v>
      </c>
      <c r="C109" s="1124" t="s">
        <v>4021</v>
      </c>
      <c r="D109" s="608" t="s">
        <v>2496</v>
      </c>
      <c r="E109" s="609">
        <v>-9</v>
      </c>
      <c r="F109" s="649">
        <v>0</v>
      </c>
      <c r="G109" s="713">
        <v>-9</v>
      </c>
      <c r="H109" s="601"/>
      <c r="I109" s="757">
        <v>-9</v>
      </c>
      <c r="J109" s="2018"/>
      <c r="K109" s="2335"/>
      <c r="L109" s="480"/>
      <c r="M109" s="442"/>
    </row>
    <row r="110" spans="1:13" ht="15">
      <c r="A110" s="607">
        <v>44762.000497685185</v>
      </c>
      <c r="B110" s="1124" t="s">
        <v>521</v>
      </c>
      <c r="C110" s="1124" t="s">
        <v>4021</v>
      </c>
      <c r="D110" s="608" t="s">
        <v>2497</v>
      </c>
      <c r="E110" s="609">
        <v>-457.66</v>
      </c>
      <c r="F110" s="649">
        <v>0</v>
      </c>
      <c r="G110" s="713">
        <v>-457.66</v>
      </c>
      <c r="H110" s="601"/>
      <c r="I110" s="757">
        <v>-457.66</v>
      </c>
      <c r="J110" s="2019"/>
      <c r="K110" s="2190"/>
      <c r="L110" s="480"/>
      <c r="M110" s="442"/>
    </row>
    <row r="111" spans="1:13" ht="15">
      <c r="A111" s="607">
        <v>44782.000497685185</v>
      </c>
      <c r="B111" s="1124" t="s">
        <v>521</v>
      </c>
      <c r="C111" s="1124" t="s">
        <v>4021</v>
      </c>
      <c r="D111" s="608" t="s">
        <v>2701</v>
      </c>
      <c r="E111" s="609">
        <v>-407.1</v>
      </c>
      <c r="F111" s="649">
        <v>0</v>
      </c>
      <c r="G111" s="713">
        <v>-407.1</v>
      </c>
      <c r="H111" s="601" t="s">
        <v>1529</v>
      </c>
      <c r="I111" s="757">
        <v>-407.1</v>
      </c>
      <c r="J111" s="2017">
        <v>44797</v>
      </c>
      <c r="K111" s="2225" t="s">
        <v>3119</v>
      </c>
      <c r="L111" s="504"/>
      <c r="M111" s="442"/>
    </row>
    <row r="112" spans="1:13" ht="15">
      <c r="A112" s="607">
        <v>44782.000497685185</v>
      </c>
      <c r="B112" s="1124" t="s">
        <v>521</v>
      </c>
      <c r="C112" s="1124" t="s">
        <v>4021</v>
      </c>
      <c r="D112" s="608" t="s">
        <v>2702</v>
      </c>
      <c r="E112" s="609">
        <v>-215.33</v>
      </c>
      <c r="F112" s="649">
        <v>0</v>
      </c>
      <c r="G112" s="713">
        <v>-215.33</v>
      </c>
      <c r="H112" s="601" t="s">
        <v>1529</v>
      </c>
      <c r="I112" s="757">
        <v>-215.33</v>
      </c>
      <c r="J112" s="2019"/>
      <c r="K112" s="2190"/>
      <c r="L112" s="504"/>
      <c r="M112" s="442"/>
    </row>
    <row r="113" spans="1:13" ht="15">
      <c r="A113" s="1120">
        <v>44778</v>
      </c>
      <c r="B113" s="1124" t="s">
        <v>521</v>
      </c>
      <c r="C113" s="1124" t="s">
        <v>4021</v>
      </c>
      <c r="D113" s="608" t="s">
        <v>2616</v>
      </c>
      <c r="E113" s="1119">
        <v>4751.58</v>
      </c>
      <c r="F113" s="649">
        <v>0</v>
      </c>
      <c r="G113" s="1121">
        <v>4751.58</v>
      </c>
      <c r="H113" s="1120">
        <v>44779</v>
      </c>
      <c r="I113" s="2081">
        <v>25628.939999999995</v>
      </c>
      <c r="J113" s="2193">
        <v>44880</v>
      </c>
      <c r="K113" s="2199" t="s">
        <v>4091</v>
      </c>
      <c r="L113" s="440"/>
      <c r="M113" s="442"/>
    </row>
    <row r="114" spans="1:13" ht="15">
      <c r="A114" s="1120">
        <v>44796</v>
      </c>
      <c r="B114" s="1124" t="s">
        <v>521</v>
      </c>
      <c r="C114" s="1124" t="s">
        <v>4021</v>
      </c>
      <c r="D114" s="608" t="s">
        <v>2868</v>
      </c>
      <c r="E114" s="1119">
        <v>2635.36</v>
      </c>
      <c r="F114" s="649">
        <v>0</v>
      </c>
      <c r="G114" s="1121">
        <v>2635.36</v>
      </c>
      <c r="H114" s="1120">
        <v>44797</v>
      </c>
      <c r="I114" s="2120"/>
      <c r="J114" s="2196"/>
      <c r="K114" s="2204"/>
      <c r="L114" s="504"/>
      <c r="M114" s="442"/>
    </row>
    <row r="115" spans="1:13" ht="15">
      <c r="A115" s="1120">
        <v>44797</v>
      </c>
      <c r="B115" s="1124" t="s">
        <v>521</v>
      </c>
      <c r="C115" s="1124" t="s">
        <v>4021</v>
      </c>
      <c r="D115" s="608" t="s">
        <v>2869</v>
      </c>
      <c r="E115" s="1119">
        <v>11797.49</v>
      </c>
      <c r="F115" s="649">
        <v>0</v>
      </c>
      <c r="G115" s="1121">
        <v>11797.49</v>
      </c>
      <c r="H115" s="1120">
        <v>44798</v>
      </c>
      <c r="I115" s="2120"/>
      <c r="J115" s="2196"/>
      <c r="K115" s="2204"/>
      <c r="L115" s="440"/>
      <c r="M115" s="442"/>
    </row>
    <row r="116" spans="1:13" ht="15">
      <c r="A116" s="1120">
        <v>44803</v>
      </c>
      <c r="B116" s="1124" t="s">
        <v>521</v>
      </c>
      <c r="C116" s="1124" t="s">
        <v>4021</v>
      </c>
      <c r="D116" s="608" t="s">
        <v>2935</v>
      </c>
      <c r="E116" s="1119">
        <v>1743.07</v>
      </c>
      <c r="F116" s="649">
        <v>0</v>
      </c>
      <c r="G116" s="1121">
        <v>1743.07</v>
      </c>
      <c r="H116" s="1120">
        <v>44804</v>
      </c>
      <c r="I116" s="2120"/>
      <c r="J116" s="2196"/>
      <c r="K116" s="2204"/>
      <c r="L116" s="916"/>
      <c r="M116" s="442"/>
    </row>
    <row r="117" spans="1:13" ht="15">
      <c r="A117" s="1120">
        <v>44817</v>
      </c>
      <c r="B117" s="1124" t="s">
        <v>521</v>
      </c>
      <c r="C117" s="1124" t="s">
        <v>4021</v>
      </c>
      <c r="D117" s="608" t="s">
        <v>3029</v>
      </c>
      <c r="E117" s="1119">
        <v>1832.32</v>
      </c>
      <c r="F117" s="649">
        <v>0</v>
      </c>
      <c r="G117" s="1121">
        <v>1832.32</v>
      </c>
      <c r="H117" s="1120">
        <v>44818</v>
      </c>
      <c r="I117" s="2120"/>
      <c r="J117" s="2196"/>
      <c r="K117" s="2204"/>
      <c r="L117" s="916"/>
      <c r="M117" s="442"/>
    </row>
    <row r="118" spans="1:13" ht="15">
      <c r="A118" s="1120">
        <v>44834</v>
      </c>
      <c r="B118" s="1124" t="s">
        <v>521</v>
      </c>
      <c r="C118" s="1124" t="s">
        <v>4021</v>
      </c>
      <c r="D118" s="608" t="s">
        <v>3196</v>
      </c>
      <c r="E118" s="1119">
        <v>-770</v>
      </c>
      <c r="F118" s="649">
        <v>0</v>
      </c>
      <c r="G118" s="1121">
        <v>-770</v>
      </c>
      <c r="H118" s="1120" t="s">
        <v>1529</v>
      </c>
      <c r="I118" s="2120"/>
      <c r="J118" s="2196"/>
      <c r="K118" s="2204"/>
      <c r="L118" s="918" t="s">
        <v>3197</v>
      </c>
      <c r="M118" s="442"/>
    </row>
    <row r="119" spans="1:13" ht="15">
      <c r="A119" s="1120">
        <v>44848</v>
      </c>
      <c r="B119" s="1124" t="s">
        <v>521</v>
      </c>
      <c r="C119" s="1124" t="s">
        <v>4021</v>
      </c>
      <c r="D119" s="608" t="s">
        <v>3264</v>
      </c>
      <c r="E119" s="1119">
        <v>-796.43</v>
      </c>
      <c r="F119" s="649">
        <v>0</v>
      </c>
      <c r="G119" s="1121">
        <v>-796.43</v>
      </c>
      <c r="H119" s="1120"/>
      <c r="I119" s="2120"/>
      <c r="J119" s="2196"/>
      <c r="K119" s="2204"/>
      <c r="L119" s="918"/>
      <c r="M119" s="442"/>
    </row>
    <row r="120" spans="1:13" ht="15">
      <c r="A120" s="1120">
        <v>44848</v>
      </c>
      <c r="B120" s="1124" t="s">
        <v>521</v>
      </c>
      <c r="C120" s="1124" t="s">
        <v>4021</v>
      </c>
      <c r="D120" s="608" t="s">
        <v>3265</v>
      </c>
      <c r="E120" s="1119">
        <v>-61.74</v>
      </c>
      <c r="F120" s="649">
        <v>0</v>
      </c>
      <c r="G120" s="1121">
        <v>-61.74</v>
      </c>
      <c r="H120" s="1120"/>
      <c r="I120" s="2120"/>
      <c r="J120" s="2196"/>
      <c r="K120" s="2204"/>
      <c r="L120" s="827"/>
      <c r="M120" s="442"/>
    </row>
    <row r="121" spans="1:13" ht="15">
      <c r="A121" s="1120">
        <v>44848</v>
      </c>
      <c r="B121" s="1124" t="s">
        <v>521</v>
      </c>
      <c r="C121" s="1124" t="s">
        <v>4021</v>
      </c>
      <c r="D121" s="608" t="s">
        <v>3266</v>
      </c>
      <c r="E121" s="1119">
        <v>-34.72</v>
      </c>
      <c r="F121" s="649">
        <v>0</v>
      </c>
      <c r="G121" s="1121">
        <v>-34.72</v>
      </c>
      <c r="H121" s="1120"/>
      <c r="I121" s="2120"/>
      <c r="J121" s="2196"/>
      <c r="K121" s="2204"/>
      <c r="L121" s="827"/>
      <c r="M121" s="442"/>
    </row>
    <row r="122" spans="1:13" ht="15">
      <c r="A122" s="1120">
        <v>44848</v>
      </c>
      <c r="B122" s="1124" t="s">
        <v>521</v>
      </c>
      <c r="C122" s="1124" t="s">
        <v>4021</v>
      </c>
      <c r="D122" s="608" t="s">
        <v>3267</v>
      </c>
      <c r="E122" s="1119">
        <v>-1064.24</v>
      </c>
      <c r="F122" s="649">
        <v>0</v>
      </c>
      <c r="G122" s="1121">
        <v>-1064.24</v>
      </c>
      <c r="H122" s="1120"/>
      <c r="I122" s="2120"/>
      <c r="J122" s="2196"/>
      <c r="K122" s="2204"/>
      <c r="L122" s="827"/>
      <c r="M122" s="442"/>
    </row>
    <row r="123" spans="1:13" ht="15">
      <c r="A123" s="2193">
        <v>44819</v>
      </c>
      <c r="B123" s="1918" t="s">
        <v>521</v>
      </c>
      <c r="C123" s="1918" t="s">
        <v>4021</v>
      </c>
      <c r="D123" s="2199" t="s">
        <v>3030</v>
      </c>
      <c r="E123" s="1923">
        <v>7250.23</v>
      </c>
      <c r="F123" s="1927">
        <v>0</v>
      </c>
      <c r="G123" s="1121">
        <v>5596.25</v>
      </c>
      <c r="H123" s="1120">
        <v>44820</v>
      </c>
      <c r="I123" s="2082"/>
      <c r="J123" s="2194"/>
      <c r="K123" s="2200"/>
      <c r="L123" s="578"/>
      <c r="M123" s="442"/>
    </row>
    <row r="124" spans="1:13" ht="15">
      <c r="A124" s="2194"/>
      <c r="B124" s="1920"/>
      <c r="C124" s="1920"/>
      <c r="D124" s="2200"/>
      <c r="E124" s="1924"/>
      <c r="F124" s="1928"/>
      <c r="G124" s="1121">
        <f>7250.23-G123</f>
        <v>1653.9799999999996</v>
      </c>
      <c r="H124" s="1120">
        <v>44820</v>
      </c>
      <c r="I124" s="2081">
        <v>20073.189999999999</v>
      </c>
      <c r="J124" s="2193">
        <v>44935</v>
      </c>
      <c r="K124" s="1988" t="s">
        <v>4092</v>
      </c>
      <c r="L124" s="912"/>
      <c r="M124" s="442"/>
    </row>
    <row r="125" spans="1:13" ht="15">
      <c r="A125" s="1120">
        <v>44834</v>
      </c>
      <c r="B125" s="1124" t="s">
        <v>521</v>
      </c>
      <c r="C125" s="1124" t="s">
        <v>4021</v>
      </c>
      <c r="D125" s="608" t="s">
        <v>3192</v>
      </c>
      <c r="E125" s="1119">
        <v>1559.5</v>
      </c>
      <c r="F125" s="649">
        <v>0</v>
      </c>
      <c r="G125" s="1121">
        <v>1559.5</v>
      </c>
      <c r="H125" s="1120">
        <v>44835.000497685185</v>
      </c>
      <c r="I125" s="2120"/>
      <c r="J125" s="2196"/>
      <c r="K125" s="2204"/>
      <c r="L125" s="578"/>
      <c r="M125" s="442"/>
    </row>
    <row r="126" spans="1:13" ht="15">
      <c r="A126" s="1120">
        <v>44834</v>
      </c>
      <c r="B126" s="1124" t="s">
        <v>521</v>
      </c>
      <c r="C126" s="1124" t="s">
        <v>4021</v>
      </c>
      <c r="D126" s="608" t="s">
        <v>3193</v>
      </c>
      <c r="E126" s="1119">
        <v>5915.56</v>
      </c>
      <c r="F126" s="649">
        <v>0</v>
      </c>
      <c r="G126" s="1121">
        <v>5915.56</v>
      </c>
      <c r="H126" s="1120">
        <v>44835.000497685185</v>
      </c>
      <c r="I126" s="2120"/>
      <c r="J126" s="2196"/>
      <c r="K126" s="2204"/>
      <c r="L126" s="820"/>
      <c r="M126" s="442"/>
    </row>
    <row r="127" spans="1:13" ht="15">
      <c r="A127" s="1120">
        <v>44834</v>
      </c>
      <c r="B127" s="1124" t="s">
        <v>521</v>
      </c>
      <c r="C127" s="1124" t="s">
        <v>4021</v>
      </c>
      <c r="D127" s="608" t="s">
        <v>3194</v>
      </c>
      <c r="E127" s="1119">
        <v>1670.9</v>
      </c>
      <c r="F127" s="649">
        <v>0</v>
      </c>
      <c r="G127" s="1121">
        <v>1670.9</v>
      </c>
      <c r="H127" s="1120">
        <v>44835.000497685185</v>
      </c>
      <c r="I127" s="2120"/>
      <c r="J127" s="2196"/>
      <c r="K127" s="2204"/>
      <c r="L127" s="820"/>
      <c r="M127" s="442"/>
    </row>
    <row r="128" spans="1:13" ht="15">
      <c r="A128" s="1120">
        <v>44834</v>
      </c>
      <c r="B128" s="1124" t="s">
        <v>521</v>
      </c>
      <c r="C128" s="1124" t="s">
        <v>4021</v>
      </c>
      <c r="D128" s="608" t="s">
        <v>3195</v>
      </c>
      <c r="E128" s="1119">
        <v>1816.5</v>
      </c>
      <c r="F128" s="649">
        <v>0</v>
      </c>
      <c r="G128" s="1121">
        <v>1816.5</v>
      </c>
      <c r="H128" s="1120">
        <v>44835.000497685185</v>
      </c>
      <c r="I128" s="2120"/>
      <c r="J128" s="2196"/>
      <c r="K128" s="2204"/>
      <c r="L128" s="820"/>
      <c r="M128" s="442"/>
    </row>
    <row r="129" spans="1:13" ht="15">
      <c r="A129" s="1120">
        <v>44860</v>
      </c>
      <c r="B129" s="1124" t="s">
        <v>521</v>
      </c>
      <c r="C129" s="1124" t="s">
        <v>4021</v>
      </c>
      <c r="D129" s="608" t="s">
        <v>3377</v>
      </c>
      <c r="E129" s="1119">
        <v>7456.75</v>
      </c>
      <c r="F129" s="649">
        <v>0</v>
      </c>
      <c r="G129" s="1121">
        <v>7456.75</v>
      </c>
      <c r="H129" s="1120">
        <v>44861</v>
      </c>
      <c r="I129" s="2082"/>
      <c r="J129" s="2194"/>
      <c r="K129" s="2200"/>
      <c r="L129" s="827"/>
      <c r="M129" s="442"/>
    </row>
    <row r="130" spans="1:13" ht="15">
      <c r="A130" s="1240">
        <v>44860</v>
      </c>
      <c r="B130" s="1235" t="s">
        <v>521</v>
      </c>
      <c r="C130" s="1235" t="s">
        <v>4021</v>
      </c>
      <c r="D130" s="608" t="s">
        <v>3378</v>
      </c>
      <c r="E130" s="1239">
        <v>823.2</v>
      </c>
      <c r="F130" s="649">
        <v>0</v>
      </c>
      <c r="G130" s="1241">
        <v>823.2</v>
      </c>
      <c r="H130" s="1120">
        <v>44861</v>
      </c>
      <c r="I130" s="2081">
        <v>13223.98</v>
      </c>
      <c r="J130" s="2193">
        <v>44964</v>
      </c>
      <c r="K130" s="1988" t="s">
        <v>4093</v>
      </c>
      <c r="L130" s="827"/>
      <c r="M130" s="442"/>
    </row>
    <row r="131" spans="1:13" ht="15">
      <c r="A131" s="1240">
        <v>44881</v>
      </c>
      <c r="B131" s="1235" t="s">
        <v>521</v>
      </c>
      <c r="C131" s="1235" t="s">
        <v>4021</v>
      </c>
      <c r="D131" s="608" t="s">
        <v>3500</v>
      </c>
      <c r="E131" s="1239">
        <v>12400.78</v>
      </c>
      <c r="F131" s="649">
        <v>0</v>
      </c>
      <c r="G131" s="1241">
        <v>12400.78</v>
      </c>
      <c r="H131" s="1120">
        <v>44882</v>
      </c>
      <c r="I131" s="2082"/>
      <c r="J131" s="2194"/>
      <c r="K131" s="2200"/>
      <c r="L131" s="827"/>
      <c r="M131" s="442"/>
    </row>
    <row r="132" spans="1:13" ht="15">
      <c r="A132" s="1574">
        <v>44881</v>
      </c>
      <c r="B132" s="1566" t="s">
        <v>521</v>
      </c>
      <c r="C132" s="1566" t="s">
        <v>4021</v>
      </c>
      <c r="D132" s="608" t="s">
        <v>3501</v>
      </c>
      <c r="E132" s="1572">
        <v>152.43</v>
      </c>
      <c r="F132" s="649">
        <v>0</v>
      </c>
      <c r="G132" s="1575">
        <v>152.43</v>
      </c>
      <c r="H132" s="1574">
        <v>44882</v>
      </c>
      <c r="I132" s="2081">
        <v>12000</v>
      </c>
      <c r="J132" s="2193">
        <v>44999</v>
      </c>
      <c r="K132" s="2285" t="s">
        <v>4523</v>
      </c>
      <c r="L132" s="827"/>
      <c r="M132" s="442"/>
    </row>
    <row r="133" spans="1:13" ht="28.5">
      <c r="A133" s="1574">
        <v>44894</v>
      </c>
      <c r="B133" s="1566" t="s">
        <v>521</v>
      </c>
      <c r="C133" s="1566" t="s">
        <v>4021</v>
      </c>
      <c r="D133" s="608" t="s">
        <v>3630</v>
      </c>
      <c r="E133" s="1572">
        <v>-81.41</v>
      </c>
      <c r="F133" s="649">
        <v>0</v>
      </c>
      <c r="G133" s="1575">
        <v>-81.41</v>
      </c>
      <c r="H133" s="1574">
        <v>44895</v>
      </c>
      <c r="I133" s="2120"/>
      <c r="J133" s="2196"/>
      <c r="K133" s="2204"/>
      <c r="L133" s="958" t="s">
        <v>3631</v>
      </c>
      <c r="M133" s="442"/>
    </row>
    <row r="134" spans="1:13" ht="15">
      <c r="A134" s="1574">
        <v>44909</v>
      </c>
      <c r="B134" s="1566" t="s">
        <v>521</v>
      </c>
      <c r="C134" s="1566" t="s">
        <v>4021</v>
      </c>
      <c r="D134" s="608" t="s">
        <v>3716</v>
      </c>
      <c r="E134" s="1572">
        <v>6016.36</v>
      </c>
      <c r="F134" s="649">
        <v>0</v>
      </c>
      <c r="G134" s="1575">
        <v>6016.36</v>
      </c>
      <c r="H134" s="1574">
        <v>44910</v>
      </c>
      <c r="I134" s="2120"/>
      <c r="J134" s="2196"/>
      <c r="K134" s="2204"/>
      <c r="L134" s="827"/>
      <c r="M134" s="442"/>
    </row>
    <row r="135" spans="1:13" ht="15">
      <c r="A135" s="1574">
        <v>44914</v>
      </c>
      <c r="B135" s="1566" t="s">
        <v>521</v>
      </c>
      <c r="C135" s="1566" t="s">
        <v>4021</v>
      </c>
      <c r="D135" s="608" t="s">
        <v>3801</v>
      </c>
      <c r="E135" s="1572">
        <v>2859.5</v>
      </c>
      <c r="F135" s="649">
        <v>0</v>
      </c>
      <c r="G135" s="1575">
        <v>2859.5</v>
      </c>
      <c r="H135" s="1574">
        <v>44915</v>
      </c>
      <c r="I135" s="2120"/>
      <c r="J135" s="2196"/>
      <c r="K135" s="2204"/>
      <c r="L135" s="827"/>
      <c r="M135" s="442"/>
    </row>
    <row r="136" spans="1:13" ht="15">
      <c r="A136" s="1574">
        <v>44914</v>
      </c>
      <c r="B136" s="1566" t="s">
        <v>521</v>
      </c>
      <c r="C136" s="1566" t="s">
        <v>4021</v>
      </c>
      <c r="D136" s="608" t="s">
        <v>3802</v>
      </c>
      <c r="E136" s="1572">
        <v>5198.62</v>
      </c>
      <c r="F136" s="649">
        <v>0</v>
      </c>
      <c r="G136" s="1575">
        <v>5198.62</v>
      </c>
      <c r="H136" s="1574">
        <v>44915</v>
      </c>
      <c r="I136" s="2120"/>
      <c r="J136" s="2196"/>
      <c r="K136" s="2204"/>
      <c r="L136" s="827"/>
      <c r="M136" s="442"/>
    </row>
    <row r="137" spans="1:13" ht="15">
      <c r="A137" s="1574">
        <v>44923</v>
      </c>
      <c r="B137" s="1566" t="s">
        <v>521</v>
      </c>
      <c r="C137" s="1566" t="s">
        <v>4021</v>
      </c>
      <c r="D137" s="608" t="s">
        <v>3828</v>
      </c>
      <c r="E137" s="1572">
        <v>1206.0999999999999</v>
      </c>
      <c r="F137" s="649">
        <v>0</v>
      </c>
      <c r="G137" s="1575">
        <v>1206.0999999999999</v>
      </c>
      <c r="H137" s="1574">
        <v>44924</v>
      </c>
      <c r="I137" s="2120"/>
      <c r="J137" s="2196"/>
      <c r="K137" s="2204"/>
      <c r="L137" s="827"/>
      <c r="M137" s="442"/>
    </row>
    <row r="138" spans="1:13" ht="15">
      <c r="A138" s="1574">
        <v>44965</v>
      </c>
      <c r="B138" s="1566" t="s">
        <v>2518</v>
      </c>
      <c r="C138" s="1566" t="s">
        <v>4021</v>
      </c>
      <c r="D138" s="608" t="s">
        <v>4069</v>
      </c>
      <c r="E138" s="1572">
        <v>-992.88</v>
      </c>
      <c r="F138" s="649">
        <v>0</v>
      </c>
      <c r="G138" s="1575">
        <v>-992.88</v>
      </c>
      <c r="H138" s="1574">
        <v>44966</v>
      </c>
      <c r="I138" s="2120"/>
      <c r="J138" s="2196"/>
      <c r="K138" s="2204"/>
      <c r="L138" s="827" t="s">
        <v>4079</v>
      </c>
      <c r="M138" s="442"/>
    </row>
    <row r="139" spans="1:13" ht="15">
      <c r="A139" s="1574">
        <v>44972</v>
      </c>
      <c r="B139" s="1566" t="s">
        <v>2518</v>
      </c>
      <c r="C139" s="1566" t="s">
        <v>4021</v>
      </c>
      <c r="D139" s="608" t="s">
        <v>4191</v>
      </c>
      <c r="E139" s="1572">
        <v>-373.52</v>
      </c>
      <c r="F139" s="649">
        <v>0</v>
      </c>
      <c r="G139" s="1575">
        <v>-373.52</v>
      </c>
      <c r="H139" s="1574"/>
      <c r="I139" s="2120"/>
      <c r="J139" s="2196"/>
      <c r="K139" s="2204"/>
      <c r="L139" s="827"/>
      <c r="M139" s="442"/>
    </row>
    <row r="140" spans="1:13" ht="15">
      <c r="A140" s="1574">
        <v>44980</v>
      </c>
      <c r="B140" s="1566" t="s">
        <v>2518</v>
      </c>
      <c r="C140" s="1566" t="s">
        <v>4021</v>
      </c>
      <c r="D140" s="608" t="s">
        <v>4236</v>
      </c>
      <c r="E140" s="1572">
        <v>-562.86</v>
      </c>
      <c r="F140" s="649">
        <v>0</v>
      </c>
      <c r="G140" s="1575">
        <v>-562.86</v>
      </c>
      <c r="H140" s="1574"/>
      <c r="I140" s="2120"/>
      <c r="J140" s="2196"/>
      <c r="K140" s="2204"/>
      <c r="L140" s="827"/>
      <c r="M140" s="442"/>
    </row>
    <row r="141" spans="1:13" ht="15">
      <c r="A141" s="1574">
        <v>44980</v>
      </c>
      <c r="B141" s="1566" t="s">
        <v>2518</v>
      </c>
      <c r="C141" s="1566" t="s">
        <v>4021</v>
      </c>
      <c r="D141" s="608" t="s">
        <v>4237</v>
      </c>
      <c r="E141" s="1572">
        <v>-4.7</v>
      </c>
      <c r="F141" s="649">
        <v>0</v>
      </c>
      <c r="G141" s="1575">
        <v>-4.7</v>
      </c>
      <c r="H141" s="1574"/>
      <c r="I141" s="2120"/>
      <c r="J141" s="2196"/>
      <c r="K141" s="2204"/>
      <c r="L141" s="827"/>
      <c r="M141" s="442"/>
    </row>
    <row r="142" spans="1:13" ht="15">
      <c r="A142" s="1574">
        <v>44980</v>
      </c>
      <c r="B142" s="1566" t="s">
        <v>2518</v>
      </c>
      <c r="C142" s="1566" t="s">
        <v>4021</v>
      </c>
      <c r="D142" s="608" t="s">
        <v>4238</v>
      </c>
      <c r="E142" s="1572">
        <v>-329.54</v>
      </c>
      <c r="F142" s="649">
        <v>0</v>
      </c>
      <c r="G142" s="1575">
        <v>-329.54</v>
      </c>
      <c r="H142" s="1574"/>
      <c r="I142" s="2120"/>
      <c r="J142" s="2196"/>
      <c r="K142" s="2204"/>
      <c r="L142" s="827"/>
      <c r="M142" s="442"/>
    </row>
    <row r="143" spans="1:13" ht="15">
      <c r="A143" s="1574">
        <v>44980</v>
      </c>
      <c r="B143" s="1566" t="s">
        <v>2518</v>
      </c>
      <c r="C143" s="1566" t="s">
        <v>4021</v>
      </c>
      <c r="D143" s="608" t="s">
        <v>4239</v>
      </c>
      <c r="E143" s="1572">
        <v>-7362.8</v>
      </c>
      <c r="F143" s="649">
        <v>0</v>
      </c>
      <c r="G143" s="1575">
        <v>-7362.8</v>
      </c>
      <c r="H143" s="1574"/>
      <c r="I143" s="2120"/>
      <c r="J143" s="2196"/>
      <c r="K143" s="2204"/>
      <c r="L143" s="827"/>
      <c r="M143" s="442"/>
    </row>
    <row r="144" spans="1:13" ht="15">
      <c r="A144" s="1574">
        <v>44980</v>
      </c>
      <c r="B144" s="1566" t="s">
        <v>2518</v>
      </c>
      <c r="C144" s="1566" t="s">
        <v>4021</v>
      </c>
      <c r="D144" s="608" t="s">
        <v>4240</v>
      </c>
      <c r="E144" s="1572">
        <v>-4012.44</v>
      </c>
      <c r="F144" s="649">
        <v>0</v>
      </c>
      <c r="G144" s="1575">
        <v>-4012.44</v>
      </c>
      <c r="H144" s="1574"/>
      <c r="I144" s="2120"/>
      <c r="J144" s="2196"/>
      <c r="K144" s="2204"/>
      <c r="L144" s="827"/>
      <c r="M144" s="442"/>
    </row>
    <row r="145" spans="1:13" ht="15">
      <c r="A145" s="2193">
        <v>44936</v>
      </c>
      <c r="B145" s="1903" t="s">
        <v>2518</v>
      </c>
      <c r="C145" s="1903" t="s">
        <v>4021</v>
      </c>
      <c r="D145" s="2199" t="s">
        <v>3922</v>
      </c>
      <c r="E145" s="1923">
        <v>10415.48</v>
      </c>
      <c r="F145" s="1927">
        <v>0</v>
      </c>
      <c r="G145" s="1575">
        <v>10287.14</v>
      </c>
      <c r="H145" s="1574">
        <v>45026</v>
      </c>
      <c r="I145" s="2082"/>
      <c r="J145" s="2194"/>
      <c r="K145" s="2200"/>
      <c r="L145" s="827"/>
      <c r="M145" s="442"/>
    </row>
    <row r="146" spans="1:13" ht="15">
      <c r="A146" s="2194"/>
      <c r="B146" s="1905"/>
      <c r="C146" s="1905"/>
      <c r="D146" s="2200"/>
      <c r="E146" s="1924"/>
      <c r="F146" s="1928"/>
      <c r="G146" s="1575">
        <f>10415.48-10287.14</f>
        <v>128.34000000000015</v>
      </c>
      <c r="H146" s="1574">
        <v>45026</v>
      </c>
      <c r="I146" s="2081">
        <v>10000</v>
      </c>
      <c r="J146" s="2193">
        <v>45027</v>
      </c>
      <c r="K146" s="2292" t="s">
        <v>5242</v>
      </c>
      <c r="L146" s="827"/>
      <c r="M146" s="442"/>
    </row>
    <row r="147" spans="1:13" ht="15">
      <c r="A147" s="1574">
        <v>44946</v>
      </c>
      <c r="B147" s="1566" t="s">
        <v>2518</v>
      </c>
      <c r="C147" s="1566" t="s">
        <v>4021</v>
      </c>
      <c r="D147" s="608" t="s">
        <v>3993</v>
      </c>
      <c r="E147" s="1572">
        <v>894.6</v>
      </c>
      <c r="F147" s="649">
        <v>0</v>
      </c>
      <c r="G147" s="1575">
        <v>894.6</v>
      </c>
      <c r="H147" s="1574">
        <v>45036</v>
      </c>
      <c r="I147" s="2120"/>
      <c r="J147" s="2196"/>
      <c r="K147" s="2204"/>
      <c r="L147" s="827"/>
      <c r="M147" s="442"/>
    </row>
    <row r="148" spans="1:13" ht="15">
      <c r="A148" s="1574">
        <v>44964</v>
      </c>
      <c r="B148" s="1566" t="s">
        <v>2518</v>
      </c>
      <c r="C148" s="1566" t="s">
        <v>4021</v>
      </c>
      <c r="D148" s="608" t="s">
        <v>4068</v>
      </c>
      <c r="E148" s="1572">
        <v>5305.51</v>
      </c>
      <c r="F148" s="649">
        <v>0</v>
      </c>
      <c r="G148" s="1575">
        <v>5305.51</v>
      </c>
      <c r="H148" s="1574">
        <v>45054</v>
      </c>
      <c r="I148" s="2120"/>
      <c r="J148" s="2196"/>
      <c r="K148" s="2204"/>
      <c r="L148" s="827"/>
      <c r="M148" s="442"/>
    </row>
    <row r="149" spans="1:13" ht="15">
      <c r="A149" s="2193">
        <v>44999</v>
      </c>
      <c r="B149" s="1903" t="s">
        <v>2518</v>
      </c>
      <c r="C149" s="1903" t="s">
        <v>4021</v>
      </c>
      <c r="D149" s="2199" t="s">
        <v>4517</v>
      </c>
      <c r="E149" s="1923">
        <v>12558.88</v>
      </c>
      <c r="F149" s="1927">
        <v>0</v>
      </c>
      <c r="G149" s="1575">
        <v>3671.55</v>
      </c>
      <c r="H149" s="1574">
        <v>45089</v>
      </c>
      <c r="I149" s="2082"/>
      <c r="J149" s="2194"/>
      <c r="K149" s="2200"/>
      <c r="L149" s="827"/>
      <c r="M149" s="442"/>
    </row>
    <row r="150" spans="1:13" ht="15">
      <c r="A150" s="2194"/>
      <c r="B150" s="1905"/>
      <c r="C150" s="1905"/>
      <c r="D150" s="2200"/>
      <c r="E150" s="1924"/>
      <c r="F150" s="1928"/>
      <c r="G150" s="1575">
        <f>12558.88-3671.55</f>
        <v>8887.3299999999981</v>
      </c>
      <c r="H150" s="1574">
        <v>45089</v>
      </c>
      <c r="I150" s="2081">
        <v>10000</v>
      </c>
      <c r="J150" s="2193">
        <v>45068</v>
      </c>
      <c r="K150" s="2292" t="s">
        <v>5236</v>
      </c>
      <c r="L150" s="827"/>
      <c r="M150" s="442"/>
    </row>
    <row r="151" spans="1:13" ht="15">
      <c r="A151" s="1574">
        <v>45014</v>
      </c>
      <c r="B151" s="1566" t="s">
        <v>2518</v>
      </c>
      <c r="C151" s="1566" t="s">
        <v>4021</v>
      </c>
      <c r="D151" s="608" t="s">
        <v>4653</v>
      </c>
      <c r="E151" s="1572">
        <v>525.41999999999996</v>
      </c>
      <c r="F151" s="649">
        <v>0</v>
      </c>
      <c r="G151" s="1575">
        <v>525.41999999999996</v>
      </c>
      <c r="H151" s="1574">
        <v>45074</v>
      </c>
      <c r="I151" s="2120"/>
      <c r="J151" s="2196"/>
      <c r="K151" s="2204"/>
      <c r="L151" s="827"/>
      <c r="M151" s="442"/>
    </row>
    <row r="152" spans="1:13" ht="15">
      <c r="A152" s="2193">
        <v>45027.000497685185</v>
      </c>
      <c r="B152" s="1903" t="s">
        <v>2518</v>
      </c>
      <c r="C152" s="1903" t="s">
        <v>4021</v>
      </c>
      <c r="D152" s="2199" t="s">
        <v>4745</v>
      </c>
      <c r="E152" s="1923">
        <v>1800</v>
      </c>
      <c r="F152" s="1927">
        <v>0</v>
      </c>
      <c r="G152" s="1575">
        <v>587.25</v>
      </c>
      <c r="H152" s="1574">
        <v>45117</v>
      </c>
      <c r="I152" s="2082"/>
      <c r="J152" s="2194"/>
      <c r="K152" s="2200"/>
      <c r="L152" s="827"/>
      <c r="M152" s="442"/>
    </row>
    <row r="153" spans="1:13" ht="15">
      <c r="A153" s="2194"/>
      <c r="B153" s="1905"/>
      <c r="C153" s="1905"/>
      <c r="D153" s="2200"/>
      <c r="E153" s="1924"/>
      <c r="F153" s="1928"/>
      <c r="G153" s="1575">
        <f>1800-587.25</f>
        <v>1212.75</v>
      </c>
      <c r="H153" s="1574">
        <v>45117</v>
      </c>
      <c r="I153" s="2081">
        <v>2815.68</v>
      </c>
      <c r="J153" s="2193">
        <v>45132</v>
      </c>
      <c r="K153" s="2285" t="s">
        <v>5708</v>
      </c>
      <c r="L153" s="827"/>
      <c r="M153" s="442"/>
    </row>
    <row r="154" spans="1:13" ht="15">
      <c r="A154" s="1574">
        <v>45027.000497685185</v>
      </c>
      <c r="B154" s="1566" t="s">
        <v>2518</v>
      </c>
      <c r="C154" s="1566" t="s">
        <v>4021</v>
      </c>
      <c r="D154" s="608" t="s">
        <v>4747</v>
      </c>
      <c r="E154" s="1572">
        <v>-6.23</v>
      </c>
      <c r="F154" s="649">
        <v>0</v>
      </c>
      <c r="G154" s="1575">
        <v>-6.23</v>
      </c>
      <c r="H154" s="1574"/>
      <c r="I154" s="2120"/>
      <c r="J154" s="2196"/>
      <c r="K154" s="2204"/>
      <c r="L154" s="827"/>
      <c r="M154" s="442"/>
    </row>
    <row r="155" spans="1:13" ht="15">
      <c r="A155" s="2193">
        <v>45027.000497685185</v>
      </c>
      <c r="B155" s="1903" t="s">
        <v>2518</v>
      </c>
      <c r="C155" s="1903" t="s">
        <v>4021</v>
      </c>
      <c r="D155" s="2199" t="s">
        <v>4746</v>
      </c>
      <c r="E155" s="1923">
        <v>6065.01</v>
      </c>
      <c r="F155" s="1927">
        <v>0</v>
      </c>
      <c r="G155" s="1575">
        <v>1609.16</v>
      </c>
      <c r="H155" s="1574">
        <v>45117</v>
      </c>
      <c r="I155" s="2082"/>
      <c r="J155" s="2194"/>
      <c r="K155" s="2200"/>
      <c r="L155" s="827"/>
      <c r="M155" s="442"/>
    </row>
    <row r="156" spans="1:13" ht="15">
      <c r="A156" s="2196"/>
      <c r="B156" s="1904"/>
      <c r="C156" s="1904"/>
      <c r="D156" s="2204"/>
      <c r="E156" s="1961"/>
      <c r="F156" s="1960"/>
      <c r="G156" s="1575">
        <v>2595.96</v>
      </c>
      <c r="H156" s="1574">
        <v>45117</v>
      </c>
      <c r="I156" s="1567">
        <v>2595.96</v>
      </c>
      <c r="J156" s="1570">
        <v>45132</v>
      </c>
      <c r="K156" s="1573" t="s">
        <v>5709</v>
      </c>
      <c r="L156" s="827"/>
      <c r="M156" s="442"/>
    </row>
    <row r="157" spans="1:13" ht="15">
      <c r="A157" s="2194"/>
      <c r="B157" s="1905"/>
      <c r="C157" s="1905"/>
      <c r="D157" s="2200"/>
      <c r="E157" s="1924"/>
      <c r="F157" s="1928"/>
      <c r="G157" s="1575">
        <f>6065.01-1609.16-2595.96</f>
        <v>1859.8900000000003</v>
      </c>
      <c r="H157" s="1574">
        <v>45117</v>
      </c>
      <c r="I157" s="1567">
        <v>1859.8900000000003</v>
      </c>
      <c r="J157" s="1570">
        <v>45132</v>
      </c>
      <c r="K157" s="1573" t="s">
        <v>5709</v>
      </c>
      <c r="L157" s="827"/>
      <c r="M157" s="442"/>
    </row>
    <row r="158" spans="1:13" ht="15">
      <c r="A158" s="1574">
        <v>45035</v>
      </c>
      <c r="B158" s="1566" t="s">
        <v>2518</v>
      </c>
      <c r="C158" s="1566" t="s">
        <v>4021</v>
      </c>
      <c r="D158" s="608" t="s">
        <v>4836</v>
      </c>
      <c r="E158" s="1572">
        <v>1103.5999999999999</v>
      </c>
      <c r="F158" s="649">
        <v>0</v>
      </c>
      <c r="G158" s="1575">
        <v>1103.5999999999999</v>
      </c>
      <c r="H158" s="1574">
        <v>45125</v>
      </c>
      <c r="I158" s="1567">
        <v>1103.5999999999999</v>
      </c>
      <c r="J158" s="1570">
        <v>45132</v>
      </c>
      <c r="K158" s="1573" t="s">
        <v>5709</v>
      </c>
      <c r="L158" s="827"/>
      <c r="M158" s="442"/>
    </row>
    <row r="159" spans="1:13" ht="15">
      <c r="A159" s="2193">
        <v>45035</v>
      </c>
      <c r="B159" s="1903" t="s">
        <v>2518</v>
      </c>
      <c r="C159" s="1903" t="s">
        <v>4021</v>
      </c>
      <c r="D159" s="2199" t="s">
        <v>4837</v>
      </c>
      <c r="E159" s="1923">
        <v>2781.8</v>
      </c>
      <c r="F159" s="1927">
        <v>0</v>
      </c>
      <c r="G159" s="1575">
        <v>1907.77</v>
      </c>
      <c r="H159" s="1574">
        <v>45125</v>
      </c>
      <c r="I159" s="1296">
        <v>1907.77</v>
      </c>
      <c r="J159" s="1570">
        <v>45132</v>
      </c>
      <c r="K159" s="1573" t="s">
        <v>5709</v>
      </c>
      <c r="L159" s="827"/>
      <c r="M159" s="442"/>
    </row>
    <row r="160" spans="1:13" ht="15">
      <c r="A160" s="2194"/>
      <c r="B160" s="1905"/>
      <c r="C160" s="1905"/>
      <c r="D160" s="2200"/>
      <c r="E160" s="1924"/>
      <c r="F160" s="1928"/>
      <c r="G160" s="1575">
        <f>2781.8-1907.77</f>
        <v>874.0300000000002</v>
      </c>
      <c r="H160" s="1574">
        <v>45125</v>
      </c>
      <c r="I160" s="2081">
        <v>10000</v>
      </c>
      <c r="J160" s="2193">
        <v>45133</v>
      </c>
      <c r="K160" s="2292" t="s">
        <v>5705</v>
      </c>
      <c r="L160" s="827"/>
      <c r="M160" s="442"/>
    </row>
    <row r="161" spans="1:13" ht="15">
      <c r="A161" s="1574">
        <v>45041</v>
      </c>
      <c r="B161" s="1566" t="s">
        <v>2518</v>
      </c>
      <c r="C161" s="1566" t="s">
        <v>4021</v>
      </c>
      <c r="D161" s="608" t="s">
        <v>4891</v>
      </c>
      <c r="E161" s="1572">
        <v>-30.35</v>
      </c>
      <c r="F161" s="649">
        <v>0</v>
      </c>
      <c r="G161" s="1575">
        <v>-30.35</v>
      </c>
      <c r="H161" s="1574"/>
      <c r="I161" s="2120"/>
      <c r="J161" s="2196"/>
      <c r="K161" s="2286"/>
      <c r="L161" s="827"/>
      <c r="M161" s="442"/>
    </row>
    <row r="162" spans="1:13" ht="15">
      <c r="A162" s="1574">
        <v>45041</v>
      </c>
      <c r="B162" s="1574" t="s">
        <v>2518</v>
      </c>
      <c r="C162" s="1574" t="s">
        <v>4021</v>
      </c>
      <c r="D162" s="608" t="s">
        <v>4892</v>
      </c>
      <c r="E162" s="1572">
        <v>-505.46</v>
      </c>
      <c r="F162" s="649">
        <v>0</v>
      </c>
      <c r="G162" s="1575">
        <v>-505.46</v>
      </c>
      <c r="H162" s="1574"/>
      <c r="I162" s="2120"/>
      <c r="J162" s="2196"/>
      <c r="K162" s="2286"/>
      <c r="L162" s="827"/>
      <c r="M162" s="442"/>
    </row>
    <row r="163" spans="1:13" ht="15">
      <c r="A163" s="1746">
        <v>45061</v>
      </c>
      <c r="B163" s="1746" t="s">
        <v>2518</v>
      </c>
      <c r="C163" s="1746" t="s">
        <v>4021</v>
      </c>
      <c r="D163" s="608" t="s">
        <v>5122</v>
      </c>
      <c r="E163" s="1752">
        <v>1061.76</v>
      </c>
      <c r="F163" s="649">
        <v>0</v>
      </c>
      <c r="G163" s="1575">
        <v>1061.76</v>
      </c>
      <c r="H163" s="1574">
        <v>45151</v>
      </c>
      <c r="I163" s="2120"/>
      <c r="J163" s="2196"/>
      <c r="K163" s="2286"/>
      <c r="L163" s="827"/>
      <c r="M163" s="442"/>
    </row>
    <row r="164" spans="1:13" ht="15">
      <c r="A164" s="2193">
        <v>45068</v>
      </c>
      <c r="B164" s="2193" t="s">
        <v>2518</v>
      </c>
      <c r="C164" s="2193" t="s">
        <v>4021</v>
      </c>
      <c r="D164" s="2199" t="s">
        <v>5226</v>
      </c>
      <c r="E164" s="1923">
        <v>11611.13</v>
      </c>
      <c r="F164" s="1927">
        <v>0</v>
      </c>
      <c r="G164" s="1575">
        <v>8600.02</v>
      </c>
      <c r="H164" s="1574">
        <v>45158</v>
      </c>
      <c r="I164" s="2082"/>
      <c r="J164" s="2194"/>
      <c r="K164" s="2287"/>
      <c r="L164" s="827"/>
      <c r="M164" s="442"/>
    </row>
    <row r="165" spans="1:13" ht="15">
      <c r="A165" s="2194"/>
      <c r="B165" s="2194"/>
      <c r="C165" s="2194"/>
      <c r="D165" s="2200"/>
      <c r="E165" s="1924"/>
      <c r="F165" s="1928"/>
      <c r="G165" s="1747">
        <f>11611.13-8600.02</f>
        <v>3011.1099999999988</v>
      </c>
      <c r="H165" s="1746">
        <v>45158</v>
      </c>
      <c r="I165" s="2081">
        <v>20000</v>
      </c>
      <c r="J165" s="2193">
        <v>45201</v>
      </c>
      <c r="K165" s="2285" t="s">
        <v>6270</v>
      </c>
      <c r="L165" s="827"/>
      <c r="M165" s="442"/>
    </row>
    <row r="166" spans="1:13" ht="15">
      <c r="A166" s="1746">
        <v>45103</v>
      </c>
      <c r="B166" s="1746" t="s">
        <v>2518</v>
      </c>
      <c r="C166" s="1746" t="s">
        <v>4021</v>
      </c>
      <c r="D166" s="608" t="s">
        <v>5515</v>
      </c>
      <c r="E166" s="1752">
        <v>13063.61</v>
      </c>
      <c r="F166" s="649">
        <v>0</v>
      </c>
      <c r="G166" s="1747">
        <v>13063.61</v>
      </c>
      <c r="H166" s="1746">
        <v>45193</v>
      </c>
      <c r="I166" s="2120"/>
      <c r="J166" s="2196"/>
      <c r="K166" s="2204"/>
      <c r="L166" s="827"/>
      <c r="M166" s="442"/>
    </row>
    <row r="167" spans="1:13" ht="15">
      <c r="A167" s="2256">
        <v>45134</v>
      </c>
      <c r="B167" s="2256" t="s">
        <v>5522</v>
      </c>
      <c r="C167" s="2256" t="s">
        <v>4021</v>
      </c>
      <c r="D167" s="2260" t="s">
        <v>5697</v>
      </c>
      <c r="E167" s="1945">
        <v>18497.939999999999</v>
      </c>
      <c r="F167" s="1969">
        <v>0</v>
      </c>
      <c r="G167" s="1747">
        <v>3925.28</v>
      </c>
      <c r="H167" s="1746">
        <v>45194</v>
      </c>
      <c r="I167" s="2082"/>
      <c r="J167" s="2194"/>
      <c r="K167" s="2200"/>
      <c r="L167" s="827"/>
      <c r="M167" s="442"/>
    </row>
    <row r="168" spans="1:13" ht="15">
      <c r="A168" s="2257"/>
      <c r="B168" s="2257"/>
      <c r="C168" s="2257"/>
      <c r="D168" s="2261"/>
      <c r="E168" s="1946"/>
      <c r="F168" s="1971"/>
      <c r="G168" s="699">
        <f>18497.94-3925.28</f>
        <v>14572.659999999998</v>
      </c>
      <c r="H168" s="601">
        <v>45194</v>
      </c>
      <c r="I168" s="1740"/>
      <c r="J168" s="1734"/>
      <c r="K168" s="1750"/>
      <c r="L168" s="827"/>
      <c r="M168" s="442"/>
    </row>
    <row r="169" spans="1:13" ht="15">
      <c r="A169" s="601">
        <v>45145</v>
      </c>
      <c r="B169" s="601" t="s">
        <v>5522</v>
      </c>
      <c r="C169" s="601" t="s">
        <v>4021</v>
      </c>
      <c r="D169" s="602" t="s">
        <v>5871</v>
      </c>
      <c r="E169" s="603">
        <v>-64.400000000000006</v>
      </c>
      <c r="F169" s="644">
        <v>0</v>
      </c>
      <c r="G169" s="699">
        <v>-64.400000000000006</v>
      </c>
      <c r="H169" s="601">
        <v>45146</v>
      </c>
      <c r="I169" s="1404"/>
      <c r="J169" s="1400"/>
      <c r="K169" s="1412"/>
      <c r="L169" s="827" t="s">
        <v>5872</v>
      </c>
      <c r="M169" s="442"/>
    </row>
    <row r="170" spans="1:13" ht="15">
      <c r="A170" s="601">
        <v>45160</v>
      </c>
      <c r="B170" s="601" t="s">
        <v>2644</v>
      </c>
      <c r="C170" s="601" t="s">
        <v>4021</v>
      </c>
      <c r="D170" s="602" t="s">
        <v>5927</v>
      </c>
      <c r="E170" s="603">
        <v>7274.26</v>
      </c>
      <c r="F170" s="644">
        <v>0</v>
      </c>
      <c r="G170" s="699">
        <v>7274.26</v>
      </c>
      <c r="H170" s="601">
        <v>45249</v>
      </c>
      <c r="I170" s="1404"/>
      <c r="J170" s="1400"/>
      <c r="K170" s="1412"/>
      <c r="L170" s="827"/>
      <c r="M170" s="442"/>
    </row>
    <row r="171" spans="1:13" ht="15">
      <c r="A171" s="601">
        <v>45202</v>
      </c>
      <c r="B171" s="601" t="s">
        <v>2644</v>
      </c>
      <c r="C171" s="601" t="s">
        <v>4021</v>
      </c>
      <c r="D171" s="602" t="s">
        <v>6268</v>
      </c>
      <c r="E171" s="603">
        <v>13412.77</v>
      </c>
      <c r="F171" s="644">
        <v>0</v>
      </c>
      <c r="G171" s="699">
        <v>13412.77</v>
      </c>
      <c r="H171" s="601">
        <v>45291</v>
      </c>
      <c r="I171" s="1647"/>
      <c r="J171" s="1643"/>
      <c r="K171" s="1652"/>
      <c r="L171" s="827"/>
      <c r="M171" s="442"/>
    </row>
    <row r="172" spans="1:13" ht="15">
      <c r="A172" s="601">
        <v>45210</v>
      </c>
      <c r="B172" s="601" t="s">
        <v>2644</v>
      </c>
      <c r="C172" s="601" t="s">
        <v>4021</v>
      </c>
      <c r="D172" s="602" t="s">
        <v>6336</v>
      </c>
      <c r="E172" s="603">
        <v>3463.25</v>
      </c>
      <c r="F172" s="644">
        <v>0</v>
      </c>
      <c r="G172" s="699">
        <v>3463.25</v>
      </c>
      <c r="H172" s="601">
        <v>45299</v>
      </c>
      <c r="I172" s="1647"/>
      <c r="J172" s="1643"/>
      <c r="K172" s="1652"/>
      <c r="L172" s="827"/>
      <c r="M172" s="442"/>
    </row>
    <row r="173" spans="1:13" ht="15">
      <c r="A173" s="601">
        <v>45217.333831018521</v>
      </c>
      <c r="B173" s="601" t="s">
        <v>2644</v>
      </c>
      <c r="C173" s="601" t="s">
        <v>4021</v>
      </c>
      <c r="D173" s="602" t="s">
        <v>6386</v>
      </c>
      <c r="E173" s="603">
        <v>5459.58</v>
      </c>
      <c r="F173" s="644">
        <v>0</v>
      </c>
      <c r="G173" s="699">
        <v>5459.58</v>
      </c>
      <c r="H173" s="601">
        <v>45276.333831018521</v>
      </c>
      <c r="I173" s="1787"/>
      <c r="J173" s="1781"/>
      <c r="K173" s="1791"/>
      <c r="L173" s="827"/>
      <c r="M173" s="442"/>
    </row>
    <row r="174" spans="1:13" ht="15">
      <c r="A174" s="601"/>
      <c r="B174" s="601"/>
      <c r="C174" s="601"/>
      <c r="D174" s="602"/>
      <c r="E174" s="603"/>
      <c r="F174" s="644"/>
      <c r="G174" s="699"/>
      <c r="H174" s="601"/>
      <c r="I174" s="1787"/>
      <c r="J174" s="1781"/>
      <c r="K174" s="1791"/>
      <c r="L174" s="827"/>
      <c r="M174" s="442"/>
    </row>
    <row r="175" spans="1:13" ht="15">
      <c r="A175" s="601"/>
      <c r="B175" s="601"/>
      <c r="C175" s="601"/>
      <c r="D175" s="602"/>
      <c r="E175" s="603"/>
      <c r="F175" s="644"/>
      <c r="G175" s="699"/>
      <c r="H175" s="601"/>
      <c r="I175" s="1787"/>
      <c r="J175" s="1781"/>
      <c r="K175" s="1791"/>
      <c r="L175" s="827"/>
      <c r="M175" s="442"/>
    </row>
    <row r="176" spans="1:13" ht="15">
      <c r="A176" s="601"/>
      <c r="B176" s="601"/>
      <c r="C176" s="601"/>
      <c r="D176" s="602"/>
      <c r="E176" s="603"/>
      <c r="F176" s="644"/>
      <c r="G176" s="699"/>
      <c r="H176" s="601"/>
      <c r="I176" s="1787"/>
      <c r="J176" s="1781"/>
      <c r="K176" s="1791"/>
      <c r="L176" s="827"/>
      <c r="M176" s="442"/>
    </row>
    <row r="177" spans="1:13" ht="15">
      <c r="A177" s="601"/>
      <c r="B177" s="601"/>
      <c r="C177" s="601"/>
      <c r="D177" s="602"/>
      <c r="E177" s="603"/>
      <c r="F177" s="644"/>
      <c r="G177" s="699"/>
      <c r="H177" s="601"/>
      <c r="I177" s="1787"/>
      <c r="J177" s="1781"/>
      <c r="K177" s="1791"/>
      <c r="L177" s="827"/>
      <c r="M177" s="442"/>
    </row>
    <row r="178" spans="1:13" ht="15">
      <c r="A178" s="601"/>
      <c r="B178" s="601"/>
      <c r="C178" s="601"/>
      <c r="D178" s="602"/>
      <c r="E178" s="603"/>
      <c r="F178" s="644"/>
      <c r="G178" s="699"/>
      <c r="H178" s="601"/>
      <c r="I178" s="1787"/>
      <c r="J178" s="1781"/>
      <c r="K178" s="1791"/>
      <c r="L178" s="827"/>
      <c r="M178" s="442"/>
    </row>
    <row r="179" spans="1:13" ht="15">
      <c r="A179" s="601"/>
      <c r="B179" s="601"/>
      <c r="C179" s="601"/>
      <c r="D179" s="602"/>
      <c r="E179" s="603"/>
      <c r="F179" s="644"/>
      <c r="G179" s="699"/>
      <c r="H179" s="601"/>
      <c r="I179" s="1787"/>
      <c r="J179" s="1781"/>
      <c r="K179" s="1791"/>
      <c r="L179" s="827"/>
      <c r="M179" s="442"/>
    </row>
    <row r="180" spans="1:13" ht="15">
      <c r="A180" s="601"/>
      <c r="B180" s="601"/>
      <c r="C180" s="601"/>
      <c r="D180" s="602"/>
      <c r="E180" s="603"/>
      <c r="F180" s="644"/>
      <c r="G180" s="699"/>
      <c r="H180" s="601"/>
      <c r="I180" s="1787"/>
      <c r="J180" s="1781"/>
      <c r="K180" s="1791"/>
      <c r="L180" s="827"/>
      <c r="M180" s="442"/>
    </row>
    <row r="181" spans="1:13" ht="15">
      <c r="A181" s="601"/>
      <c r="B181" s="601"/>
      <c r="C181" s="601"/>
      <c r="D181" s="602"/>
      <c r="E181" s="603"/>
      <c r="F181" s="644"/>
      <c r="G181" s="699"/>
      <c r="H181" s="601"/>
      <c r="I181" s="1787"/>
      <c r="J181" s="1781"/>
      <c r="K181" s="1791"/>
      <c r="L181" s="827"/>
      <c r="M181" s="442"/>
    </row>
    <row r="182" spans="1:13" ht="15">
      <c r="A182" s="601"/>
      <c r="B182" s="601"/>
      <c r="C182" s="601"/>
      <c r="D182" s="602"/>
      <c r="E182" s="603"/>
      <c r="F182" s="644"/>
      <c r="G182" s="699"/>
      <c r="H182" s="601"/>
      <c r="I182" s="1787"/>
      <c r="J182" s="1781"/>
      <c r="K182" s="1791"/>
      <c r="L182" s="827"/>
      <c r="M182" s="442"/>
    </row>
    <row r="183" spans="1:13" ht="15">
      <c r="A183" s="601"/>
      <c r="B183" s="601"/>
      <c r="C183" s="601"/>
      <c r="D183" s="602"/>
      <c r="E183" s="603"/>
      <c r="F183" s="644"/>
      <c r="G183" s="699"/>
      <c r="H183" s="601"/>
      <c r="I183" s="1647"/>
      <c r="J183" s="1643"/>
      <c r="K183" s="1652"/>
      <c r="L183" s="827"/>
      <c r="M183" s="442"/>
    </row>
    <row r="184" spans="1:13" ht="15">
      <c r="A184" s="601"/>
      <c r="B184" s="601"/>
      <c r="C184" s="601"/>
      <c r="D184" s="602"/>
      <c r="E184" s="603"/>
      <c r="F184" s="644"/>
      <c r="G184" s="699"/>
      <c r="H184" s="601"/>
      <c r="I184" s="1404"/>
      <c r="J184" s="1400"/>
      <c r="K184" s="1412"/>
      <c r="L184" s="827"/>
      <c r="M184" s="442"/>
    </row>
    <row r="185" spans="1:13" ht="15">
      <c r="A185" s="601"/>
      <c r="B185" s="601"/>
      <c r="C185" s="601"/>
      <c r="D185" s="602"/>
      <c r="E185" s="603"/>
      <c r="F185" s="644"/>
      <c r="G185" s="699"/>
      <c r="H185" s="601"/>
      <c r="I185" s="1404"/>
      <c r="J185" s="1400"/>
      <c r="K185" s="1412"/>
      <c r="L185" s="827"/>
      <c r="M185" s="442"/>
    </row>
    <row r="186" spans="1:13" ht="15">
      <c r="A186" s="601"/>
      <c r="B186" s="601"/>
      <c r="C186" s="601"/>
      <c r="D186" s="602"/>
      <c r="E186" s="603"/>
      <c r="F186" s="644"/>
      <c r="G186" s="699"/>
      <c r="H186" s="601"/>
      <c r="I186" s="757"/>
      <c r="J186" s="736"/>
      <c r="K186" s="701"/>
      <c r="L186" s="578"/>
      <c r="M186" s="442"/>
    </row>
    <row r="187" spans="1:13" ht="15">
      <c r="A187" s="601"/>
      <c r="B187" s="601"/>
      <c r="C187" s="601"/>
      <c r="D187" s="602"/>
      <c r="E187" s="603"/>
      <c r="F187" s="644"/>
      <c r="G187" s="699"/>
      <c r="H187" s="601"/>
      <c r="I187" s="757"/>
      <c r="J187" s="736"/>
      <c r="K187" s="701"/>
      <c r="L187" s="578"/>
      <c r="M187" s="442"/>
    </row>
    <row r="188" spans="1:13" ht="15">
      <c r="A188" s="779"/>
      <c r="B188" s="601"/>
      <c r="C188" s="601"/>
      <c r="D188" s="701"/>
      <c r="E188" s="780"/>
      <c r="F188" s="1144" t="s">
        <v>545</v>
      </c>
      <c r="G188" s="781">
        <f>SUM(G66:G187)-SUM(I66:I187)</f>
        <v>44118.120000000024</v>
      </c>
      <c r="H188" s="782"/>
      <c r="I188" s="783"/>
      <c r="J188" s="784"/>
      <c r="K188" s="783"/>
      <c r="L188" s="23"/>
      <c r="M188" s="281"/>
    </row>
    <row r="189" spans="1:13">
      <c r="A189" s="441"/>
      <c r="B189" s="441"/>
      <c r="C189" s="441"/>
      <c r="D189" s="246"/>
      <c r="E189" s="547"/>
      <c r="F189" s="546"/>
      <c r="G189" s="442"/>
      <c r="H189" s="442"/>
      <c r="I189" s="281"/>
      <c r="J189" s="281"/>
      <c r="K189" s="281"/>
      <c r="L189" s="281"/>
      <c r="M189" s="281"/>
    </row>
  </sheetData>
  <mergeCells count="151">
    <mergeCell ref="A167:A168"/>
    <mergeCell ref="B167:B168"/>
    <mergeCell ref="C167:C168"/>
    <mergeCell ref="D167:D168"/>
    <mergeCell ref="E167:E168"/>
    <mergeCell ref="F167:F168"/>
    <mergeCell ref="K165:K167"/>
    <mergeCell ref="J165:J167"/>
    <mergeCell ref="I165:I167"/>
    <mergeCell ref="K160:K164"/>
    <mergeCell ref="J160:J164"/>
    <mergeCell ref="I160:I164"/>
    <mergeCell ref="F159:F160"/>
    <mergeCell ref="E159:E160"/>
    <mergeCell ref="D159:D160"/>
    <mergeCell ref="C159:C160"/>
    <mergeCell ref="B159:B160"/>
    <mergeCell ref="A159:A160"/>
    <mergeCell ref="F164:F165"/>
    <mergeCell ref="E164:E165"/>
    <mergeCell ref="D164:D165"/>
    <mergeCell ref="C164:C165"/>
    <mergeCell ref="B164:B165"/>
    <mergeCell ref="A164:A165"/>
    <mergeCell ref="F155:F157"/>
    <mergeCell ref="E155:E157"/>
    <mergeCell ref="D155:D157"/>
    <mergeCell ref="C155:C157"/>
    <mergeCell ref="B155:B157"/>
    <mergeCell ref="A155:A157"/>
    <mergeCell ref="K153:K155"/>
    <mergeCell ref="J153:J155"/>
    <mergeCell ref="I153:I155"/>
    <mergeCell ref="F152:F153"/>
    <mergeCell ref="E152:E153"/>
    <mergeCell ref="D152:D153"/>
    <mergeCell ref="C152:C153"/>
    <mergeCell ref="B152:B153"/>
    <mergeCell ref="A152:A153"/>
    <mergeCell ref="K150:K152"/>
    <mergeCell ref="J150:J152"/>
    <mergeCell ref="I150:I152"/>
    <mergeCell ref="A149:A150"/>
    <mergeCell ref="K146:K149"/>
    <mergeCell ref="J146:J149"/>
    <mergeCell ref="I146:I149"/>
    <mergeCell ref="F149:F150"/>
    <mergeCell ref="E149:E150"/>
    <mergeCell ref="D149:D150"/>
    <mergeCell ref="C149:C150"/>
    <mergeCell ref="B149:B150"/>
    <mergeCell ref="A145:A146"/>
    <mergeCell ref="K132:K145"/>
    <mergeCell ref="J132:J145"/>
    <mergeCell ref="I132:I145"/>
    <mergeCell ref="F145:F146"/>
    <mergeCell ref="E145:E146"/>
    <mergeCell ref="D145:D146"/>
    <mergeCell ref="C145:C146"/>
    <mergeCell ref="B145:B146"/>
    <mergeCell ref="K111:K112"/>
    <mergeCell ref="K108:K110"/>
    <mergeCell ref="K91:K102"/>
    <mergeCell ref="F102:F103"/>
    <mergeCell ref="E102:E103"/>
    <mergeCell ref="K103:K106"/>
    <mergeCell ref="C81:C82"/>
    <mergeCell ref="B81:B82"/>
    <mergeCell ref="B102:B103"/>
    <mergeCell ref="C102:C103"/>
    <mergeCell ref="B106:B107"/>
    <mergeCell ref="C106:C107"/>
    <mergeCell ref="D102:D103"/>
    <mergeCell ref="D87:D89"/>
    <mergeCell ref="A102:A103"/>
    <mergeCell ref="J111:J112"/>
    <mergeCell ref="J108:J110"/>
    <mergeCell ref="J91:J102"/>
    <mergeCell ref="F106:F107"/>
    <mergeCell ref="E106:E107"/>
    <mergeCell ref="D106:D107"/>
    <mergeCell ref="A106:A107"/>
    <mergeCell ref="I103:I106"/>
    <mergeCell ref="J103:J106"/>
    <mergeCell ref="A87:A89"/>
    <mergeCell ref="I82:I87"/>
    <mergeCell ref="K82:K87"/>
    <mergeCell ref="J82:J87"/>
    <mergeCell ref="A81:A82"/>
    <mergeCell ref="D81:D82"/>
    <mergeCell ref="E81:E82"/>
    <mergeCell ref="E87:E89"/>
    <mergeCell ref="K89:K90"/>
    <mergeCell ref="J89:J90"/>
    <mergeCell ref="I89:I90"/>
    <mergeCell ref="F87:F89"/>
    <mergeCell ref="F81:F82"/>
    <mergeCell ref="C87:C89"/>
    <mergeCell ref="B87:B89"/>
    <mergeCell ref="J3:J4"/>
    <mergeCell ref="J5:J11"/>
    <mergeCell ref="J12:J16"/>
    <mergeCell ref="J17:J24"/>
    <mergeCell ref="J25:J30"/>
    <mergeCell ref="K3:K4"/>
    <mergeCell ref="I66:I81"/>
    <mergeCell ref="K66:K81"/>
    <mergeCell ref="J66:J81"/>
    <mergeCell ref="K62:K64"/>
    <mergeCell ref="J39:J42"/>
    <mergeCell ref="J44:J47"/>
    <mergeCell ref="J48:J53"/>
    <mergeCell ref="J54:J61"/>
    <mergeCell ref="J62:J64"/>
    <mergeCell ref="K39:K42"/>
    <mergeCell ref="K44:K47"/>
    <mergeCell ref="K48:K53"/>
    <mergeCell ref="K54:K61"/>
    <mergeCell ref="I3:I4"/>
    <mergeCell ref="I5:I11"/>
    <mergeCell ref="I62:I64"/>
    <mergeCell ref="J31:J38"/>
    <mergeCell ref="I43:K43"/>
    <mergeCell ref="I31:I38"/>
    <mergeCell ref="I39:I42"/>
    <mergeCell ref="I54:I61"/>
    <mergeCell ref="I44:I47"/>
    <mergeCell ref="I48:I53"/>
    <mergeCell ref="K5:K11"/>
    <mergeCell ref="K12:K16"/>
    <mergeCell ref="K17:K24"/>
    <mergeCell ref="K25:K30"/>
    <mergeCell ref="K31:K38"/>
    <mergeCell ref="I12:I16"/>
    <mergeCell ref="I17:I24"/>
    <mergeCell ref="I25:I30"/>
    <mergeCell ref="K130:K131"/>
    <mergeCell ref="J130:J131"/>
    <mergeCell ref="I130:I131"/>
    <mergeCell ref="E123:E124"/>
    <mergeCell ref="D123:D124"/>
    <mergeCell ref="A123:A124"/>
    <mergeCell ref="F123:F124"/>
    <mergeCell ref="K113:K123"/>
    <mergeCell ref="J113:J123"/>
    <mergeCell ref="I113:I123"/>
    <mergeCell ref="K124:K129"/>
    <mergeCell ref="J124:J129"/>
    <mergeCell ref="I124:I129"/>
    <mergeCell ref="B123:B124"/>
    <mergeCell ref="C123:C124"/>
  </mergeCells>
  <phoneticPr fontId="15" type="noConversion"/>
  <hyperlinks>
    <hyperlink ref="F188" location="汇总!A1" display="剩余欠款"/>
  </hyperlinks>
  <pageMargins left="0.75" right="0.75" top="1" bottom="1" header="0.5" footer="0.5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L44"/>
  <sheetViews>
    <sheetView zoomScaleSheetLayoutView="100" workbookViewId="0">
      <pane ySplit="1" topLeftCell="A17" activePane="bottomLeft" state="frozen"/>
      <selection activeCell="C33" sqref="C33"/>
      <selection pane="bottomLeft" activeCell="F44" sqref="F44"/>
    </sheetView>
  </sheetViews>
  <sheetFormatPr defaultRowHeight="14.25"/>
  <cols>
    <col min="1" max="1" width="13.25" style="191" bestFit="1" customWidth="1"/>
    <col min="2" max="2" width="8.875" style="191" bestFit="1" customWidth="1"/>
    <col min="3" max="3" width="22.375" style="191" bestFit="1" customWidth="1"/>
    <col min="4" max="4" width="15" style="191" bestFit="1" customWidth="1"/>
    <col min="5" max="5" width="15" style="191" customWidth="1"/>
    <col min="6" max="6" width="15" style="548" customWidth="1"/>
    <col min="7" max="7" width="12" style="191" bestFit="1" customWidth="1"/>
    <col min="8" max="8" width="16.75" style="191" bestFit="1" customWidth="1"/>
    <col min="9" max="10" width="17.625" style="307" customWidth="1"/>
    <col min="11" max="11" width="13.875" style="307" bestFit="1" customWidth="1"/>
    <col min="12" max="12" width="30.5" style="191" bestFit="1" customWidth="1"/>
    <col min="13" max="13" width="51" style="191" customWidth="1"/>
    <col min="14" max="16384" width="9" style="191"/>
  </cols>
  <sheetData>
    <row r="1" spans="1:12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7" t="s">
        <v>542</v>
      </c>
    </row>
    <row r="2" spans="1:12" ht="15">
      <c r="A2" s="621" t="s">
        <v>311</v>
      </c>
      <c r="B2" s="1124"/>
      <c r="C2" s="1254" t="s">
        <v>4614</v>
      </c>
      <c r="D2" s="621" t="s">
        <v>460</v>
      </c>
      <c r="E2" s="730"/>
      <c r="F2" s="633"/>
      <c r="G2" s="613">
        <v>5483.85</v>
      </c>
      <c r="H2" s="673">
        <v>43644</v>
      </c>
      <c r="I2" s="738">
        <v>5000</v>
      </c>
      <c r="J2" s="621" t="s">
        <v>231</v>
      </c>
      <c r="K2" s="308" t="s">
        <v>458</v>
      </c>
      <c r="L2" s="332" t="s">
        <v>1756</v>
      </c>
    </row>
    <row r="3" spans="1:12" ht="15">
      <c r="A3" s="707"/>
      <c r="B3" s="1124"/>
      <c r="C3" s="1124"/>
      <c r="D3" s="707"/>
      <c r="E3" s="730"/>
      <c r="F3" s="633" t="s">
        <v>3093</v>
      </c>
      <c r="G3" s="613">
        <f>SUM(G2)-I2</f>
        <v>483.85000000000036</v>
      </c>
      <c r="H3" s="673"/>
      <c r="I3" s="2341">
        <v>2000</v>
      </c>
      <c r="J3" s="1949" t="s">
        <v>1907</v>
      </c>
      <c r="K3" s="2208" t="s">
        <v>1908</v>
      </c>
      <c r="L3" s="332"/>
    </row>
    <row r="4" spans="1:12" ht="15">
      <c r="A4" s="621" t="s">
        <v>225</v>
      </c>
      <c r="B4" s="1124"/>
      <c r="C4" s="1254" t="s">
        <v>4614</v>
      </c>
      <c r="D4" s="621" t="s">
        <v>462</v>
      </c>
      <c r="E4" s="730"/>
      <c r="F4" s="633"/>
      <c r="G4" s="613">
        <v>10026.530000000001</v>
      </c>
      <c r="H4" s="673"/>
      <c r="I4" s="2341"/>
      <c r="J4" s="1949"/>
      <c r="K4" s="2208"/>
      <c r="L4" s="332" t="s">
        <v>1757</v>
      </c>
    </row>
    <row r="5" spans="1:12" ht="15">
      <c r="A5" s="707"/>
      <c r="B5" s="1124"/>
      <c r="C5" s="1124"/>
      <c r="D5" s="707"/>
      <c r="E5" s="730"/>
      <c r="F5" s="633" t="s">
        <v>3093</v>
      </c>
      <c r="G5" s="613">
        <v>8510.3799999999992</v>
      </c>
      <c r="H5" s="673"/>
      <c r="I5" s="738">
        <v>2000</v>
      </c>
      <c r="J5" s="621" t="s">
        <v>970</v>
      </c>
      <c r="K5" s="249" t="s">
        <v>969</v>
      </c>
      <c r="L5" s="332"/>
    </row>
    <row r="6" spans="1:12" ht="15">
      <c r="A6" s="707"/>
      <c r="B6" s="1124"/>
      <c r="C6" s="1124"/>
      <c r="D6" s="707"/>
      <c r="E6" s="730"/>
      <c r="F6" s="633" t="s">
        <v>3093</v>
      </c>
      <c r="G6" s="613">
        <f>SUM(G5-I5)</f>
        <v>6510.3799999999992</v>
      </c>
      <c r="H6" s="673"/>
      <c r="I6" s="738">
        <v>1935.75</v>
      </c>
      <c r="J6" s="621" t="s">
        <v>971</v>
      </c>
      <c r="K6" s="249" t="s">
        <v>969</v>
      </c>
      <c r="L6" s="332"/>
    </row>
    <row r="7" spans="1:12" ht="15">
      <c r="A7" s="707"/>
      <c r="B7" s="1124"/>
      <c r="C7" s="1124"/>
      <c r="D7" s="707"/>
      <c r="E7" s="730"/>
      <c r="F7" s="633" t="s">
        <v>3093</v>
      </c>
      <c r="G7" s="613">
        <f>SUM(G6:G6)-I6</f>
        <v>4574.6299999999992</v>
      </c>
      <c r="H7" s="673"/>
      <c r="I7" s="738">
        <v>4139.1099999999997</v>
      </c>
      <c r="J7" s="621" t="s">
        <v>972</v>
      </c>
      <c r="K7" s="249" t="s">
        <v>1872</v>
      </c>
      <c r="L7" s="332"/>
    </row>
    <row r="8" spans="1:12" ht="15">
      <c r="A8" s="707"/>
      <c r="B8" s="1124"/>
      <c r="C8" s="1124"/>
      <c r="D8" s="707"/>
      <c r="E8" s="730"/>
      <c r="F8" s="633" t="s">
        <v>3093</v>
      </c>
      <c r="G8" s="613">
        <f>G7-I7</f>
        <v>435.51999999999953</v>
      </c>
      <c r="H8" s="673"/>
      <c r="I8" s="2341">
        <v>2000</v>
      </c>
      <c r="J8" s="1949" t="s">
        <v>973</v>
      </c>
      <c r="K8" s="2208" t="s">
        <v>974</v>
      </c>
      <c r="L8" s="332"/>
    </row>
    <row r="9" spans="1:12" ht="15">
      <c r="A9" s="785" t="s">
        <v>332</v>
      </c>
      <c r="B9" s="1124"/>
      <c r="C9" s="1254" t="s">
        <v>4614</v>
      </c>
      <c r="D9" s="707" t="s">
        <v>464</v>
      </c>
      <c r="E9" s="730"/>
      <c r="F9" s="633"/>
      <c r="G9" s="744">
        <v>4110.5</v>
      </c>
      <c r="H9" s="673">
        <v>43739</v>
      </c>
      <c r="I9" s="2341"/>
      <c r="J9" s="1949"/>
      <c r="K9" s="2208"/>
      <c r="L9" s="332" t="s">
        <v>1758</v>
      </c>
    </row>
    <row r="10" spans="1:12" ht="15">
      <c r="A10" s="707"/>
      <c r="B10" s="1124"/>
      <c r="C10" s="1124"/>
      <c r="D10" s="707"/>
      <c r="E10" s="730"/>
      <c r="F10" s="633" t="s">
        <v>3093</v>
      </c>
      <c r="G10" s="744">
        <f>G9+G8-I8</f>
        <v>2546.0199999999995</v>
      </c>
      <c r="H10" s="673"/>
      <c r="I10" s="786">
        <v>2000</v>
      </c>
      <c r="J10" s="701" t="s">
        <v>975</v>
      </c>
      <c r="K10" s="242" t="s">
        <v>550</v>
      </c>
      <c r="L10" s="332"/>
    </row>
    <row r="11" spans="1:12" ht="15">
      <c r="A11" s="707"/>
      <c r="B11" s="1124"/>
      <c r="C11" s="1124"/>
      <c r="D11" s="707"/>
      <c r="E11" s="730"/>
      <c r="F11" s="633" t="s">
        <v>3093</v>
      </c>
      <c r="G11" s="744">
        <f>G10-I10</f>
        <v>546.01999999999953</v>
      </c>
      <c r="H11" s="673"/>
      <c r="I11" s="2342">
        <v>2000</v>
      </c>
      <c r="J11" s="2274" t="s">
        <v>976</v>
      </c>
      <c r="K11" s="2270" t="s">
        <v>550</v>
      </c>
      <c r="L11" s="332"/>
    </row>
    <row r="12" spans="1:12" ht="15.75">
      <c r="A12" s="785" t="s">
        <v>150</v>
      </c>
      <c r="B12" s="1124"/>
      <c r="C12" s="1254" t="s">
        <v>4614</v>
      </c>
      <c r="D12" s="707" t="s">
        <v>468</v>
      </c>
      <c r="E12" s="730"/>
      <c r="F12" s="633"/>
      <c r="G12" s="744">
        <v>960</v>
      </c>
      <c r="H12" s="673">
        <v>44152</v>
      </c>
      <c r="I12" s="2342"/>
      <c r="J12" s="2274"/>
      <c r="K12" s="2270"/>
      <c r="L12" s="329" t="s">
        <v>469</v>
      </c>
    </row>
    <row r="13" spans="1:12" ht="15.75">
      <c r="A13" s="785" t="s">
        <v>150</v>
      </c>
      <c r="B13" s="1124"/>
      <c r="C13" s="1254" t="s">
        <v>4614</v>
      </c>
      <c r="D13" s="707" t="s">
        <v>470</v>
      </c>
      <c r="E13" s="730"/>
      <c r="F13" s="633"/>
      <c r="G13" s="744">
        <v>825.48</v>
      </c>
      <c r="H13" s="673">
        <v>44182</v>
      </c>
      <c r="I13" s="2342"/>
      <c r="J13" s="2274"/>
      <c r="K13" s="2270"/>
      <c r="L13" s="329" t="s">
        <v>469</v>
      </c>
    </row>
    <row r="14" spans="1:12" ht="15.75">
      <c r="A14" s="707"/>
      <c r="B14" s="1124"/>
      <c r="C14" s="1124"/>
      <c r="D14" s="707"/>
      <c r="E14" s="730"/>
      <c r="F14" s="633" t="s">
        <v>3093</v>
      </c>
      <c r="G14" s="744">
        <f>G11+G12+G13-I11</f>
        <v>331.49999999999955</v>
      </c>
      <c r="H14" s="673"/>
      <c r="I14" s="2333">
        <v>2000</v>
      </c>
      <c r="J14" s="2274" t="s">
        <v>795</v>
      </c>
      <c r="K14" s="2270" t="s">
        <v>550</v>
      </c>
      <c r="L14" s="329"/>
    </row>
    <row r="15" spans="1:12" ht="15.75">
      <c r="A15" s="673">
        <v>44029</v>
      </c>
      <c r="B15" s="1124" t="s">
        <v>522</v>
      </c>
      <c r="C15" s="1124" t="s">
        <v>4614</v>
      </c>
      <c r="D15" s="707" t="s">
        <v>977</v>
      </c>
      <c r="E15" s="613">
        <v>4320.8100000000004</v>
      </c>
      <c r="F15" s="633">
        <v>0</v>
      </c>
      <c r="G15" s="744">
        <v>4320.8</v>
      </c>
      <c r="H15" s="673">
        <v>44059</v>
      </c>
      <c r="I15" s="2333"/>
      <c r="J15" s="2274"/>
      <c r="K15" s="2270"/>
      <c r="L15" s="329" t="s">
        <v>978</v>
      </c>
    </row>
    <row r="16" spans="1:12" ht="15.75">
      <c r="A16" s="673">
        <v>44271</v>
      </c>
      <c r="B16" s="1124" t="s">
        <v>522</v>
      </c>
      <c r="C16" s="1124" t="s">
        <v>4614</v>
      </c>
      <c r="D16" s="707" t="s">
        <v>979</v>
      </c>
      <c r="E16" s="613">
        <v>1389.92</v>
      </c>
      <c r="F16" s="633">
        <v>0</v>
      </c>
      <c r="G16" s="744">
        <v>1389.92</v>
      </c>
      <c r="H16" s="673">
        <v>44302</v>
      </c>
      <c r="I16" s="2333"/>
      <c r="J16" s="2274"/>
      <c r="K16" s="2270"/>
      <c r="L16" s="329" t="s">
        <v>980</v>
      </c>
    </row>
    <row r="17" spans="1:12" ht="15.75">
      <c r="A17" s="673">
        <v>44322</v>
      </c>
      <c r="B17" s="1124" t="s">
        <v>522</v>
      </c>
      <c r="C17" s="1124" t="s">
        <v>4614</v>
      </c>
      <c r="D17" s="707" t="s">
        <v>981</v>
      </c>
      <c r="E17" s="613">
        <v>4653.01</v>
      </c>
      <c r="F17" s="633">
        <v>0</v>
      </c>
      <c r="G17" s="744">
        <v>4653.01</v>
      </c>
      <c r="H17" s="673">
        <v>44323</v>
      </c>
      <c r="I17" s="2333"/>
      <c r="J17" s="2274"/>
      <c r="K17" s="2270"/>
      <c r="L17" s="329"/>
    </row>
    <row r="18" spans="1:12" ht="15.75">
      <c r="A18" s="673">
        <v>44342</v>
      </c>
      <c r="B18" s="1124" t="s">
        <v>522</v>
      </c>
      <c r="C18" s="1124" t="s">
        <v>4614</v>
      </c>
      <c r="D18" s="707" t="s">
        <v>982</v>
      </c>
      <c r="E18" s="613">
        <v>-101.01</v>
      </c>
      <c r="F18" s="633">
        <v>0</v>
      </c>
      <c r="G18" s="744">
        <v>-101.01</v>
      </c>
      <c r="H18" s="673" t="s">
        <v>1529</v>
      </c>
      <c r="I18" s="2333"/>
      <c r="J18" s="2274"/>
      <c r="K18" s="2270"/>
      <c r="L18" s="192"/>
    </row>
    <row r="19" spans="1:12" ht="15.75">
      <c r="A19" s="673">
        <v>44342</v>
      </c>
      <c r="B19" s="1124" t="s">
        <v>522</v>
      </c>
      <c r="C19" s="1124" t="s">
        <v>4614</v>
      </c>
      <c r="D19" s="707" t="s">
        <v>983</v>
      </c>
      <c r="E19" s="613">
        <v>-1.23</v>
      </c>
      <c r="F19" s="633">
        <v>0</v>
      </c>
      <c r="G19" s="744">
        <v>-1.23</v>
      </c>
      <c r="H19" s="673" t="s">
        <v>1529</v>
      </c>
      <c r="I19" s="2333"/>
      <c r="J19" s="2274"/>
      <c r="K19" s="2270"/>
      <c r="L19" s="192"/>
    </row>
    <row r="20" spans="1:12" ht="15.75">
      <c r="A20" s="673">
        <v>44342</v>
      </c>
      <c r="B20" s="1124" t="s">
        <v>522</v>
      </c>
      <c r="C20" s="1124" t="s">
        <v>4614</v>
      </c>
      <c r="D20" s="707" t="s">
        <v>984</v>
      </c>
      <c r="E20" s="613">
        <v>-48.37</v>
      </c>
      <c r="F20" s="633">
        <v>0</v>
      </c>
      <c r="G20" s="744">
        <v>-48.37</v>
      </c>
      <c r="H20" s="673" t="s">
        <v>1529</v>
      </c>
      <c r="I20" s="2333"/>
      <c r="J20" s="2274"/>
      <c r="K20" s="2270"/>
      <c r="L20" s="192"/>
    </row>
    <row r="21" spans="1:12" ht="15.75">
      <c r="A21" s="673">
        <v>44342</v>
      </c>
      <c r="B21" s="1124" t="s">
        <v>522</v>
      </c>
      <c r="C21" s="1124" t="s">
        <v>4614</v>
      </c>
      <c r="D21" s="707" t="s">
        <v>985</v>
      </c>
      <c r="E21" s="613">
        <v>-6565</v>
      </c>
      <c r="F21" s="633">
        <v>0</v>
      </c>
      <c r="G21" s="744">
        <v>-6565</v>
      </c>
      <c r="H21" s="673" t="s">
        <v>1529</v>
      </c>
      <c r="I21" s="2333"/>
      <c r="J21" s="2274"/>
      <c r="K21" s="2270"/>
      <c r="L21" s="192"/>
    </row>
    <row r="22" spans="1:12" ht="15.75">
      <c r="A22" s="707"/>
      <c r="B22" s="1124"/>
      <c r="C22" s="1124"/>
      <c r="D22" s="707"/>
      <c r="E22" s="613"/>
      <c r="F22" s="633" t="s">
        <v>3093</v>
      </c>
      <c r="G22" s="744">
        <f>SUM(G14:G21)-I14</f>
        <v>1979.619999999999</v>
      </c>
      <c r="H22" s="673"/>
      <c r="I22" s="2333">
        <v>2652.3</v>
      </c>
      <c r="J22" s="2274" t="s">
        <v>986</v>
      </c>
      <c r="K22" s="2270" t="s">
        <v>544</v>
      </c>
      <c r="L22" s="192"/>
    </row>
    <row r="23" spans="1:12" ht="15.75">
      <c r="A23" s="673">
        <v>44382</v>
      </c>
      <c r="B23" s="1124" t="s">
        <v>522</v>
      </c>
      <c r="C23" s="1124" t="s">
        <v>4614</v>
      </c>
      <c r="D23" s="707" t="s">
        <v>987</v>
      </c>
      <c r="E23" s="613">
        <v>3619.97</v>
      </c>
      <c r="F23" s="633">
        <v>0</v>
      </c>
      <c r="G23" s="744">
        <v>3619.97</v>
      </c>
      <c r="H23" s="673">
        <v>44383</v>
      </c>
      <c r="I23" s="2333"/>
      <c r="J23" s="2274"/>
      <c r="K23" s="2270"/>
      <c r="L23" s="192"/>
    </row>
    <row r="24" spans="1:12" ht="15.75">
      <c r="A24" s="707"/>
      <c r="B24" s="1124"/>
      <c r="C24" s="1124"/>
      <c r="D24" s="707"/>
      <c r="E24" s="613"/>
      <c r="F24" s="633" t="s">
        <v>3093</v>
      </c>
      <c r="G24" s="744">
        <f>SUM(G22:G23)-I22</f>
        <v>2947.2899999999981</v>
      </c>
      <c r="H24" s="673"/>
      <c r="I24" s="772">
        <v>2000</v>
      </c>
      <c r="J24" s="701" t="s">
        <v>595</v>
      </c>
      <c r="K24" s="242" t="s">
        <v>550</v>
      </c>
      <c r="L24" s="192"/>
    </row>
    <row r="25" spans="1:12" ht="15.75">
      <c r="A25" s="707"/>
      <c r="B25" s="1124"/>
      <c r="C25" s="1124"/>
      <c r="D25" s="707"/>
      <c r="E25" s="613"/>
      <c r="F25" s="633" t="s">
        <v>3093</v>
      </c>
      <c r="G25" s="744">
        <f>G24-I24</f>
        <v>947.28999999999814</v>
      </c>
      <c r="H25" s="673"/>
      <c r="I25" s="2333">
        <v>4000</v>
      </c>
      <c r="J25" s="2243">
        <v>44575</v>
      </c>
      <c r="K25" s="2270" t="s">
        <v>550</v>
      </c>
      <c r="L25" s="192"/>
    </row>
    <row r="26" spans="1:12" ht="15.75">
      <c r="A26" s="734">
        <v>44441</v>
      </c>
      <c r="B26" s="1124" t="s">
        <v>522</v>
      </c>
      <c r="C26" s="1124" t="s">
        <v>4614</v>
      </c>
      <c r="D26" s="707" t="s">
        <v>988</v>
      </c>
      <c r="E26" s="613">
        <v>572.88</v>
      </c>
      <c r="F26" s="633">
        <v>0</v>
      </c>
      <c r="G26" s="744">
        <v>572.89</v>
      </c>
      <c r="H26" s="673">
        <v>44442</v>
      </c>
      <c r="I26" s="2333"/>
      <c r="J26" s="2274"/>
      <c r="K26" s="2270"/>
      <c r="L26" s="192"/>
    </row>
    <row r="27" spans="1:12" ht="15.75">
      <c r="A27" s="734">
        <v>44441</v>
      </c>
      <c r="B27" s="1124" t="s">
        <v>522</v>
      </c>
      <c r="C27" s="1124" t="s">
        <v>4614</v>
      </c>
      <c r="D27" s="707" t="s">
        <v>989</v>
      </c>
      <c r="E27" s="613">
        <v>2136.5</v>
      </c>
      <c r="F27" s="633">
        <v>0</v>
      </c>
      <c r="G27" s="744">
        <v>2136.23</v>
      </c>
      <c r="H27" s="673">
        <v>44442</v>
      </c>
      <c r="I27" s="2333"/>
      <c r="J27" s="2274"/>
      <c r="K27" s="2270"/>
      <c r="L27" s="192"/>
    </row>
    <row r="28" spans="1:12" ht="15.75">
      <c r="A28" s="734">
        <v>44494</v>
      </c>
      <c r="B28" s="1124" t="s">
        <v>522</v>
      </c>
      <c r="C28" s="1124" t="s">
        <v>4614</v>
      </c>
      <c r="D28" s="707" t="s">
        <v>990</v>
      </c>
      <c r="E28" s="613">
        <v>9134.1200000000008</v>
      </c>
      <c r="F28" s="633">
        <v>0</v>
      </c>
      <c r="G28" s="744">
        <v>9134.1200000000008</v>
      </c>
      <c r="H28" s="673">
        <v>44495</v>
      </c>
      <c r="I28" s="2333"/>
      <c r="J28" s="2274"/>
      <c r="K28" s="2270"/>
      <c r="L28" s="192"/>
    </row>
    <row r="29" spans="1:12" ht="15.75">
      <c r="A29" s="707"/>
      <c r="B29" s="1124"/>
      <c r="C29" s="1124"/>
      <c r="D29" s="707"/>
      <c r="E29" s="613"/>
      <c r="F29" s="633" t="s">
        <v>3093</v>
      </c>
      <c r="G29" s="744">
        <f>SUM(G25:G28)-I25</f>
        <v>8790.5299999999988</v>
      </c>
      <c r="H29" s="673"/>
      <c r="I29" s="772">
        <v>3000</v>
      </c>
      <c r="J29" s="673">
        <v>44627</v>
      </c>
      <c r="K29" s="242" t="s">
        <v>550</v>
      </c>
      <c r="L29" s="192"/>
    </row>
    <row r="30" spans="1:12" ht="15.75">
      <c r="A30" s="707"/>
      <c r="B30" s="1124"/>
      <c r="C30" s="1124"/>
      <c r="D30" s="707"/>
      <c r="E30" s="613"/>
      <c r="F30" s="633" t="s">
        <v>3093</v>
      </c>
      <c r="G30" s="744">
        <f>G29-I29</f>
        <v>5790.5299999999988</v>
      </c>
      <c r="H30" s="673"/>
      <c r="I30" s="772">
        <v>3000</v>
      </c>
      <c r="J30" s="673">
        <v>44694</v>
      </c>
      <c r="K30" s="378" t="s">
        <v>550</v>
      </c>
      <c r="L30" s="192"/>
    </row>
    <row r="31" spans="1:12" ht="15.75">
      <c r="A31" s="707"/>
      <c r="B31" s="1124"/>
      <c r="C31" s="1124"/>
      <c r="D31" s="707"/>
      <c r="E31" s="613"/>
      <c r="F31" s="633" t="s">
        <v>3093</v>
      </c>
      <c r="G31" s="744">
        <f>G30-I30</f>
        <v>2790.5299999999988</v>
      </c>
      <c r="H31" s="673"/>
      <c r="I31" s="787">
        <f>2790+0.8</f>
        <v>2790.8</v>
      </c>
      <c r="J31" s="673">
        <v>44711</v>
      </c>
      <c r="K31" s="378" t="s">
        <v>2212</v>
      </c>
      <c r="L31" s="192"/>
    </row>
    <row r="32" spans="1:12" ht="15.75">
      <c r="A32" s="707"/>
      <c r="B32" s="1124"/>
      <c r="C32" s="1124"/>
      <c r="D32" s="707"/>
      <c r="E32" s="613"/>
      <c r="F32" s="649" t="s">
        <v>3277</v>
      </c>
      <c r="G32" s="745">
        <f>G31-I31</f>
        <v>-0.27000000000134605</v>
      </c>
      <c r="H32" s="673"/>
      <c r="I32" s="787"/>
      <c r="J32" s="673"/>
      <c r="K32" s="405"/>
      <c r="L32" s="192"/>
    </row>
    <row r="33" spans="1:12" ht="15.75">
      <c r="A33" s="734">
        <v>44580</v>
      </c>
      <c r="B33" s="1124" t="s">
        <v>522</v>
      </c>
      <c r="C33" s="1124" t="s">
        <v>4614</v>
      </c>
      <c r="D33" s="707" t="s">
        <v>991</v>
      </c>
      <c r="E33" s="613">
        <v>2138.63</v>
      </c>
      <c r="F33" s="633">
        <v>0</v>
      </c>
      <c r="G33" s="744">
        <v>2138.63</v>
      </c>
      <c r="H33" s="673">
        <v>44581</v>
      </c>
      <c r="I33" s="787">
        <v>2138.63</v>
      </c>
      <c r="J33" s="673">
        <v>44736</v>
      </c>
      <c r="K33" s="486" t="s">
        <v>2583</v>
      </c>
      <c r="L33" s="192"/>
    </row>
    <row r="34" spans="1:12" ht="15.75">
      <c r="A34" s="607">
        <v>44588</v>
      </c>
      <c r="B34" s="1124" t="s">
        <v>522</v>
      </c>
      <c r="C34" s="1124" t="s">
        <v>4614</v>
      </c>
      <c r="D34" s="788" t="s">
        <v>992</v>
      </c>
      <c r="E34" s="613">
        <v>2497.04</v>
      </c>
      <c r="F34" s="633">
        <v>0</v>
      </c>
      <c r="G34" s="745">
        <v>2497.04</v>
      </c>
      <c r="H34" s="607">
        <v>44589</v>
      </c>
      <c r="I34" s="789">
        <v>2497.04</v>
      </c>
      <c r="J34" s="673">
        <v>44769</v>
      </c>
      <c r="K34" s="242" t="s">
        <v>2583</v>
      </c>
      <c r="L34" s="329" t="s">
        <v>2586</v>
      </c>
    </row>
    <row r="35" spans="1:12" ht="15.75">
      <c r="A35" s="844"/>
      <c r="B35" s="1124"/>
      <c r="C35" s="1124"/>
      <c r="D35" s="788"/>
      <c r="E35" s="843"/>
      <c r="F35" s="649" t="s">
        <v>3277</v>
      </c>
      <c r="G35" s="745">
        <f>SUM(G32:G34)-SUM(I32:I34)</f>
        <v>-0.27000000000134605</v>
      </c>
      <c r="H35" s="844"/>
      <c r="I35" s="2338">
        <v>2398.8000000000002</v>
      </c>
      <c r="J35" s="2017">
        <v>44844</v>
      </c>
      <c r="K35" s="2262" t="s">
        <v>3273</v>
      </c>
      <c r="L35" s="329"/>
    </row>
    <row r="36" spans="1:12" ht="15.75">
      <c r="A36" s="844">
        <v>44623</v>
      </c>
      <c r="B36" s="1124" t="s">
        <v>521</v>
      </c>
      <c r="C36" s="1124" t="s">
        <v>4614</v>
      </c>
      <c r="D36" s="788" t="s">
        <v>993</v>
      </c>
      <c r="E36" s="843">
        <v>1850.03</v>
      </c>
      <c r="F36" s="649">
        <v>0</v>
      </c>
      <c r="G36" s="745">
        <v>1850.3</v>
      </c>
      <c r="H36" s="844">
        <v>44624</v>
      </c>
      <c r="I36" s="2339"/>
      <c r="J36" s="2018"/>
      <c r="K36" s="2263"/>
      <c r="L36" s="192"/>
    </row>
    <row r="37" spans="1:12" ht="15.75">
      <c r="A37" s="844">
        <v>44628</v>
      </c>
      <c r="B37" s="1124" t="s">
        <v>521</v>
      </c>
      <c r="C37" s="1124" t="s">
        <v>4614</v>
      </c>
      <c r="D37" s="788" t="s">
        <v>994</v>
      </c>
      <c r="E37" s="843">
        <v>813.4</v>
      </c>
      <c r="F37" s="649">
        <v>0</v>
      </c>
      <c r="G37" s="745">
        <v>813.4</v>
      </c>
      <c r="H37" s="844">
        <v>44629</v>
      </c>
      <c r="I37" s="2339"/>
      <c r="J37" s="2018"/>
      <c r="K37" s="2263"/>
      <c r="L37" s="192"/>
    </row>
    <row r="38" spans="1:12" ht="15.75">
      <c r="A38" s="844">
        <v>44771</v>
      </c>
      <c r="B38" s="1124" t="s">
        <v>521</v>
      </c>
      <c r="C38" s="1124" t="s">
        <v>4614</v>
      </c>
      <c r="D38" s="788" t="s">
        <v>2553</v>
      </c>
      <c r="E38" s="843">
        <v>-1.65</v>
      </c>
      <c r="F38" s="649">
        <v>0</v>
      </c>
      <c r="G38" s="745">
        <v>-1.65</v>
      </c>
      <c r="H38" s="844"/>
      <c r="I38" s="2339"/>
      <c r="J38" s="2018"/>
      <c r="K38" s="2263"/>
      <c r="L38" s="192"/>
    </row>
    <row r="39" spans="1:12" ht="15.75">
      <c r="A39" s="844">
        <v>44771</v>
      </c>
      <c r="B39" s="1124" t="s">
        <v>521</v>
      </c>
      <c r="C39" s="1124" t="s">
        <v>4614</v>
      </c>
      <c r="D39" s="788" t="s">
        <v>2554</v>
      </c>
      <c r="E39" s="843">
        <v>-228.12</v>
      </c>
      <c r="F39" s="649">
        <v>0</v>
      </c>
      <c r="G39" s="745">
        <v>-228.12</v>
      </c>
      <c r="H39" s="844"/>
      <c r="I39" s="2339"/>
      <c r="J39" s="2018"/>
      <c r="K39" s="2263"/>
      <c r="L39" s="192"/>
    </row>
    <row r="40" spans="1:12" ht="15.75">
      <c r="A40" s="844">
        <v>44771</v>
      </c>
      <c r="B40" s="1124" t="s">
        <v>521</v>
      </c>
      <c r="C40" s="1124" t="s">
        <v>4614</v>
      </c>
      <c r="D40" s="788" t="s">
        <v>2555</v>
      </c>
      <c r="E40" s="843">
        <v>-34.869999999999997</v>
      </c>
      <c r="F40" s="649">
        <v>0</v>
      </c>
      <c r="G40" s="745">
        <v>-34.869999999999997</v>
      </c>
      <c r="H40" s="844"/>
      <c r="I40" s="2339"/>
      <c r="J40" s="2018"/>
      <c r="K40" s="2263"/>
      <c r="L40" s="192"/>
    </row>
    <row r="41" spans="1:12" ht="15.75">
      <c r="A41" s="844">
        <v>44806</v>
      </c>
      <c r="B41" s="1124" t="s">
        <v>2644</v>
      </c>
      <c r="C41" s="1124" t="s">
        <v>4613</v>
      </c>
      <c r="D41" s="788" t="s">
        <v>2925</v>
      </c>
      <c r="E41" s="843">
        <v>0.01</v>
      </c>
      <c r="F41" s="649">
        <v>0</v>
      </c>
      <c r="G41" s="745">
        <v>0.01</v>
      </c>
      <c r="H41" s="844">
        <v>44807</v>
      </c>
      <c r="I41" s="2340"/>
      <c r="J41" s="2019"/>
      <c r="K41" s="2264"/>
      <c r="L41" s="1145" t="s">
        <v>2897</v>
      </c>
    </row>
    <row r="42" spans="1:12" ht="15.75">
      <c r="A42" s="601"/>
      <c r="B42" s="601"/>
      <c r="C42" s="601"/>
      <c r="D42" s="790"/>
      <c r="E42" s="603"/>
      <c r="F42" s="644"/>
      <c r="G42" s="746"/>
      <c r="H42" s="601"/>
      <c r="I42" s="787"/>
      <c r="J42" s="673"/>
      <c r="K42" s="579"/>
      <c r="L42" s="447"/>
    </row>
    <row r="43" spans="1:12" ht="15.75">
      <c r="A43" s="601"/>
      <c r="B43" s="601"/>
      <c r="C43" s="601"/>
      <c r="D43" s="790"/>
      <c r="E43" s="603"/>
      <c r="F43" s="644"/>
      <c r="G43" s="746"/>
      <c r="H43" s="601"/>
      <c r="I43" s="787"/>
      <c r="J43" s="673"/>
      <c r="K43" s="579"/>
      <c r="L43" s="447"/>
    </row>
    <row r="44" spans="1:12" ht="15.75">
      <c r="A44" s="737"/>
      <c r="B44" s="1134"/>
      <c r="C44" s="1134"/>
      <c r="D44" s="790"/>
      <c r="E44" s="791"/>
      <c r="F44" s="1144" t="s">
        <v>545</v>
      </c>
      <c r="G44" s="792">
        <f>SUM(G35:G43)-SUM(I35:I43)</f>
        <v>0</v>
      </c>
      <c r="H44" s="793"/>
      <c r="I44" s="787"/>
      <c r="J44" s="673"/>
      <c r="K44" s="330"/>
      <c r="L44" s="331"/>
    </row>
  </sheetData>
  <mergeCells count="21">
    <mergeCell ref="K14:K21"/>
    <mergeCell ref="J3:J4"/>
    <mergeCell ref="J8:J9"/>
    <mergeCell ref="J11:J13"/>
    <mergeCell ref="J14:J21"/>
    <mergeCell ref="I35:I41"/>
    <mergeCell ref="K35:K41"/>
    <mergeCell ref="J35:J41"/>
    <mergeCell ref="I3:I4"/>
    <mergeCell ref="I8:I9"/>
    <mergeCell ref="I11:I13"/>
    <mergeCell ref="I14:I21"/>
    <mergeCell ref="I22:I23"/>
    <mergeCell ref="K22:K23"/>
    <mergeCell ref="K25:K28"/>
    <mergeCell ref="I25:I28"/>
    <mergeCell ref="J22:J23"/>
    <mergeCell ref="J25:J28"/>
    <mergeCell ref="K3:K4"/>
    <mergeCell ref="K8:K9"/>
    <mergeCell ref="K11:K13"/>
  </mergeCells>
  <phoneticPr fontId="15" type="noConversion"/>
  <hyperlinks>
    <hyperlink ref="F44" location="汇总!A1" display="剩余欠款"/>
  </hyperlinks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L64"/>
  <sheetViews>
    <sheetView workbookViewId="0">
      <pane ySplit="1" topLeftCell="A29" activePane="bottomLeft" state="frozen"/>
      <selection pane="bottomLeft" activeCell="F56" sqref="F56"/>
    </sheetView>
  </sheetViews>
  <sheetFormatPr defaultRowHeight="14.25"/>
  <cols>
    <col min="1" max="1" width="15.125" style="1" bestFit="1" customWidth="1"/>
    <col min="2" max="2" width="9" style="1" bestFit="1" customWidth="1"/>
    <col min="3" max="3" width="23.625" style="1" bestFit="1" customWidth="1"/>
    <col min="4" max="4" width="15" style="1" bestFit="1" customWidth="1"/>
    <col min="5" max="5" width="11.75" style="1" customWidth="1"/>
    <col min="6" max="6" width="11.75" style="418" customWidth="1"/>
    <col min="7" max="7" width="12" style="1" bestFit="1" customWidth="1"/>
    <col min="8" max="8" width="16.875" style="1" bestFit="1" customWidth="1"/>
    <col min="9" max="9" width="14.125" style="1" bestFit="1" customWidth="1"/>
    <col min="10" max="10" width="13.25" style="1" bestFit="1" customWidth="1"/>
    <col min="11" max="11" width="11.375" style="105" bestFit="1" customWidth="1"/>
    <col min="12" max="12" width="35" style="1" bestFit="1" customWidth="1"/>
    <col min="13" max="16384" width="9" style="1"/>
  </cols>
  <sheetData>
    <row r="1" spans="1:12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7" t="s">
        <v>542</v>
      </c>
    </row>
    <row r="2" spans="1:12" ht="15">
      <c r="A2" s="1903">
        <v>44336</v>
      </c>
      <c r="B2" s="1918" t="s">
        <v>4126</v>
      </c>
      <c r="C2" s="1918" t="s">
        <v>4573</v>
      </c>
      <c r="D2" s="1909" t="s">
        <v>1444</v>
      </c>
      <c r="E2" s="1915">
        <v>14053.43</v>
      </c>
      <c r="F2" s="1912">
        <v>0</v>
      </c>
      <c r="G2" s="639">
        <f>14053.43-3880.86-11.57</f>
        <v>10161</v>
      </c>
      <c r="H2" s="632">
        <v>44336</v>
      </c>
      <c r="I2" s="611">
        <v>10161</v>
      </c>
      <c r="J2" s="632">
        <v>44375</v>
      </c>
      <c r="K2" s="351" t="s">
        <v>550</v>
      </c>
      <c r="L2" s="100"/>
    </row>
    <row r="3" spans="1:12" ht="15">
      <c r="A3" s="1904"/>
      <c r="B3" s="1919"/>
      <c r="C3" s="1919"/>
      <c r="D3" s="1910"/>
      <c r="E3" s="1916"/>
      <c r="F3" s="1913"/>
      <c r="G3" s="639">
        <v>3880.86</v>
      </c>
      <c r="H3" s="632">
        <v>44336</v>
      </c>
      <c r="I3" s="611">
        <v>3880.86</v>
      </c>
      <c r="J3" s="632">
        <v>44405</v>
      </c>
      <c r="K3" s="243" t="s">
        <v>544</v>
      </c>
      <c r="L3" s="100"/>
    </row>
    <row r="4" spans="1:12" ht="15">
      <c r="A4" s="1905"/>
      <c r="B4" s="1920"/>
      <c r="C4" s="1920"/>
      <c r="D4" s="1911"/>
      <c r="E4" s="1917"/>
      <c r="F4" s="1914"/>
      <c r="G4" s="639">
        <v>11.57</v>
      </c>
      <c r="H4" s="632">
        <v>44336</v>
      </c>
      <c r="I4" s="1923">
        <v>1579.88</v>
      </c>
      <c r="J4" s="1903">
        <v>44505</v>
      </c>
      <c r="K4" s="2041" t="s">
        <v>1878</v>
      </c>
      <c r="L4" s="100"/>
    </row>
    <row r="5" spans="1:12" ht="15">
      <c r="A5" s="632">
        <v>44406</v>
      </c>
      <c r="B5" s="1124" t="s">
        <v>4126</v>
      </c>
      <c r="C5" s="1124" t="s">
        <v>4573</v>
      </c>
      <c r="D5" s="615" t="s">
        <v>1445</v>
      </c>
      <c r="E5" s="613">
        <v>1632.96</v>
      </c>
      <c r="F5" s="614">
        <v>0</v>
      </c>
      <c r="G5" s="639">
        <v>1632.96</v>
      </c>
      <c r="H5" s="632">
        <v>44406</v>
      </c>
      <c r="I5" s="1961"/>
      <c r="J5" s="1904"/>
      <c r="K5" s="2245"/>
      <c r="L5" s="100"/>
    </row>
    <row r="6" spans="1:12" ht="15">
      <c r="A6" s="632">
        <v>44411</v>
      </c>
      <c r="B6" s="1124" t="s">
        <v>4126</v>
      </c>
      <c r="C6" s="1124" t="s">
        <v>4573</v>
      </c>
      <c r="D6" s="615" t="s">
        <v>1446</v>
      </c>
      <c r="E6" s="613">
        <v>-64.650000000000006</v>
      </c>
      <c r="F6" s="614">
        <v>0</v>
      </c>
      <c r="G6" s="639">
        <v>-64.650000000000006</v>
      </c>
      <c r="H6" s="632" t="s">
        <v>1529</v>
      </c>
      <c r="I6" s="1924"/>
      <c r="J6" s="1905"/>
      <c r="K6" s="2245"/>
      <c r="L6" s="100"/>
    </row>
    <row r="7" spans="1:12" ht="15">
      <c r="A7" s="632">
        <v>44456</v>
      </c>
      <c r="B7" s="1124" t="s">
        <v>4126</v>
      </c>
      <c r="C7" s="1124" t="s">
        <v>4573</v>
      </c>
      <c r="D7" s="615" t="s">
        <v>1447</v>
      </c>
      <c r="E7" s="613">
        <v>3834.98</v>
      </c>
      <c r="F7" s="614">
        <v>0</v>
      </c>
      <c r="G7" s="639">
        <v>3834.98</v>
      </c>
      <c r="H7" s="632">
        <v>44486</v>
      </c>
      <c r="I7" s="611">
        <v>3834.98</v>
      </c>
      <c r="J7" s="632">
        <v>44515</v>
      </c>
      <c r="K7" s="351" t="s">
        <v>550</v>
      </c>
      <c r="L7" s="100" t="s">
        <v>1448</v>
      </c>
    </row>
    <row r="8" spans="1:12" ht="15">
      <c r="A8" s="632">
        <v>44537</v>
      </c>
      <c r="B8" s="1124" t="s">
        <v>4126</v>
      </c>
      <c r="C8" s="1124" t="s">
        <v>4573</v>
      </c>
      <c r="D8" s="615" t="s">
        <v>1449</v>
      </c>
      <c r="E8" s="613">
        <v>1870.65</v>
      </c>
      <c r="F8" s="614">
        <v>0</v>
      </c>
      <c r="G8" s="639">
        <v>1870.65</v>
      </c>
      <c r="H8" s="632">
        <v>44567</v>
      </c>
      <c r="I8" s="611">
        <v>1870.65</v>
      </c>
      <c r="J8" s="632">
        <v>44599</v>
      </c>
      <c r="K8" s="351" t="s">
        <v>550</v>
      </c>
      <c r="L8" s="100"/>
    </row>
    <row r="9" spans="1:12" ht="15">
      <c r="A9" s="632">
        <v>44594</v>
      </c>
      <c r="B9" s="1124" t="s">
        <v>4126</v>
      </c>
      <c r="C9" s="1124" t="s">
        <v>4573</v>
      </c>
      <c r="D9" s="648" t="s">
        <v>1450</v>
      </c>
      <c r="E9" s="613">
        <v>1291.28</v>
      </c>
      <c r="F9" s="614">
        <v>0</v>
      </c>
      <c r="G9" s="639">
        <v>1291.27</v>
      </c>
      <c r="H9" s="632">
        <v>44594</v>
      </c>
      <c r="I9" s="639">
        <v>1291.27</v>
      </c>
      <c r="J9" s="632">
        <v>44713</v>
      </c>
      <c r="K9" s="404" t="s">
        <v>550</v>
      </c>
      <c r="L9" s="100"/>
    </row>
    <row r="10" spans="1:12" ht="15">
      <c r="A10" s="1089">
        <v>44729</v>
      </c>
      <c r="B10" s="1124" t="s">
        <v>4126</v>
      </c>
      <c r="C10" s="1124" t="s">
        <v>4573</v>
      </c>
      <c r="D10" s="1090" t="s">
        <v>2302</v>
      </c>
      <c r="E10" s="1091">
        <v>2750.06</v>
      </c>
      <c r="F10" s="1088">
        <v>0</v>
      </c>
      <c r="G10" s="611">
        <v>2750.06</v>
      </c>
      <c r="H10" s="1089">
        <v>44729</v>
      </c>
      <c r="I10" s="639">
        <v>2750.06</v>
      </c>
      <c r="J10" s="632">
        <v>44950</v>
      </c>
      <c r="K10" s="1087" t="s">
        <v>4011</v>
      </c>
      <c r="L10" s="100"/>
    </row>
    <row r="11" spans="1:12" ht="15">
      <c r="A11" s="1031">
        <v>44806</v>
      </c>
      <c r="B11" s="1124" t="s">
        <v>4126</v>
      </c>
      <c r="C11" s="1124" t="s">
        <v>4573</v>
      </c>
      <c r="D11" s="1036" t="s">
        <v>2934</v>
      </c>
      <c r="E11" s="1041">
        <v>0.01</v>
      </c>
      <c r="F11" s="1030">
        <v>0</v>
      </c>
      <c r="G11" s="611">
        <v>0.01</v>
      </c>
      <c r="H11" s="1031">
        <v>44807</v>
      </c>
      <c r="I11" s="611">
        <v>0.01</v>
      </c>
      <c r="J11" s="1031">
        <v>44941</v>
      </c>
      <c r="K11" s="1087" t="s">
        <v>4946</v>
      </c>
      <c r="L11" s="166" t="s">
        <v>2897</v>
      </c>
    </row>
    <row r="12" spans="1:12" ht="15">
      <c r="A12" s="1364">
        <v>44855.000497685185</v>
      </c>
      <c r="B12" s="1364" t="s">
        <v>4126</v>
      </c>
      <c r="C12" s="1364" t="s">
        <v>4573</v>
      </c>
      <c r="D12" s="1365" t="s">
        <v>3313</v>
      </c>
      <c r="E12" s="1369">
        <v>1836.68</v>
      </c>
      <c r="F12" s="1363">
        <v>0</v>
      </c>
      <c r="G12" s="611">
        <v>1836.68</v>
      </c>
      <c r="H12" s="1364">
        <v>44856.000497685185</v>
      </c>
      <c r="I12" s="2343">
        <v>0</v>
      </c>
      <c r="J12" s="1903">
        <v>45051</v>
      </c>
      <c r="K12" s="1935" t="s">
        <v>4942</v>
      </c>
      <c r="L12" s="100"/>
    </row>
    <row r="13" spans="1:12" ht="15">
      <c r="A13" s="1364">
        <v>44859</v>
      </c>
      <c r="B13" s="1364" t="s">
        <v>4126</v>
      </c>
      <c r="C13" s="1364" t="s">
        <v>4573</v>
      </c>
      <c r="D13" s="1365" t="s">
        <v>3376</v>
      </c>
      <c r="E13" s="1369">
        <v>144</v>
      </c>
      <c r="F13" s="1363">
        <v>0</v>
      </c>
      <c r="G13" s="611">
        <v>144</v>
      </c>
      <c r="H13" s="1364">
        <v>44860</v>
      </c>
      <c r="I13" s="2344"/>
      <c r="J13" s="1904"/>
      <c r="K13" s="1887"/>
      <c r="L13" s="100"/>
    </row>
    <row r="14" spans="1:12" ht="15">
      <c r="A14" s="1364">
        <v>44967</v>
      </c>
      <c r="B14" s="1364" t="s">
        <v>2518</v>
      </c>
      <c r="C14" s="1364" t="s">
        <v>4573</v>
      </c>
      <c r="D14" s="1365" t="s">
        <v>4067</v>
      </c>
      <c r="E14" s="1369">
        <v>1050</v>
      </c>
      <c r="F14" s="1363">
        <v>0</v>
      </c>
      <c r="G14" s="611">
        <v>1050</v>
      </c>
      <c r="H14" s="1364">
        <v>45057</v>
      </c>
      <c r="I14" s="2344"/>
      <c r="J14" s="1904"/>
      <c r="K14" s="1887"/>
      <c r="L14" s="100"/>
    </row>
    <row r="15" spans="1:12" ht="15">
      <c r="A15" s="1364">
        <v>44971</v>
      </c>
      <c r="B15" s="1364" t="s">
        <v>2518</v>
      </c>
      <c r="C15" s="1364" t="s">
        <v>4573</v>
      </c>
      <c r="D15" s="1365" t="s">
        <v>4189</v>
      </c>
      <c r="E15" s="1369">
        <v>-1051.0999999999999</v>
      </c>
      <c r="F15" s="1363">
        <v>0</v>
      </c>
      <c r="G15" s="611">
        <v>-1051.0999999999999</v>
      </c>
      <c r="H15" s="1364">
        <v>44972</v>
      </c>
      <c r="I15" s="2344"/>
      <c r="J15" s="1904"/>
      <c r="K15" s="1887"/>
      <c r="L15" s="100" t="s">
        <v>4190</v>
      </c>
    </row>
    <row r="16" spans="1:12" ht="15">
      <c r="A16" s="1364">
        <v>44993</v>
      </c>
      <c r="B16" s="1364" t="s">
        <v>2518</v>
      </c>
      <c r="C16" s="1364" t="s">
        <v>4573</v>
      </c>
      <c r="D16" s="1365" t="s">
        <v>4457</v>
      </c>
      <c r="E16" s="1369">
        <v>-278.58999999999997</v>
      </c>
      <c r="F16" s="1363">
        <v>0</v>
      </c>
      <c r="G16" s="611">
        <v>-278.58999999999997</v>
      </c>
      <c r="H16" s="1364">
        <v>44993</v>
      </c>
      <c r="I16" s="2344"/>
      <c r="J16" s="1904"/>
      <c r="K16" s="1887"/>
      <c r="L16" s="100"/>
    </row>
    <row r="17" spans="1:12" ht="15">
      <c r="A17" s="1364">
        <v>44993</v>
      </c>
      <c r="B17" s="1364" t="s">
        <v>2518</v>
      </c>
      <c r="C17" s="1364" t="s">
        <v>4573</v>
      </c>
      <c r="D17" s="1365" t="s">
        <v>4458</v>
      </c>
      <c r="E17" s="1369">
        <v>-1277.21</v>
      </c>
      <c r="F17" s="1363">
        <v>0</v>
      </c>
      <c r="G17" s="611">
        <v>-1277.21</v>
      </c>
      <c r="H17" s="1364">
        <v>44993</v>
      </c>
      <c r="I17" s="2344"/>
      <c r="J17" s="1904"/>
      <c r="K17" s="1887"/>
      <c r="L17" s="100"/>
    </row>
    <row r="18" spans="1:12" ht="15">
      <c r="A18" s="1364">
        <v>44993</v>
      </c>
      <c r="B18" s="1364" t="s">
        <v>2518</v>
      </c>
      <c r="C18" s="1364" t="s">
        <v>4573</v>
      </c>
      <c r="D18" s="1365" t="s">
        <v>4459</v>
      </c>
      <c r="E18" s="1369">
        <v>-247.52</v>
      </c>
      <c r="F18" s="1363">
        <v>0</v>
      </c>
      <c r="G18" s="611">
        <v>-247.52</v>
      </c>
      <c r="H18" s="1364">
        <v>44993</v>
      </c>
      <c r="I18" s="2344"/>
      <c r="J18" s="1904"/>
      <c r="K18" s="1887"/>
      <c r="L18" s="100"/>
    </row>
    <row r="19" spans="1:12" ht="15">
      <c r="A19" s="1364">
        <v>44993</v>
      </c>
      <c r="B19" s="1364" t="s">
        <v>2518</v>
      </c>
      <c r="C19" s="1364" t="s">
        <v>4573</v>
      </c>
      <c r="D19" s="1365" t="s">
        <v>4460</v>
      </c>
      <c r="E19" s="1369">
        <v>-68.739999999999995</v>
      </c>
      <c r="F19" s="1363">
        <v>0</v>
      </c>
      <c r="G19" s="611">
        <v>-68.739999999999995</v>
      </c>
      <c r="H19" s="1364">
        <v>44993</v>
      </c>
      <c r="I19" s="2344"/>
      <c r="J19" s="1904"/>
      <c r="K19" s="1887"/>
      <c r="L19" s="100"/>
    </row>
    <row r="20" spans="1:12" ht="15">
      <c r="A20" s="1364">
        <v>44993</v>
      </c>
      <c r="B20" s="1364" t="s">
        <v>2518</v>
      </c>
      <c r="C20" s="1364" t="s">
        <v>4573</v>
      </c>
      <c r="D20" s="1365" t="s">
        <v>4461</v>
      </c>
      <c r="E20" s="1369">
        <v>-108.15</v>
      </c>
      <c r="F20" s="1363">
        <v>0</v>
      </c>
      <c r="G20" s="611">
        <v>-108.15</v>
      </c>
      <c r="H20" s="1364">
        <v>44993</v>
      </c>
      <c r="I20" s="2344"/>
      <c r="J20" s="1904"/>
      <c r="K20" s="1887"/>
      <c r="L20" s="100"/>
    </row>
    <row r="21" spans="1:12" ht="15">
      <c r="A21" s="1364">
        <v>44993</v>
      </c>
      <c r="B21" s="1364" t="s">
        <v>2518</v>
      </c>
      <c r="C21" s="1364" t="s">
        <v>4573</v>
      </c>
      <c r="D21" s="1365" t="s">
        <v>4462</v>
      </c>
      <c r="E21" s="1369">
        <v>-34.130000000000003</v>
      </c>
      <c r="F21" s="1363">
        <v>0</v>
      </c>
      <c r="G21" s="611">
        <v>-34.130000000000003</v>
      </c>
      <c r="H21" s="1364">
        <v>44993</v>
      </c>
      <c r="I21" s="2344"/>
      <c r="J21" s="1904"/>
      <c r="K21" s="1887"/>
      <c r="L21" s="100"/>
    </row>
    <row r="22" spans="1:12" ht="15">
      <c r="A22" s="1364">
        <v>44993</v>
      </c>
      <c r="B22" s="1364" t="s">
        <v>2518</v>
      </c>
      <c r="C22" s="1364" t="s">
        <v>4573</v>
      </c>
      <c r="D22" s="1365" t="s">
        <v>4463</v>
      </c>
      <c r="E22" s="1369">
        <v>-271.39</v>
      </c>
      <c r="F22" s="1363">
        <v>0</v>
      </c>
      <c r="G22" s="611">
        <v>-271.39</v>
      </c>
      <c r="H22" s="1364">
        <v>44993</v>
      </c>
      <c r="I22" s="2344"/>
      <c r="J22" s="1904"/>
      <c r="K22" s="1887"/>
      <c r="L22" s="100"/>
    </row>
    <row r="23" spans="1:12" ht="15">
      <c r="A23" s="1364">
        <v>44993</v>
      </c>
      <c r="B23" s="1364" t="s">
        <v>2518</v>
      </c>
      <c r="C23" s="1364" t="s">
        <v>4573</v>
      </c>
      <c r="D23" s="1365" t="s">
        <v>4464</v>
      </c>
      <c r="E23" s="1369">
        <v>-2110.87</v>
      </c>
      <c r="F23" s="1363">
        <v>0</v>
      </c>
      <c r="G23" s="611">
        <v>-2110.87</v>
      </c>
      <c r="H23" s="1364">
        <v>44993</v>
      </c>
      <c r="I23" s="2344"/>
      <c r="J23" s="1904"/>
      <c r="K23" s="1887"/>
      <c r="L23" s="100"/>
    </row>
    <row r="24" spans="1:12" ht="15">
      <c r="A24" s="1364">
        <v>44993</v>
      </c>
      <c r="B24" s="1364" t="s">
        <v>2518</v>
      </c>
      <c r="C24" s="1364" t="s">
        <v>4573</v>
      </c>
      <c r="D24" s="1365" t="s">
        <v>4465</v>
      </c>
      <c r="E24" s="1369">
        <v>-306</v>
      </c>
      <c r="F24" s="1363">
        <v>0</v>
      </c>
      <c r="G24" s="611">
        <v>-306</v>
      </c>
      <c r="H24" s="1364">
        <v>44993</v>
      </c>
      <c r="I24" s="2344"/>
      <c r="J24" s="1904"/>
      <c r="K24" s="1887"/>
      <c r="L24" s="100"/>
    </row>
    <row r="25" spans="1:12" ht="15">
      <c r="A25" s="1364">
        <v>44993</v>
      </c>
      <c r="B25" s="1364" t="s">
        <v>2518</v>
      </c>
      <c r="C25" s="1364" t="s">
        <v>4573</v>
      </c>
      <c r="D25" s="1365" t="s">
        <v>4466</v>
      </c>
      <c r="E25" s="1369">
        <v>-337.16</v>
      </c>
      <c r="F25" s="1363">
        <v>0</v>
      </c>
      <c r="G25" s="611">
        <v>-337.16</v>
      </c>
      <c r="H25" s="1364">
        <v>44993</v>
      </c>
      <c r="I25" s="2344"/>
      <c r="J25" s="1904"/>
      <c r="K25" s="1887"/>
      <c r="L25" s="100"/>
    </row>
    <row r="26" spans="1:12" ht="15">
      <c r="A26" s="1364">
        <v>44993</v>
      </c>
      <c r="B26" s="1364" t="s">
        <v>2518</v>
      </c>
      <c r="C26" s="1364" t="s">
        <v>4573</v>
      </c>
      <c r="D26" s="1365" t="s">
        <v>4467</v>
      </c>
      <c r="E26" s="1369">
        <v>-45.38</v>
      </c>
      <c r="F26" s="1363">
        <v>0</v>
      </c>
      <c r="G26" s="611">
        <v>-45.38</v>
      </c>
      <c r="H26" s="1364">
        <v>44993</v>
      </c>
      <c r="I26" s="2344"/>
      <c r="J26" s="1904"/>
      <c r="K26" s="1887"/>
      <c r="L26" s="100"/>
    </row>
    <row r="27" spans="1:12" ht="15">
      <c r="A27" s="1364">
        <v>44994</v>
      </c>
      <c r="B27" s="1364" t="s">
        <v>2518</v>
      </c>
      <c r="C27" s="1364" t="s">
        <v>4573</v>
      </c>
      <c r="D27" s="1365" t="s">
        <v>4468</v>
      </c>
      <c r="E27" s="1369">
        <v>-841.21</v>
      </c>
      <c r="F27" s="1363">
        <v>0</v>
      </c>
      <c r="G27" s="611">
        <v>-841.21</v>
      </c>
      <c r="H27" s="1364">
        <v>44994</v>
      </c>
      <c r="I27" s="2344"/>
      <c r="J27" s="1904"/>
      <c r="K27" s="1887"/>
      <c r="L27" s="100"/>
    </row>
    <row r="28" spans="1:12" ht="15">
      <c r="A28" s="1364">
        <v>44994</v>
      </c>
      <c r="B28" s="1364" t="s">
        <v>2518</v>
      </c>
      <c r="C28" s="1364" t="s">
        <v>4573</v>
      </c>
      <c r="D28" s="1365" t="s">
        <v>4469</v>
      </c>
      <c r="E28" s="1369">
        <v>-1441.28</v>
      </c>
      <c r="F28" s="1363">
        <v>0</v>
      </c>
      <c r="G28" s="611">
        <v>-1441.28</v>
      </c>
      <c r="H28" s="1364">
        <v>44994</v>
      </c>
      <c r="I28" s="2344"/>
      <c r="J28" s="1904"/>
      <c r="K28" s="1887"/>
      <c r="L28" s="100"/>
    </row>
    <row r="29" spans="1:12" ht="15">
      <c r="A29" s="1364">
        <v>44994</v>
      </c>
      <c r="B29" s="1364" t="s">
        <v>2518</v>
      </c>
      <c r="C29" s="1364" t="s">
        <v>4573</v>
      </c>
      <c r="D29" s="1365" t="s">
        <v>4470</v>
      </c>
      <c r="E29" s="1369">
        <v>-1445.54</v>
      </c>
      <c r="F29" s="1363">
        <v>0</v>
      </c>
      <c r="G29" s="611">
        <v>-1445.54</v>
      </c>
      <c r="H29" s="1364">
        <v>44994</v>
      </c>
      <c r="I29" s="2344"/>
      <c r="J29" s="1904"/>
      <c r="K29" s="1887"/>
      <c r="L29" s="100"/>
    </row>
    <row r="30" spans="1:12" ht="15">
      <c r="A30" s="1364">
        <v>44994</v>
      </c>
      <c r="B30" s="1364" t="s">
        <v>2518</v>
      </c>
      <c r="C30" s="1364" t="s">
        <v>4573</v>
      </c>
      <c r="D30" s="1365" t="s">
        <v>4471</v>
      </c>
      <c r="E30" s="1369">
        <v>-260.55</v>
      </c>
      <c r="F30" s="1363">
        <v>0</v>
      </c>
      <c r="G30" s="611">
        <v>-260.55</v>
      </c>
      <c r="H30" s="1364">
        <v>44994</v>
      </c>
      <c r="I30" s="2344"/>
      <c r="J30" s="1904"/>
      <c r="K30" s="1887"/>
      <c r="L30" s="100"/>
    </row>
    <row r="31" spans="1:12" ht="15">
      <c r="A31" s="1364">
        <v>44994</v>
      </c>
      <c r="B31" s="1364" t="s">
        <v>2518</v>
      </c>
      <c r="C31" s="1364" t="s">
        <v>4573</v>
      </c>
      <c r="D31" s="1365" t="s">
        <v>4472</v>
      </c>
      <c r="E31" s="1369">
        <v>-853.25</v>
      </c>
      <c r="F31" s="1363">
        <v>0</v>
      </c>
      <c r="G31" s="611">
        <v>-853.25</v>
      </c>
      <c r="H31" s="1364">
        <v>44994</v>
      </c>
      <c r="I31" s="2344"/>
      <c r="J31" s="1904"/>
      <c r="K31" s="1887"/>
      <c r="L31" s="100"/>
    </row>
    <row r="32" spans="1:12" ht="15">
      <c r="A32" s="1364">
        <v>44994</v>
      </c>
      <c r="B32" s="1364" t="s">
        <v>2518</v>
      </c>
      <c r="C32" s="1364" t="s">
        <v>4573</v>
      </c>
      <c r="D32" s="1365" t="s">
        <v>4473</v>
      </c>
      <c r="E32" s="1369">
        <v>-1011.87</v>
      </c>
      <c r="F32" s="1363">
        <v>0</v>
      </c>
      <c r="G32" s="611">
        <v>-1011.87</v>
      </c>
      <c r="H32" s="1364">
        <v>44994</v>
      </c>
      <c r="I32" s="2344"/>
      <c r="J32" s="1904"/>
      <c r="K32" s="1887"/>
      <c r="L32" s="100"/>
    </row>
    <row r="33" spans="1:12" ht="15">
      <c r="A33" s="1903">
        <v>44971</v>
      </c>
      <c r="B33" s="1903" t="s">
        <v>2518</v>
      </c>
      <c r="C33" s="1903" t="s">
        <v>4573</v>
      </c>
      <c r="D33" s="1909" t="s">
        <v>4188</v>
      </c>
      <c r="E33" s="1923">
        <v>11261.78</v>
      </c>
      <c r="F33" s="1921">
        <v>0</v>
      </c>
      <c r="G33" s="611">
        <v>8959.26</v>
      </c>
      <c r="H33" s="1566">
        <v>45061</v>
      </c>
      <c r="I33" s="2345"/>
      <c r="J33" s="1905"/>
      <c r="K33" s="1888"/>
      <c r="L33" s="100"/>
    </row>
    <row r="34" spans="1:12" ht="15">
      <c r="A34" s="1905"/>
      <c r="B34" s="1905"/>
      <c r="C34" s="1905"/>
      <c r="D34" s="1911"/>
      <c r="E34" s="1924"/>
      <c r="F34" s="1922"/>
      <c r="G34" s="611">
        <f>11261.78-8959.26</f>
        <v>2302.5200000000004</v>
      </c>
      <c r="H34" s="1566">
        <v>45061</v>
      </c>
      <c r="I34" s="1958">
        <v>5299.64</v>
      </c>
      <c r="J34" s="1903">
        <v>45132</v>
      </c>
      <c r="K34" s="1938" t="s">
        <v>5705</v>
      </c>
      <c r="L34" s="100"/>
    </row>
    <row r="35" spans="1:12" ht="15">
      <c r="A35" s="1566">
        <v>45008</v>
      </c>
      <c r="B35" s="1566" t="s">
        <v>2518</v>
      </c>
      <c r="C35" s="1566" t="s">
        <v>4573</v>
      </c>
      <c r="D35" s="1568" t="s">
        <v>4574</v>
      </c>
      <c r="E35" s="1572">
        <v>1308</v>
      </c>
      <c r="F35" s="1565">
        <v>0</v>
      </c>
      <c r="G35" s="611">
        <v>1308</v>
      </c>
      <c r="H35" s="1566">
        <v>45098</v>
      </c>
      <c r="I35" s="1966"/>
      <c r="J35" s="1904"/>
      <c r="K35" s="1887"/>
      <c r="L35" s="100"/>
    </row>
    <row r="36" spans="1:12" ht="15">
      <c r="A36" s="1566">
        <v>45008</v>
      </c>
      <c r="B36" s="1566" t="s">
        <v>2518</v>
      </c>
      <c r="C36" s="1566" t="s">
        <v>5707</v>
      </c>
      <c r="D36" s="1568" t="s">
        <v>4575</v>
      </c>
      <c r="E36" s="1572">
        <v>1689.12</v>
      </c>
      <c r="F36" s="1565">
        <v>0</v>
      </c>
      <c r="G36" s="611">
        <v>1689.12</v>
      </c>
      <c r="H36" s="1566">
        <v>45098</v>
      </c>
      <c r="I36" s="1959"/>
      <c r="J36" s="1905"/>
      <c r="K36" s="1888"/>
      <c r="L36" s="100"/>
    </row>
    <row r="37" spans="1:12" ht="15">
      <c r="A37" s="1566">
        <v>45044</v>
      </c>
      <c r="B37" s="1566" t="s">
        <v>2518</v>
      </c>
      <c r="C37" s="1566" t="s">
        <v>4573</v>
      </c>
      <c r="D37" s="1568" t="s">
        <v>4890</v>
      </c>
      <c r="E37" s="1572">
        <v>1159.28</v>
      </c>
      <c r="F37" s="1565">
        <v>0</v>
      </c>
      <c r="G37" s="611">
        <v>1159.28</v>
      </c>
      <c r="H37" s="1566">
        <v>45134</v>
      </c>
      <c r="I37" s="1951">
        <v>3660.36</v>
      </c>
      <c r="J37" s="1903">
        <v>45132</v>
      </c>
      <c r="K37" s="1938" t="s">
        <v>5705</v>
      </c>
      <c r="L37" s="100"/>
    </row>
    <row r="38" spans="1:12" ht="15">
      <c r="A38" s="1566">
        <v>45075</v>
      </c>
      <c r="B38" s="1566" t="s">
        <v>2518</v>
      </c>
      <c r="C38" s="1566" t="s">
        <v>4573</v>
      </c>
      <c r="D38" s="1568" t="s">
        <v>5288</v>
      </c>
      <c r="E38" s="1572">
        <v>100.8</v>
      </c>
      <c r="F38" s="1565">
        <v>0</v>
      </c>
      <c r="G38" s="611">
        <v>100.8</v>
      </c>
      <c r="H38" s="1566">
        <v>45165</v>
      </c>
      <c r="I38" s="1952"/>
      <c r="J38" s="1904"/>
      <c r="K38" s="1950"/>
      <c r="L38" s="100"/>
    </row>
    <row r="39" spans="1:12" ht="15">
      <c r="A39" s="1566">
        <v>45075</v>
      </c>
      <c r="B39" s="1566" t="s">
        <v>2518</v>
      </c>
      <c r="C39" s="1566" t="s">
        <v>4573</v>
      </c>
      <c r="D39" s="1568" t="s">
        <v>5289</v>
      </c>
      <c r="E39" s="1572">
        <v>1008.84</v>
      </c>
      <c r="F39" s="1565">
        <v>0</v>
      </c>
      <c r="G39" s="611">
        <v>1008.84</v>
      </c>
      <c r="H39" s="1566">
        <v>45165</v>
      </c>
      <c r="I39" s="1952"/>
      <c r="J39" s="1904"/>
      <c r="K39" s="1950"/>
      <c r="L39" s="100"/>
    </row>
    <row r="40" spans="1:12" ht="15">
      <c r="A40" s="1941">
        <v>45105</v>
      </c>
      <c r="B40" s="1941" t="s">
        <v>5475</v>
      </c>
      <c r="C40" s="1941" t="s">
        <v>4573</v>
      </c>
      <c r="D40" s="1954" t="s">
        <v>5514</v>
      </c>
      <c r="E40" s="1945">
        <v>2027.48</v>
      </c>
      <c r="F40" s="1939">
        <v>0</v>
      </c>
      <c r="G40" s="611">
        <v>1391.44</v>
      </c>
      <c r="H40" s="1566">
        <v>45195</v>
      </c>
      <c r="I40" s="1953"/>
      <c r="J40" s="1905"/>
      <c r="K40" s="1947"/>
      <c r="L40" s="100"/>
    </row>
    <row r="41" spans="1:12" ht="15">
      <c r="A41" s="1942"/>
      <c r="B41" s="1942"/>
      <c r="C41" s="1942"/>
      <c r="D41" s="1955"/>
      <c r="E41" s="1946"/>
      <c r="F41" s="1940"/>
      <c r="G41" s="605">
        <f>2027.48-1391.44</f>
        <v>636.04</v>
      </c>
      <c r="H41" s="623">
        <v>45195</v>
      </c>
      <c r="I41" s="639"/>
      <c r="J41" s="1566"/>
      <c r="K41" s="1571"/>
      <c r="L41" s="100"/>
    </row>
    <row r="42" spans="1:12" ht="15">
      <c r="A42" s="623">
        <v>45110</v>
      </c>
      <c r="B42" s="623" t="s">
        <v>5475</v>
      </c>
      <c r="C42" s="623" t="s">
        <v>4573</v>
      </c>
      <c r="D42" s="624" t="s">
        <v>5560</v>
      </c>
      <c r="E42" s="603">
        <v>-185.38</v>
      </c>
      <c r="F42" s="604">
        <v>0</v>
      </c>
      <c r="G42" s="605">
        <v>-185.38</v>
      </c>
      <c r="H42" s="623"/>
      <c r="I42" s="639"/>
      <c r="J42" s="1440"/>
      <c r="K42" s="1445"/>
      <c r="L42" s="100"/>
    </row>
    <row r="43" spans="1:12" ht="15">
      <c r="A43" s="623">
        <v>45138</v>
      </c>
      <c r="B43" s="623" t="s">
        <v>5522</v>
      </c>
      <c r="C43" s="623" t="s">
        <v>4573</v>
      </c>
      <c r="D43" s="624" t="s">
        <v>5839</v>
      </c>
      <c r="E43" s="603">
        <v>-133.46</v>
      </c>
      <c r="F43" s="604">
        <v>0</v>
      </c>
      <c r="G43" s="605">
        <v>-133.46</v>
      </c>
      <c r="H43" s="623"/>
      <c r="I43" s="639"/>
      <c r="J43" s="1579"/>
      <c r="K43" s="1587"/>
      <c r="L43" s="100"/>
    </row>
    <row r="44" spans="1:12" ht="15">
      <c r="A44" s="623">
        <v>45138</v>
      </c>
      <c r="B44" s="623" t="s">
        <v>5522</v>
      </c>
      <c r="C44" s="623" t="s">
        <v>4573</v>
      </c>
      <c r="D44" s="624" t="s">
        <v>5840</v>
      </c>
      <c r="E44" s="603">
        <v>-1.68</v>
      </c>
      <c r="F44" s="604">
        <v>0</v>
      </c>
      <c r="G44" s="605">
        <v>-1.68</v>
      </c>
      <c r="H44" s="623"/>
      <c r="I44" s="639"/>
      <c r="J44" s="1579"/>
      <c r="K44" s="1587"/>
      <c r="L44" s="100"/>
    </row>
    <row r="45" spans="1:12" ht="15">
      <c r="A45" s="623">
        <v>45138</v>
      </c>
      <c r="B45" s="623" t="s">
        <v>5522</v>
      </c>
      <c r="C45" s="623" t="s">
        <v>4573</v>
      </c>
      <c r="D45" s="624" t="s">
        <v>5841</v>
      </c>
      <c r="E45" s="603">
        <v>-308.27</v>
      </c>
      <c r="F45" s="604">
        <v>0</v>
      </c>
      <c r="G45" s="605">
        <v>-308.27</v>
      </c>
      <c r="H45" s="623"/>
      <c r="I45" s="639"/>
      <c r="J45" s="1579"/>
      <c r="K45" s="1587"/>
      <c r="L45" s="100"/>
    </row>
    <row r="46" spans="1:12" ht="15">
      <c r="A46" s="623">
        <v>45181</v>
      </c>
      <c r="B46" s="623" t="s">
        <v>5522</v>
      </c>
      <c r="C46" s="623" t="s">
        <v>4573</v>
      </c>
      <c r="D46" s="624" t="s">
        <v>6057</v>
      </c>
      <c r="E46" s="603">
        <v>498.54</v>
      </c>
      <c r="F46" s="604">
        <v>0</v>
      </c>
      <c r="G46" s="605">
        <v>498.54</v>
      </c>
      <c r="H46" s="623">
        <v>45240.000497685185</v>
      </c>
      <c r="I46" s="639"/>
      <c r="J46" s="1579"/>
      <c r="K46" s="1587"/>
      <c r="L46" s="100"/>
    </row>
    <row r="47" spans="1:12" ht="15">
      <c r="A47" s="623"/>
      <c r="B47" s="623"/>
      <c r="C47" s="623"/>
      <c r="D47" s="624"/>
      <c r="E47" s="603"/>
      <c r="F47" s="604"/>
      <c r="G47" s="605"/>
      <c r="H47" s="623"/>
      <c r="I47" s="639"/>
      <c r="J47" s="1579"/>
      <c r="K47" s="1587"/>
      <c r="L47" s="100"/>
    </row>
    <row r="48" spans="1:12" ht="15">
      <c r="A48" s="623"/>
      <c r="B48" s="623"/>
      <c r="C48" s="623"/>
      <c r="D48" s="624"/>
      <c r="E48" s="603"/>
      <c r="F48" s="604"/>
      <c r="G48" s="605"/>
      <c r="H48" s="623"/>
      <c r="I48" s="639"/>
      <c r="J48" s="1579"/>
      <c r="K48" s="1587"/>
      <c r="L48" s="100"/>
    </row>
    <row r="49" spans="1:12" ht="15">
      <c r="A49" s="623"/>
      <c r="B49" s="623"/>
      <c r="C49" s="623"/>
      <c r="D49" s="624"/>
      <c r="E49" s="603"/>
      <c r="F49" s="604"/>
      <c r="G49" s="605"/>
      <c r="H49" s="623"/>
      <c r="I49" s="639"/>
      <c r="J49" s="1579"/>
      <c r="K49" s="1587"/>
      <c r="L49" s="100"/>
    </row>
    <row r="50" spans="1:12" ht="15">
      <c r="A50" s="623"/>
      <c r="B50" s="623"/>
      <c r="C50" s="623"/>
      <c r="D50" s="624"/>
      <c r="E50" s="603"/>
      <c r="F50" s="604"/>
      <c r="G50" s="605"/>
      <c r="H50" s="623"/>
      <c r="I50" s="639"/>
      <c r="J50" s="1579"/>
      <c r="K50" s="1587"/>
      <c r="L50" s="100"/>
    </row>
    <row r="51" spans="1:12" ht="15">
      <c r="A51" s="623"/>
      <c r="B51" s="623"/>
      <c r="C51" s="623"/>
      <c r="D51" s="624"/>
      <c r="E51" s="603"/>
      <c r="F51" s="604"/>
      <c r="G51" s="605"/>
      <c r="H51" s="623"/>
      <c r="I51" s="639"/>
      <c r="J51" s="1215"/>
      <c r="K51" s="1210"/>
      <c r="L51" s="100"/>
    </row>
    <row r="52" spans="1:12" ht="15">
      <c r="A52" s="623"/>
      <c r="B52" s="623"/>
      <c r="C52" s="623"/>
      <c r="D52" s="624"/>
      <c r="E52" s="603"/>
      <c r="F52" s="604"/>
      <c r="G52" s="605"/>
      <c r="H52" s="623"/>
      <c r="I52" s="639"/>
      <c r="J52" s="1215"/>
      <c r="K52" s="1210"/>
      <c r="L52" s="100"/>
    </row>
    <row r="53" spans="1:12" ht="15">
      <c r="A53" s="623"/>
      <c r="B53" s="623"/>
      <c r="C53" s="623"/>
      <c r="D53" s="624"/>
      <c r="E53" s="603"/>
      <c r="F53" s="604"/>
      <c r="G53" s="605"/>
      <c r="H53" s="623"/>
      <c r="I53" s="639"/>
      <c r="J53" s="1152"/>
      <c r="K53" s="1147"/>
      <c r="L53" s="100"/>
    </row>
    <row r="54" spans="1:12" ht="15">
      <c r="A54" s="623"/>
      <c r="B54" s="623"/>
      <c r="C54" s="623"/>
      <c r="D54" s="624"/>
      <c r="E54" s="603"/>
      <c r="F54" s="604"/>
      <c r="G54" s="605"/>
      <c r="H54" s="623"/>
      <c r="I54" s="639"/>
      <c r="J54" s="1152"/>
      <c r="K54" s="1147"/>
      <c r="L54" s="100"/>
    </row>
    <row r="55" spans="1:12" ht="15">
      <c r="A55" s="623"/>
      <c r="B55" s="623"/>
      <c r="C55" s="623"/>
      <c r="D55" s="624"/>
      <c r="E55" s="603"/>
      <c r="F55" s="604"/>
      <c r="G55" s="605"/>
      <c r="H55" s="623"/>
      <c r="I55" s="639"/>
      <c r="J55" s="632"/>
      <c r="K55" s="248"/>
      <c r="L55" s="100"/>
    </row>
    <row r="56" spans="1:12" ht="15">
      <c r="A56" s="632"/>
      <c r="B56" s="1126"/>
      <c r="C56" s="1126"/>
      <c r="D56" s="615"/>
      <c r="E56" s="616"/>
      <c r="F56" s="1144" t="s">
        <v>545</v>
      </c>
      <c r="G56" s="651">
        <f>SUM(G2:G55)-SUM(I2:I55)</f>
        <v>505.79000000001543</v>
      </c>
      <c r="H56" s="632"/>
      <c r="I56" s="639"/>
      <c r="J56" s="632"/>
      <c r="K56" s="106"/>
      <c r="L56" s="100"/>
    </row>
    <row r="64" spans="1:12">
      <c r="G64" s="360"/>
    </row>
  </sheetData>
  <mergeCells count="30">
    <mergeCell ref="A40:A41"/>
    <mergeCell ref="K37:K40"/>
    <mergeCell ref="J37:J40"/>
    <mergeCell ref="I37:I40"/>
    <mergeCell ref="F40:F41"/>
    <mergeCell ref="E40:E41"/>
    <mergeCell ref="D40:D41"/>
    <mergeCell ref="C40:C41"/>
    <mergeCell ref="B40:B41"/>
    <mergeCell ref="I4:I6"/>
    <mergeCell ref="K4:K6"/>
    <mergeCell ref="J4:J6"/>
    <mergeCell ref="A2:A4"/>
    <mergeCell ref="D2:D4"/>
    <mergeCell ref="F2:F4"/>
    <mergeCell ref="E2:E4"/>
    <mergeCell ref="C2:C4"/>
    <mergeCell ref="B2:B4"/>
    <mergeCell ref="A33:A34"/>
    <mergeCell ref="K12:K33"/>
    <mergeCell ref="J12:J33"/>
    <mergeCell ref="I12:I33"/>
    <mergeCell ref="F33:F34"/>
    <mergeCell ref="E33:E34"/>
    <mergeCell ref="D33:D34"/>
    <mergeCell ref="C33:C34"/>
    <mergeCell ref="B33:B34"/>
    <mergeCell ref="K34:K36"/>
    <mergeCell ref="J34:J36"/>
    <mergeCell ref="I34:I36"/>
  </mergeCells>
  <phoneticPr fontId="15" type="noConversion"/>
  <hyperlinks>
    <hyperlink ref="F56" location="汇总!A1" display="剩余欠款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N53"/>
  <sheetViews>
    <sheetView workbookViewId="0">
      <pane ySplit="1" topLeftCell="A23" activePane="bottomLeft" state="frozen"/>
      <selection pane="bottomLeft" activeCell="F48" sqref="F48"/>
    </sheetView>
  </sheetViews>
  <sheetFormatPr defaultRowHeight="14.25"/>
  <cols>
    <col min="1" max="1" width="12" style="295" bestFit="1" customWidth="1"/>
    <col min="2" max="2" width="9" style="295" bestFit="1" customWidth="1"/>
    <col min="3" max="3" width="22.75" style="295" bestFit="1" customWidth="1"/>
    <col min="4" max="4" width="15" style="295" bestFit="1" customWidth="1"/>
    <col min="5" max="5" width="11.625" style="295" customWidth="1"/>
    <col min="6" max="6" width="11.625" style="549" customWidth="1"/>
    <col min="7" max="7" width="17.375" style="294" bestFit="1" customWidth="1"/>
    <col min="8" max="8" width="16.75" style="294" bestFit="1" customWidth="1"/>
    <col min="9" max="9" width="14.125" style="295" bestFit="1" customWidth="1"/>
    <col min="10" max="10" width="12" style="295" bestFit="1" customWidth="1"/>
    <col min="11" max="11" width="11.375" style="295" bestFit="1" customWidth="1"/>
    <col min="12" max="12" width="27.25" style="295" bestFit="1" customWidth="1"/>
    <col min="13" max="16384" width="9" style="295"/>
  </cols>
  <sheetData>
    <row r="1" spans="1:14" s="164" customFormat="1" ht="18.75">
      <c r="A1" s="255" t="s">
        <v>5674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7" t="s">
        <v>4099</v>
      </c>
      <c r="I1" s="257" t="s">
        <v>3043</v>
      </c>
      <c r="J1" s="257" t="s">
        <v>4100</v>
      </c>
      <c r="K1" s="257" t="s">
        <v>541</v>
      </c>
      <c r="L1" s="257" t="s">
        <v>542</v>
      </c>
    </row>
    <row r="2" spans="1:14" ht="15">
      <c r="A2" s="1903">
        <v>44459</v>
      </c>
      <c r="B2" s="1918" t="s">
        <v>4125</v>
      </c>
      <c r="C2" s="1918" t="s">
        <v>4095</v>
      </c>
      <c r="D2" s="1909" t="s">
        <v>577</v>
      </c>
      <c r="E2" s="1923">
        <v>18530.29</v>
      </c>
      <c r="F2" s="1921">
        <v>0</v>
      </c>
      <c r="G2" s="1923">
        <f>18530.29-10000</f>
        <v>8530.2900000000009</v>
      </c>
      <c r="H2" s="632">
        <v>44548</v>
      </c>
      <c r="I2" s="718">
        <v>2000</v>
      </c>
      <c r="J2" s="632">
        <v>44580</v>
      </c>
      <c r="K2" s="591" t="s">
        <v>550</v>
      </c>
      <c r="L2" s="118"/>
    </row>
    <row r="3" spans="1:14" ht="15">
      <c r="A3" s="1904"/>
      <c r="B3" s="1919"/>
      <c r="C3" s="1919"/>
      <c r="D3" s="1910"/>
      <c r="E3" s="1961"/>
      <c r="F3" s="2037"/>
      <c r="G3" s="1961"/>
      <c r="H3" s="632">
        <v>44548</v>
      </c>
      <c r="I3" s="697">
        <v>5000</v>
      </c>
      <c r="J3" s="632">
        <v>44645</v>
      </c>
      <c r="K3" s="581" t="s">
        <v>544</v>
      </c>
      <c r="L3" s="118"/>
    </row>
    <row r="4" spans="1:14" ht="15">
      <c r="A4" s="1904"/>
      <c r="B4" s="1919"/>
      <c r="C4" s="1919"/>
      <c r="D4" s="1910"/>
      <c r="E4" s="1961"/>
      <c r="F4" s="2037"/>
      <c r="G4" s="1924"/>
      <c r="H4" s="632">
        <v>44548</v>
      </c>
      <c r="I4" s="697">
        <v>1530.29</v>
      </c>
      <c r="J4" s="632">
        <v>44657</v>
      </c>
      <c r="K4" s="591" t="s">
        <v>550</v>
      </c>
      <c r="L4" s="118"/>
    </row>
    <row r="5" spans="1:14" ht="15">
      <c r="A5" s="1904"/>
      <c r="B5" s="1919"/>
      <c r="C5" s="1919"/>
      <c r="D5" s="1910"/>
      <c r="E5" s="1961"/>
      <c r="F5" s="2037"/>
      <c r="G5" s="609">
        <v>2000</v>
      </c>
      <c r="H5" s="632">
        <v>44548</v>
      </c>
      <c r="I5" s="697">
        <v>2000</v>
      </c>
      <c r="J5" s="632">
        <v>44774</v>
      </c>
      <c r="K5" s="591" t="s">
        <v>550</v>
      </c>
      <c r="L5" s="118"/>
    </row>
    <row r="6" spans="1:14" ht="15">
      <c r="A6" s="1904"/>
      <c r="B6" s="1919"/>
      <c r="C6" s="1919"/>
      <c r="D6" s="1910"/>
      <c r="E6" s="1961"/>
      <c r="F6" s="2037"/>
      <c r="G6" s="609">
        <v>3000</v>
      </c>
      <c r="H6" s="632">
        <v>44548</v>
      </c>
      <c r="I6" s="697">
        <v>3000</v>
      </c>
      <c r="J6" s="632">
        <v>44799</v>
      </c>
      <c r="K6" s="591" t="s">
        <v>2885</v>
      </c>
      <c r="L6" s="118"/>
    </row>
    <row r="7" spans="1:14" ht="15">
      <c r="A7" s="1904"/>
      <c r="B7" s="1919"/>
      <c r="C7" s="1919"/>
      <c r="D7" s="1910"/>
      <c r="E7" s="1961"/>
      <c r="F7" s="2037"/>
      <c r="G7" s="609">
        <v>2000</v>
      </c>
      <c r="H7" s="632">
        <v>44548</v>
      </c>
      <c r="I7" s="697">
        <v>2000</v>
      </c>
      <c r="J7" s="632">
        <v>44823</v>
      </c>
      <c r="K7" s="591" t="s">
        <v>550</v>
      </c>
      <c r="L7" s="118"/>
    </row>
    <row r="8" spans="1:14" ht="15">
      <c r="A8" s="1905"/>
      <c r="B8" s="1920"/>
      <c r="C8" s="1920"/>
      <c r="D8" s="1911"/>
      <c r="E8" s="1924"/>
      <c r="F8" s="1922"/>
      <c r="G8" s="609">
        <f>18530.29-8530.29-2000-3000-2000</f>
        <v>3000</v>
      </c>
      <c r="H8" s="632">
        <v>44548</v>
      </c>
      <c r="I8" s="697">
        <v>3000</v>
      </c>
      <c r="J8" s="632">
        <v>44827</v>
      </c>
      <c r="K8" s="581" t="s">
        <v>3085</v>
      </c>
      <c r="L8" s="118"/>
    </row>
    <row r="9" spans="1:14" ht="15">
      <c r="A9" s="620">
        <v>44579</v>
      </c>
      <c r="B9" s="1124" t="s">
        <v>4125</v>
      </c>
      <c r="C9" s="1124" t="s">
        <v>4095</v>
      </c>
      <c r="D9" s="621" t="s">
        <v>578</v>
      </c>
      <c r="E9" s="613">
        <v>1785.98</v>
      </c>
      <c r="F9" s="614">
        <v>0</v>
      </c>
      <c r="G9" s="680">
        <v>1785.98</v>
      </c>
      <c r="H9" s="620">
        <v>44609</v>
      </c>
      <c r="I9" s="680">
        <v>1785.98</v>
      </c>
      <c r="J9" s="620">
        <v>44657</v>
      </c>
      <c r="K9" s="400" t="s">
        <v>550</v>
      </c>
      <c r="L9" s="118"/>
    </row>
    <row r="10" spans="1:14" ht="15">
      <c r="A10" s="620">
        <v>44630</v>
      </c>
      <c r="B10" s="1124" t="s">
        <v>4119</v>
      </c>
      <c r="C10" s="1124" t="s">
        <v>4095</v>
      </c>
      <c r="D10" s="621" t="s">
        <v>579</v>
      </c>
      <c r="E10" s="613">
        <v>537.27</v>
      </c>
      <c r="F10" s="614">
        <v>0</v>
      </c>
      <c r="G10" s="680">
        <v>537.27</v>
      </c>
      <c r="H10" s="620">
        <v>44631</v>
      </c>
      <c r="I10" s="695">
        <v>537.27</v>
      </c>
      <c r="J10" s="620">
        <v>44715</v>
      </c>
      <c r="K10" s="400" t="s">
        <v>550</v>
      </c>
      <c r="L10" s="118"/>
    </row>
    <row r="11" spans="1:14" ht="15">
      <c r="A11" s="632">
        <v>44645</v>
      </c>
      <c r="B11" s="1124" t="s">
        <v>4119</v>
      </c>
      <c r="C11" s="1124" t="s">
        <v>4095</v>
      </c>
      <c r="D11" s="615" t="s">
        <v>1799</v>
      </c>
      <c r="E11" s="609">
        <v>861</v>
      </c>
      <c r="F11" s="610">
        <v>0</v>
      </c>
      <c r="G11" s="718">
        <v>861</v>
      </c>
      <c r="H11" s="632">
        <v>44646</v>
      </c>
      <c r="I11" s="695">
        <v>861</v>
      </c>
      <c r="J11" s="620">
        <v>44715</v>
      </c>
      <c r="K11" s="400" t="s">
        <v>550</v>
      </c>
      <c r="L11" s="118"/>
    </row>
    <row r="12" spans="1:14" ht="15">
      <c r="A12" s="632">
        <v>44673</v>
      </c>
      <c r="B12" s="1124" t="s">
        <v>4119</v>
      </c>
      <c r="C12" s="1124" t="s">
        <v>4095</v>
      </c>
      <c r="D12" s="615" t="s">
        <v>1976</v>
      </c>
      <c r="E12" s="609">
        <v>1481.88</v>
      </c>
      <c r="F12" s="610">
        <v>0</v>
      </c>
      <c r="G12" s="718">
        <v>1481.88</v>
      </c>
      <c r="H12" s="632">
        <v>44703</v>
      </c>
      <c r="I12" s="695">
        <v>1481.88</v>
      </c>
      <c r="J12" s="620">
        <v>44761</v>
      </c>
      <c r="K12" s="478" t="s">
        <v>550</v>
      </c>
      <c r="L12" s="118"/>
    </row>
    <row r="13" spans="1:14" ht="15">
      <c r="A13" s="632">
        <v>44736</v>
      </c>
      <c r="B13" s="1124" t="s">
        <v>4119</v>
      </c>
      <c r="C13" s="1124" t="s">
        <v>4095</v>
      </c>
      <c r="D13" s="615" t="s">
        <v>2341</v>
      </c>
      <c r="E13" s="609">
        <v>743.4</v>
      </c>
      <c r="F13" s="610">
        <v>0</v>
      </c>
      <c r="G13" s="718">
        <v>743.4</v>
      </c>
      <c r="H13" s="632">
        <v>44737</v>
      </c>
      <c r="I13" s="695">
        <v>743.4</v>
      </c>
      <c r="J13" s="620">
        <v>44823</v>
      </c>
      <c r="K13" s="589" t="s">
        <v>550</v>
      </c>
      <c r="L13" s="118"/>
    </row>
    <row r="14" spans="1:14" ht="15">
      <c r="A14" s="632">
        <v>44775</v>
      </c>
      <c r="B14" s="1124" t="s">
        <v>2518</v>
      </c>
      <c r="C14" s="1124" t="s">
        <v>4095</v>
      </c>
      <c r="D14" s="615" t="s">
        <v>2617</v>
      </c>
      <c r="E14" s="609">
        <v>457</v>
      </c>
      <c r="F14" s="610">
        <v>0</v>
      </c>
      <c r="G14" s="718">
        <v>457</v>
      </c>
      <c r="H14" s="632">
        <v>44776</v>
      </c>
      <c r="I14" s="2081">
        <v>1130.8800000000001</v>
      </c>
      <c r="J14" s="1903">
        <v>44828</v>
      </c>
      <c r="K14" s="1935" t="s">
        <v>4899</v>
      </c>
      <c r="L14" s="118"/>
    </row>
    <row r="15" spans="1:14" ht="15">
      <c r="A15" s="632">
        <v>44775</v>
      </c>
      <c r="B15" s="1124" t="s">
        <v>2518</v>
      </c>
      <c r="C15" s="1124" t="s">
        <v>4095</v>
      </c>
      <c r="D15" s="615" t="s">
        <v>2618</v>
      </c>
      <c r="E15" s="609">
        <v>673.88</v>
      </c>
      <c r="F15" s="610">
        <v>0</v>
      </c>
      <c r="G15" s="718">
        <v>673.88</v>
      </c>
      <c r="H15" s="632">
        <v>44776</v>
      </c>
      <c r="I15" s="2082"/>
      <c r="J15" s="1905"/>
      <c r="K15" s="1947"/>
      <c r="L15" s="118"/>
    </row>
    <row r="16" spans="1:14" ht="15">
      <c r="A16" s="1903">
        <v>44823</v>
      </c>
      <c r="B16" s="1918" t="s">
        <v>2644</v>
      </c>
      <c r="C16" s="1918" t="s">
        <v>4095</v>
      </c>
      <c r="D16" s="1909" t="s">
        <v>3064</v>
      </c>
      <c r="E16" s="1923">
        <v>1488.6</v>
      </c>
      <c r="F16" s="1927">
        <v>0</v>
      </c>
      <c r="G16" s="718">
        <v>1000</v>
      </c>
      <c r="H16" s="931">
        <v>44824</v>
      </c>
      <c r="I16" s="955">
        <v>1000</v>
      </c>
      <c r="J16" s="620">
        <v>44886</v>
      </c>
      <c r="K16" s="920" t="s">
        <v>550</v>
      </c>
      <c r="L16" s="118"/>
      <c r="M16" s="190"/>
      <c r="N16" s="190"/>
    </row>
    <row r="17" spans="1:14" ht="15">
      <c r="A17" s="1905"/>
      <c r="B17" s="1920"/>
      <c r="C17" s="1920"/>
      <c r="D17" s="1911"/>
      <c r="E17" s="1924"/>
      <c r="F17" s="1928"/>
      <c r="G17" s="718">
        <f>1488.6-G16</f>
        <v>488.59999999999991</v>
      </c>
      <c r="H17" s="931">
        <v>44824</v>
      </c>
      <c r="I17" s="2081">
        <v>1426.53</v>
      </c>
      <c r="J17" s="1918">
        <v>44894</v>
      </c>
      <c r="K17" s="1968" t="s">
        <v>3651</v>
      </c>
      <c r="L17" s="118"/>
      <c r="M17" s="190"/>
      <c r="N17" s="190"/>
    </row>
    <row r="18" spans="1:14" ht="15">
      <c r="A18" s="931">
        <v>44840</v>
      </c>
      <c r="B18" s="1124" t="s">
        <v>2644</v>
      </c>
      <c r="C18" s="1124" t="s">
        <v>4095</v>
      </c>
      <c r="D18" s="936" t="s">
        <v>3225</v>
      </c>
      <c r="E18" s="950">
        <v>857.93</v>
      </c>
      <c r="F18" s="930">
        <v>0</v>
      </c>
      <c r="G18" s="718">
        <v>857.93</v>
      </c>
      <c r="H18" s="931">
        <v>44841</v>
      </c>
      <c r="I18" s="2120"/>
      <c r="J18" s="1919"/>
      <c r="K18" s="1962"/>
      <c r="L18" s="118"/>
      <c r="M18" s="190"/>
      <c r="N18" s="190"/>
    </row>
    <row r="19" spans="1:14" ht="15">
      <c r="A19" s="931">
        <v>44862</v>
      </c>
      <c r="B19" s="1124" t="s">
        <v>2644</v>
      </c>
      <c r="C19" s="1124" t="s">
        <v>4095</v>
      </c>
      <c r="D19" s="936" t="s">
        <v>3366</v>
      </c>
      <c r="E19" s="950">
        <v>80</v>
      </c>
      <c r="F19" s="930">
        <v>0</v>
      </c>
      <c r="G19" s="718">
        <v>80</v>
      </c>
      <c r="H19" s="931">
        <v>44863</v>
      </c>
      <c r="I19" s="2082"/>
      <c r="J19" s="1920"/>
      <c r="K19" s="1957"/>
      <c r="L19" s="118"/>
      <c r="M19" s="190"/>
      <c r="N19" s="190"/>
    </row>
    <row r="20" spans="1:14" ht="15">
      <c r="A20" s="1258">
        <v>44862</v>
      </c>
      <c r="B20" s="1258" t="s">
        <v>2644</v>
      </c>
      <c r="C20" s="1258" t="s">
        <v>4095</v>
      </c>
      <c r="D20" s="1262" t="s">
        <v>3367</v>
      </c>
      <c r="E20" s="1264">
        <v>950.48</v>
      </c>
      <c r="F20" s="1257">
        <v>0</v>
      </c>
      <c r="G20" s="718">
        <v>950.48</v>
      </c>
      <c r="H20" s="1258">
        <v>44863</v>
      </c>
      <c r="I20" s="2114">
        <v>0</v>
      </c>
      <c r="J20" s="1903">
        <v>45007</v>
      </c>
      <c r="K20" s="1935" t="s">
        <v>4590</v>
      </c>
      <c r="L20" s="118"/>
      <c r="M20" s="190"/>
      <c r="N20" s="190"/>
    </row>
    <row r="21" spans="1:14" ht="15">
      <c r="A21" s="1903">
        <v>44869.000497685185</v>
      </c>
      <c r="B21" s="1903" t="s">
        <v>2644</v>
      </c>
      <c r="C21" s="1903" t="s">
        <v>4095</v>
      </c>
      <c r="D21" s="1909" t="s">
        <v>3413</v>
      </c>
      <c r="E21" s="1923">
        <v>-952.21</v>
      </c>
      <c r="F21" s="1921">
        <v>0</v>
      </c>
      <c r="G21" s="718">
        <v>-950.48</v>
      </c>
      <c r="H21" s="1258" t="s">
        <v>1529</v>
      </c>
      <c r="I21" s="2115"/>
      <c r="J21" s="1905"/>
      <c r="K21" s="1947"/>
      <c r="L21" s="118"/>
      <c r="M21" s="190"/>
      <c r="N21" s="190"/>
    </row>
    <row r="22" spans="1:14" ht="15">
      <c r="A22" s="1905"/>
      <c r="B22" s="1905"/>
      <c r="C22" s="1905"/>
      <c r="D22" s="1911"/>
      <c r="E22" s="1924"/>
      <c r="F22" s="1922"/>
      <c r="G22" s="718">
        <f>-952.21+950.48</f>
        <v>-1.7300000000000182</v>
      </c>
      <c r="H22" s="1258"/>
      <c r="I22" s="1261">
        <v>-1.7300000000000182</v>
      </c>
      <c r="J22" s="1249">
        <v>45007</v>
      </c>
      <c r="K22" s="1252" t="s">
        <v>4590</v>
      </c>
      <c r="L22" s="118"/>
      <c r="M22" s="190"/>
      <c r="N22" s="190"/>
    </row>
    <row r="23" spans="1:14" ht="15">
      <c r="A23" s="1339">
        <v>44882</v>
      </c>
      <c r="B23" s="1339" t="s">
        <v>2644</v>
      </c>
      <c r="C23" s="1339" t="s">
        <v>4095</v>
      </c>
      <c r="D23" s="1341" t="s">
        <v>3488</v>
      </c>
      <c r="E23" s="1350">
        <v>80</v>
      </c>
      <c r="F23" s="1338">
        <v>0</v>
      </c>
      <c r="G23" s="718">
        <v>80</v>
      </c>
      <c r="H23" s="1339">
        <v>44883</v>
      </c>
      <c r="I23" s="2074">
        <v>2222.5300000000002</v>
      </c>
      <c r="J23" s="1903">
        <v>45007</v>
      </c>
      <c r="K23" s="1935" t="s">
        <v>4589</v>
      </c>
      <c r="L23" s="118"/>
      <c r="M23" s="190"/>
      <c r="N23" s="190"/>
    </row>
    <row r="24" spans="1:14" ht="15">
      <c r="A24" s="1339">
        <v>44886</v>
      </c>
      <c r="B24" s="1339" t="s">
        <v>2644</v>
      </c>
      <c r="C24" s="1339" t="s">
        <v>4095</v>
      </c>
      <c r="D24" s="1341" t="s">
        <v>3538</v>
      </c>
      <c r="E24" s="1350">
        <v>1926.53</v>
      </c>
      <c r="F24" s="1338">
        <v>0</v>
      </c>
      <c r="G24" s="718">
        <v>1926.53</v>
      </c>
      <c r="H24" s="1339">
        <v>44887</v>
      </c>
      <c r="I24" s="2116"/>
      <c r="J24" s="1904"/>
      <c r="K24" s="1950"/>
      <c r="L24" s="118"/>
      <c r="M24" s="190"/>
      <c r="N24" s="190"/>
    </row>
    <row r="25" spans="1:14" ht="15">
      <c r="A25" s="1339">
        <v>44907</v>
      </c>
      <c r="B25" s="1339" t="s">
        <v>2644</v>
      </c>
      <c r="C25" s="1339" t="s">
        <v>4095</v>
      </c>
      <c r="D25" s="1341" t="s">
        <v>3707</v>
      </c>
      <c r="E25" s="1350">
        <v>216</v>
      </c>
      <c r="F25" s="1338">
        <v>0</v>
      </c>
      <c r="G25" s="718">
        <v>216</v>
      </c>
      <c r="H25" s="1339">
        <v>44908</v>
      </c>
      <c r="I25" s="2075"/>
      <c r="J25" s="1905"/>
      <c r="K25" s="1947"/>
      <c r="L25" s="118"/>
      <c r="M25" s="190"/>
      <c r="N25" s="190"/>
    </row>
    <row r="26" spans="1:14" ht="15">
      <c r="A26" s="1339">
        <v>44963.000497685185</v>
      </c>
      <c r="B26" s="1339" t="s">
        <v>2644</v>
      </c>
      <c r="C26" s="1339" t="s">
        <v>4095</v>
      </c>
      <c r="D26" s="1341" t="s">
        <v>4083</v>
      </c>
      <c r="E26" s="1350">
        <v>1256.29</v>
      </c>
      <c r="F26" s="1338">
        <v>0</v>
      </c>
      <c r="G26" s="718">
        <v>1256.29</v>
      </c>
      <c r="H26" s="1339">
        <v>45023.000497685185</v>
      </c>
      <c r="I26" s="2074">
        <v>1834.09</v>
      </c>
      <c r="J26" s="1903">
        <v>45041</v>
      </c>
      <c r="K26" s="1968" t="s">
        <v>5675</v>
      </c>
      <c r="L26" s="118"/>
      <c r="M26" s="190"/>
      <c r="N26" s="190"/>
    </row>
    <row r="27" spans="1:14" ht="15">
      <c r="A27" s="1339">
        <v>44964.000497685185</v>
      </c>
      <c r="B27" s="1339" t="s">
        <v>2644</v>
      </c>
      <c r="C27" s="1339" t="s">
        <v>4095</v>
      </c>
      <c r="D27" s="1341" t="s">
        <v>4058</v>
      </c>
      <c r="E27" s="1350">
        <v>577.79999999999995</v>
      </c>
      <c r="F27" s="1338">
        <v>0</v>
      </c>
      <c r="G27" s="718">
        <v>577.79999999999995</v>
      </c>
      <c r="H27" s="1339">
        <v>45024.000497685185</v>
      </c>
      <c r="I27" s="2075"/>
      <c r="J27" s="1905"/>
      <c r="K27" s="1957"/>
      <c r="L27" s="118"/>
      <c r="M27" s="190"/>
      <c r="N27" s="190"/>
    </row>
    <row r="28" spans="1:14" ht="15">
      <c r="A28" s="1549">
        <v>45001</v>
      </c>
      <c r="B28" s="1549" t="s">
        <v>2644</v>
      </c>
      <c r="C28" s="1549" t="s">
        <v>4095</v>
      </c>
      <c r="D28" s="1551" t="s">
        <v>4505</v>
      </c>
      <c r="E28" s="1555">
        <v>1409.78</v>
      </c>
      <c r="F28" s="1548">
        <v>0</v>
      </c>
      <c r="G28" s="718">
        <v>1409.78</v>
      </c>
      <c r="H28" s="1549">
        <v>45061</v>
      </c>
      <c r="I28" s="2346">
        <v>2046.86</v>
      </c>
      <c r="J28" s="1918">
        <v>45126</v>
      </c>
      <c r="K28" s="1968" t="s">
        <v>5676</v>
      </c>
      <c r="L28" s="118"/>
    </row>
    <row r="29" spans="1:14" ht="15">
      <c r="A29" s="1549">
        <v>45002</v>
      </c>
      <c r="B29" s="1549" t="s">
        <v>2644</v>
      </c>
      <c r="C29" s="1549" t="s">
        <v>4095</v>
      </c>
      <c r="D29" s="1551" t="s">
        <v>4506</v>
      </c>
      <c r="E29" s="1555">
        <v>844.8</v>
      </c>
      <c r="F29" s="1548">
        <v>0</v>
      </c>
      <c r="G29" s="718">
        <v>844.8</v>
      </c>
      <c r="H29" s="1549">
        <v>45062</v>
      </c>
      <c r="I29" s="2347"/>
      <c r="J29" s="1919"/>
      <c r="K29" s="1962"/>
      <c r="L29" s="118"/>
    </row>
    <row r="30" spans="1:14" ht="15">
      <c r="A30" s="1549">
        <v>45030.000497685185</v>
      </c>
      <c r="B30" s="1549" t="s">
        <v>2644</v>
      </c>
      <c r="C30" s="1549" t="s">
        <v>4095</v>
      </c>
      <c r="D30" s="1551" t="s">
        <v>4727</v>
      </c>
      <c r="E30" s="1555">
        <v>437.81</v>
      </c>
      <c r="F30" s="1548">
        <v>0</v>
      </c>
      <c r="G30" s="718">
        <v>437.81</v>
      </c>
      <c r="H30" s="1549">
        <v>45090</v>
      </c>
      <c r="I30" s="2347"/>
      <c r="J30" s="1919"/>
      <c r="K30" s="1962"/>
      <c r="L30" s="118"/>
    </row>
    <row r="31" spans="1:14" ht="15">
      <c r="A31" s="1549">
        <v>45040</v>
      </c>
      <c r="B31" s="1549" t="s">
        <v>2644</v>
      </c>
      <c r="C31" s="1549" t="s">
        <v>4095</v>
      </c>
      <c r="D31" s="1551" t="s">
        <v>4876</v>
      </c>
      <c r="E31" s="1555">
        <v>-208.69</v>
      </c>
      <c r="F31" s="1548">
        <v>0</v>
      </c>
      <c r="G31" s="718">
        <v>-208.69</v>
      </c>
      <c r="H31" s="1549"/>
      <c r="I31" s="2347"/>
      <c r="J31" s="1919"/>
      <c r="K31" s="1962"/>
      <c r="L31" s="118"/>
    </row>
    <row r="32" spans="1:14" ht="15">
      <c r="A32" s="1549">
        <v>45040</v>
      </c>
      <c r="B32" s="1549" t="s">
        <v>2644</v>
      </c>
      <c r="C32" s="1549" t="s">
        <v>4095</v>
      </c>
      <c r="D32" s="1551" t="s">
        <v>4877</v>
      </c>
      <c r="E32" s="1555">
        <v>-33.299999999999997</v>
      </c>
      <c r="F32" s="1548">
        <v>0</v>
      </c>
      <c r="G32" s="718">
        <v>-33.299999999999997</v>
      </c>
      <c r="H32" s="1549"/>
      <c r="I32" s="2347"/>
      <c r="J32" s="1919"/>
      <c r="K32" s="1962"/>
      <c r="L32" s="118"/>
    </row>
    <row r="33" spans="1:12" ht="15">
      <c r="A33" s="1549">
        <v>45040</v>
      </c>
      <c r="B33" s="1549" t="s">
        <v>2644</v>
      </c>
      <c r="C33" s="1549" t="s">
        <v>4095</v>
      </c>
      <c r="D33" s="1551" t="s">
        <v>4878</v>
      </c>
      <c r="E33" s="1555">
        <v>-403.54</v>
      </c>
      <c r="F33" s="1548">
        <v>0</v>
      </c>
      <c r="G33" s="718">
        <v>-403.54</v>
      </c>
      <c r="H33" s="1549"/>
      <c r="I33" s="2348"/>
      <c r="J33" s="1920"/>
      <c r="K33" s="1957"/>
      <c r="L33" s="118"/>
    </row>
    <row r="34" spans="1:12" ht="15">
      <c r="A34" s="1657">
        <v>45085</v>
      </c>
      <c r="B34" s="1657" t="s">
        <v>2644</v>
      </c>
      <c r="C34" s="1657" t="s">
        <v>4095</v>
      </c>
      <c r="D34" s="1661" t="s">
        <v>5332</v>
      </c>
      <c r="E34" s="1666">
        <v>1025.03</v>
      </c>
      <c r="F34" s="1656">
        <v>0</v>
      </c>
      <c r="G34" s="718">
        <v>1025.03</v>
      </c>
      <c r="H34" s="1657">
        <v>45145</v>
      </c>
      <c r="I34" s="2074">
        <v>1002.77</v>
      </c>
      <c r="J34" s="1903">
        <v>45166</v>
      </c>
      <c r="K34" s="1938" t="s">
        <v>5971</v>
      </c>
      <c r="L34" s="118"/>
    </row>
    <row r="35" spans="1:12" ht="15">
      <c r="A35" s="1657">
        <v>45086</v>
      </c>
      <c r="B35" s="1657" t="s">
        <v>2644</v>
      </c>
      <c r="C35" s="1657" t="s">
        <v>4095</v>
      </c>
      <c r="D35" s="1661" t="s">
        <v>5333</v>
      </c>
      <c r="E35" s="1666">
        <v>-7.88</v>
      </c>
      <c r="F35" s="1656">
        <v>0</v>
      </c>
      <c r="G35" s="718">
        <v>-7.88</v>
      </c>
      <c r="H35" s="1657"/>
      <c r="I35" s="2116"/>
      <c r="J35" s="1904"/>
      <c r="K35" s="1950"/>
      <c r="L35" s="118"/>
    </row>
    <row r="36" spans="1:12" ht="15">
      <c r="A36" s="1657">
        <v>45086</v>
      </c>
      <c r="B36" s="1657" t="s">
        <v>2644</v>
      </c>
      <c r="C36" s="1657" t="s">
        <v>4095</v>
      </c>
      <c r="D36" s="1661" t="s">
        <v>5334</v>
      </c>
      <c r="E36" s="1666">
        <v>-14.38</v>
      </c>
      <c r="F36" s="1656">
        <v>0</v>
      </c>
      <c r="G36" s="718">
        <v>-14.38</v>
      </c>
      <c r="H36" s="1657"/>
      <c r="I36" s="2075"/>
      <c r="J36" s="1905"/>
      <c r="K36" s="1947"/>
      <c r="L36" s="118"/>
    </row>
    <row r="37" spans="1:12" ht="15">
      <c r="A37" s="1856">
        <v>45167</v>
      </c>
      <c r="B37" s="1856" t="s">
        <v>2644</v>
      </c>
      <c r="C37" s="1856" t="s">
        <v>4095</v>
      </c>
      <c r="D37" s="1858" t="s">
        <v>5955</v>
      </c>
      <c r="E37" s="1866">
        <v>1784.7</v>
      </c>
      <c r="F37" s="1855">
        <v>0</v>
      </c>
      <c r="G37" s="718">
        <v>1784.7</v>
      </c>
      <c r="H37" s="1856">
        <v>45227.000497685185</v>
      </c>
      <c r="I37" s="2074">
        <v>881.92</v>
      </c>
      <c r="J37" s="1918">
        <v>45247</v>
      </c>
      <c r="K37" s="1956" t="s">
        <v>6619</v>
      </c>
      <c r="L37" s="118"/>
    </row>
    <row r="38" spans="1:12" ht="15">
      <c r="A38" s="1856">
        <v>45198</v>
      </c>
      <c r="B38" s="1856" t="s">
        <v>2644</v>
      </c>
      <c r="C38" s="1856" t="s">
        <v>4095</v>
      </c>
      <c r="D38" s="1858" t="s">
        <v>6239</v>
      </c>
      <c r="E38" s="1866">
        <v>587.70000000000005</v>
      </c>
      <c r="F38" s="1855">
        <v>0</v>
      </c>
      <c r="G38" s="718">
        <v>587.70000000000005</v>
      </c>
      <c r="H38" s="1856">
        <v>45257</v>
      </c>
      <c r="I38" s="2116"/>
      <c r="J38" s="1919"/>
      <c r="K38" s="1962"/>
      <c r="L38" s="118"/>
    </row>
    <row r="39" spans="1:12" ht="15">
      <c r="A39" s="1856">
        <v>45222</v>
      </c>
      <c r="B39" s="1856" t="s">
        <v>2644</v>
      </c>
      <c r="C39" s="1856" t="s">
        <v>4095</v>
      </c>
      <c r="D39" s="1858" t="s">
        <v>6426</v>
      </c>
      <c r="E39" s="1866">
        <v>-208.8</v>
      </c>
      <c r="F39" s="1855">
        <v>0</v>
      </c>
      <c r="G39" s="718">
        <v>-208.8</v>
      </c>
      <c r="H39" s="1856"/>
      <c r="I39" s="2116"/>
      <c r="J39" s="1919"/>
      <c r="K39" s="1962"/>
      <c r="L39" s="118"/>
    </row>
    <row r="40" spans="1:12" ht="15">
      <c r="A40" s="1856">
        <v>45222</v>
      </c>
      <c r="B40" s="1856" t="s">
        <v>2644</v>
      </c>
      <c r="C40" s="1856" t="s">
        <v>4095</v>
      </c>
      <c r="D40" s="1858" t="s">
        <v>6427</v>
      </c>
      <c r="E40" s="1866">
        <v>-119.48</v>
      </c>
      <c r="F40" s="1855">
        <v>0</v>
      </c>
      <c r="G40" s="718">
        <v>-119.48</v>
      </c>
      <c r="H40" s="1856"/>
      <c r="I40" s="2116"/>
      <c r="J40" s="1919"/>
      <c r="K40" s="1962"/>
      <c r="L40" s="118"/>
    </row>
    <row r="41" spans="1:12" ht="15">
      <c r="A41" s="1856">
        <v>45222</v>
      </c>
      <c r="B41" s="1856" t="s">
        <v>2644</v>
      </c>
      <c r="C41" s="1856" t="s">
        <v>4095</v>
      </c>
      <c r="D41" s="1858" t="s">
        <v>6428</v>
      </c>
      <c r="E41" s="1866">
        <v>-1162.2</v>
      </c>
      <c r="F41" s="1855">
        <v>0</v>
      </c>
      <c r="G41" s="718">
        <v>-1162.2</v>
      </c>
      <c r="H41" s="1856"/>
      <c r="I41" s="2075"/>
      <c r="J41" s="1920"/>
      <c r="K41" s="1957"/>
      <c r="L41" s="118"/>
    </row>
    <row r="42" spans="1:12" ht="15">
      <c r="A42" s="623"/>
      <c r="B42" s="623"/>
      <c r="C42" s="623"/>
      <c r="D42" s="624"/>
      <c r="E42" s="603"/>
      <c r="F42" s="604"/>
      <c r="G42" s="720"/>
      <c r="H42" s="623"/>
      <c r="I42" s="695"/>
      <c r="J42" s="1655"/>
      <c r="K42" s="1654"/>
      <c r="L42" s="118"/>
    </row>
    <row r="43" spans="1:12" ht="15">
      <c r="A43" s="623"/>
      <c r="B43" s="623"/>
      <c r="C43" s="623"/>
      <c r="D43" s="624"/>
      <c r="E43" s="603"/>
      <c r="F43" s="604"/>
      <c r="G43" s="720"/>
      <c r="H43" s="623"/>
      <c r="I43" s="695"/>
      <c r="J43" s="1454"/>
      <c r="K43" s="1451"/>
      <c r="L43" s="118"/>
    </row>
    <row r="44" spans="1:12" ht="15">
      <c r="A44" s="623"/>
      <c r="B44" s="623"/>
      <c r="C44" s="623"/>
      <c r="D44" s="624"/>
      <c r="E44" s="603"/>
      <c r="F44" s="604"/>
      <c r="G44" s="720"/>
      <c r="H44" s="623"/>
      <c r="I44" s="695"/>
      <c r="J44" s="1454"/>
      <c r="K44" s="1451"/>
      <c r="L44" s="118"/>
    </row>
    <row r="45" spans="1:12" ht="15">
      <c r="A45" s="623"/>
      <c r="B45" s="623"/>
      <c r="C45" s="623"/>
      <c r="D45" s="624"/>
      <c r="E45" s="603"/>
      <c r="F45" s="604"/>
      <c r="G45" s="720"/>
      <c r="H45" s="623"/>
      <c r="I45" s="695"/>
      <c r="J45" s="1454"/>
      <c r="K45" s="1451"/>
      <c r="L45" s="118"/>
    </row>
    <row r="46" spans="1:12" ht="15">
      <c r="A46" s="623"/>
      <c r="B46" s="623"/>
      <c r="C46" s="623"/>
      <c r="D46" s="624"/>
      <c r="E46" s="603"/>
      <c r="F46" s="604"/>
      <c r="G46" s="720"/>
      <c r="H46" s="623"/>
      <c r="I46" s="695"/>
      <c r="J46" s="1233"/>
      <c r="K46" s="1334"/>
      <c r="L46" s="118"/>
    </row>
    <row r="47" spans="1:12" ht="15">
      <c r="A47" s="623"/>
      <c r="B47" s="623"/>
      <c r="C47" s="623"/>
      <c r="D47" s="624"/>
      <c r="E47" s="603"/>
      <c r="F47" s="604"/>
      <c r="G47" s="720"/>
      <c r="H47" s="623"/>
      <c r="I47" s="695"/>
      <c r="J47" s="620"/>
      <c r="K47" s="1334"/>
      <c r="L47" s="118"/>
    </row>
    <row r="48" spans="1:12" ht="15">
      <c r="A48" s="623"/>
      <c r="B48" s="623"/>
      <c r="C48" s="623"/>
      <c r="D48" s="621"/>
      <c r="E48" s="619"/>
      <c r="F48" s="1144" t="s">
        <v>545</v>
      </c>
      <c r="G48" s="704">
        <f>SUM(G2:G47)-SUM(I2:I47)</f>
        <v>0</v>
      </c>
      <c r="H48" s="623"/>
      <c r="I48" s="695"/>
      <c r="J48" s="620"/>
      <c r="K48" s="1334"/>
      <c r="L48" s="118"/>
    </row>
    <row r="49" spans="4:6">
      <c r="D49" s="237"/>
      <c r="E49" s="237"/>
      <c r="F49" s="512"/>
    </row>
    <row r="50" spans="4:6">
      <c r="D50" s="237"/>
      <c r="E50" s="237"/>
      <c r="F50" s="512"/>
    </row>
    <row r="51" spans="4:6">
      <c r="D51" s="237"/>
      <c r="F51" s="512"/>
    </row>
    <row r="52" spans="4:6">
      <c r="F52" s="512"/>
    </row>
    <row r="53" spans="4:6">
      <c r="F53" s="512"/>
    </row>
  </sheetData>
  <mergeCells count="43">
    <mergeCell ref="K37:K41"/>
    <mergeCell ref="J37:J41"/>
    <mergeCell ref="I37:I41"/>
    <mergeCell ref="A21:A22"/>
    <mergeCell ref="K20:K21"/>
    <mergeCell ref="J20:J21"/>
    <mergeCell ref="I20:I21"/>
    <mergeCell ref="F21:F22"/>
    <mergeCell ref="E21:E22"/>
    <mergeCell ref="D21:D22"/>
    <mergeCell ref="C21:C22"/>
    <mergeCell ref="B21:B22"/>
    <mergeCell ref="A16:A17"/>
    <mergeCell ref="D2:D8"/>
    <mergeCell ref="A2:A8"/>
    <mergeCell ref="F2:F8"/>
    <mergeCell ref="E2:E8"/>
    <mergeCell ref="F16:F17"/>
    <mergeCell ref="E16:E17"/>
    <mergeCell ref="C2:C8"/>
    <mergeCell ref="B2:B8"/>
    <mergeCell ref="C16:C17"/>
    <mergeCell ref="B16:B17"/>
    <mergeCell ref="G2:G4"/>
    <mergeCell ref="D16:D17"/>
    <mergeCell ref="K17:K19"/>
    <mergeCell ref="J17:J19"/>
    <mergeCell ref="I17:I19"/>
    <mergeCell ref="K14:K15"/>
    <mergeCell ref="J14:J15"/>
    <mergeCell ref="I14:I15"/>
    <mergeCell ref="K34:K36"/>
    <mergeCell ref="J34:J36"/>
    <mergeCell ref="I34:I36"/>
    <mergeCell ref="J23:J25"/>
    <mergeCell ref="I23:I25"/>
    <mergeCell ref="K28:K33"/>
    <mergeCell ref="J28:J33"/>
    <mergeCell ref="I28:I33"/>
    <mergeCell ref="K26:K27"/>
    <mergeCell ref="J26:J27"/>
    <mergeCell ref="I26:I27"/>
    <mergeCell ref="K23:K25"/>
  </mergeCells>
  <phoneticPr fontId="15" type="noConversion"/>
  <hyperlinks>
    <hyperlink ref="F48" location="汇总!A1" display="剩余欠款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N81"/>
  <sheetViews>
    <sheetView workbookViewId="0">
      <pane ySplit="1" topLeftCell="A56" activePane="bottomLeft" state="frozen"/>
      <selection pane="bottomLeft" activeCell="F81" sqref="F81"/>
    </sheetView>
  </sheetViews>
  <sheetFormatPr defaultColWidth="8.75" defaultRowHeight="13.5"/>
  <cols>
    <col min="1" max="1" width="11.625" style="222" bestFit="1" customWidth="1"/>
    <col min="2" max="2" width="8.875" style="222" bestFit="1" customWidth="1"/>
    <col min="3" max="3" width="24.75" style="222" bestFit="1" customWidth="1"/>
    <col min="4" max="4" width="15" style="209" bestFit="1" customWidth="1"/>
    <col min="5" max="5" width="11.875" style="551" customWidth="1"/>
    <col min="6" max="6" width="13.25" style="550" bestFit="1" customWidth="1"/>
    <col min="7" max="7" width="11.375" style="223" bestFit="1" customWidth="1"/>
    <col min="8" max="8" width="16.625" style="223" bestFit="1" customWidth="1"/>
    <col min="9" max="9" width="14" style="223" bestFit="1" customWidth="1"/>
    <col min="10" max="10" width="11.625" style="209" bestFit="1" customWidth="1"/>
    <col min="11" max="11" width="15.125" style="209" bestFit="1" customWidth="1"/>
    <col min="12" max="12" width="53.125" style="209" bestFit="1" customWidth="1"/>
    <col min="13" max="16384" width="8.75" style="209"/>
  </cols>
  <sheetData>
    <row r="1" spans="1:12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65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7" t="s">
        <v>542</v>
      </c>
    </row>
    <row r="2" spans="1:12" ht="15.75">
      <c r="A2" s="620">
        <v>44508</v>
      </c>
      <c r="B2" s="1124" t="s">
        <v>1765</v>
      </c>
      <c r="C2" s="1124" t="s">
        <v>4416</v>
      </c>
      <c r="D2" s="621" t="s">
        <v>1800</v>
      </c>
      <c r="E2" s="639">
        <v>2137.75</v>
      </c>
      <c r="F2" s="627">
        <v>0</v>
      </c>
      <c r="G2" s="639">
        <v>2137.75</v>
      </c>
      <c r="H2" s="620">
        <v>44509</v>
      </c>
      <c r="I2" s="639">
        <v>2137.75</v>
      </c>
      <c r="J2" s="620">
        <v>44553</v>
      </c>
      <c r="K2" s="253" t="s">
        <v>550</v>
      </c>
      <c r="L2" s="220"/>
    </row>
    <row r="3" spans="1:12" ht="15.75">
      <c r="A3" s="620">
        <v>44544</v>
      </c>
      <c r="B3" s="1124" t="s">
        <v>1765</v>
      </c>
      <c r="C3" s="1124" t="s">
        <v>4416</v>
      </c>
      <c r="D3" s="621" t="s">
        <v>1801</v>
      </c>
      <c r="E3" s="639">
        <v>3024.65</v>
      </c>
      <c r="F3" s="627">
        <v>0</v>
      </c>
      <c r="G3" s="639">
        <v>3024.65</v>
      </c>
      <c r="H3" s="620">
        <v>44574</v>
      </c>
      <c r="I3" s="639">
        <v>3024.65</v>
      </c>
      <c r="J3" s="620">
        <v>44641</v>
      </c>
      <c r="K3" s="253" t="s">
        <v>550</v>
      </c>
      <c r="L3" s="220"/>
    </row>
    <row r="4" spans="1:12" ht="15.75">
      <c r="A4" s="620">
        <v>44585</v>
      </c>
      <c r="B4" s="1124" t="s">
        <v>1765</v>
      </c>
      <c r="C4" s="1124" t="s">
        <v>4416</v>
      </c>
      <c r="D4" s="621" t="s">
        <v>1802</v>
      </c>
      <c r="E4" s="639">
        <v>1286.06</v>
      </c>
      <c r="F4" s="627">
        <v>0</v>
      </c>
      <c r="G4" s="639">
        <v>1286.06</v>
      </c>
      <c r="H4" s="620">
        <v>44586</v>
      </c>
      <c r="I4" s="639">
        <v>1286.06</v>
      </c>
      <c r="J4" s="620">
        <v>44651</v>
      </c>
      <c r="K4" s="253" t="s">
        <v>550</v>
      </c>
      <c r="L4" s="220"/>
    </row>
    <row r="5" spans="1:12" ht="15.75">
      <c r="A5" s="620">
        <v>44588</v>
      </c>
      <c r="B5" s="1124" t="s">
        <v>1765</v>
      </c>
      <c r="C5" s="1124" t="s">
        <v>4416</v>
      </c>
      <c r="D5" s="621" t="s">
        <v>1803</v>
      </c>
      <c r="E5" s="639">
        <v>4448.2</v>
      </c>
      <c r="F5" s="627">
        <v>0</v>
      </c>
      <c r="G5" s="639">
        <v>4448.2</v>
      </c>
      <c r="H5" s="620">
        <v>44589</v>
      </c>
      <c r="I5" s="639">
        <v>4448.2</v>
      </c>
      <c r="J5" s="620">
        <v>44651</v>
      </c>
      <c r="K5" s="253" t="s">
        <v>550</v>
      </c>
      <c r="L5" s="220"/>
    </row>
    <row r="6" spans="1:12" ht="15.75">
      <c r="A6" s="620">
        <v>44642</v>
      </c>
      <c r="B6" s="1124" t="s">
        <v>1765</v>
      </c>
      <c r="C6" s="1124" t="s">
        <v>4416</v>
      </c>
      <c r="D6" s="621" t="s">
        <v>1804</v>
      </c>
      <c r="E6" s="639">
        <v>3824.42</v>
      </c>
      <c r="F6" s="627">
        <v>0</v>
      </c>
      <c r="G6" s="639">
        <v>3824.42</v>
      </c>
      <c r="H6" s="620">
        <v>44643</v>
      </c>
      <c r="I6" s="639">
        <v>3824.42</v>
      </c>
      <c r="J6" s="620">
        <v>44718</v>
      </c>
      <c r="K6" s="253" t="s">
        <v>550</v>
      </c>
      <c r="L6" s="220"/>
    </row>
    <row r="7" spans="1:12" ht="15.75">
      <c r="A7" s="632">
        <v>44693</v>
      </c>
      <c r="B7" s="1124" t="s">
        <v>1765</v>
      </c>
      <c r="C7" s="1124" t="s">
        <v>4416</v>
      </c>
      <c r="D7" s="615" t="s">
        <v>2106</v>
      </c>
      <c r="E7" s="639">
        <v>1878.24</v>
      </c>
      <c r="F7" s="627">
        <v>0</v>
      </c>
      <c r="G7" s="611">
        <v>1878.24</v>
      </c>
      <c r="H7" s="632">
        <v>44753</v>
      </c>
      <c r="I7" s="611">
        <v>1878.24</v>
      </c>
      <c r="J7" s="632">
        <v>44748</v>
      </c>
      <c r="K7" s="449" t="s">
        <v>550</v>
      </c>
      <c r="L7" s="220"/>
    </row>
    <row r="8" spans="1:12" ht="15.75">
      <c r="A8" s="632">
        <v>44697</v>
      </c>
      <c r="B8" s="1124" t="s">
        <v>1765</v>
      </c>
      <c r="C8" s="1124" t="s">
        <v>4416</v>
      </c>
      <c r="D8" s="615" t="s">
        <v>2151</v>
      </c>
      <c r="E8" s="639">
        <v>1210.0899999999999</v>
      </c>
      <c r="F8" s="627">
        <v>0</v>
      </c>
      <c r="G8" s="611">
        <v>1210.0899999999999</v>
      </c>
      <c r="H8" s="632">
        <v>44698</v>
      </c>
      <c r="I8" s="611">
        <v>1210.0899999999999</v>
      </c>
      <c r="J8" s="632">
        <v>44748</v>
      </c>
      <c r="K8" s="449" t="s">
        <v>550</v>
      </c>
      <c r="L8" s="220"/>
    </row>
    <row r="9" spans="1:12" ht="15.75">
      <c r="A9" s="632">
        <v>44705</v>
      </c>
      <c r="B9" s="1124" t="s">
        <v>1765</v>
      </c>
      <c r="C9" s="1124" t="s">
        <v>4416</v>
      </c>
      <c r="D9" s="615" t="s">
        <v>2192</v>
      </c>
      <c r="E9" s="639">
        <v>343</v>
      </c>
      <c r="F9" s="627">
        <v>0</v>
      </c>
      <c r="G9" s="611">
        <v>343</v>
      </c>
      <c r="H9" s="632">
        <v>44765</v>
      </c>
      <c r="I9" s="611">
        <v>343</v>
      </c>
      <c r="J9" s="632">
        <v>44748</v>
      </c>
      <c r="K9" s="449" t="s">
        <v>550</v>
      </c>
      <c r="L9" s="220"/>
    </row>
    <row r="10" spans="1:12" ht="15.75">
      <c r="A10" s="632">
        <v>44729</v>
      </c>
      <c r="B10" s="1124" t="s">
        <v>1765</v>
      </c>
      <c r="C10" s="1124" t="s">
        <v>4416</v>
      </c>
      <c r="D10" s="615" t="s">
        <v>2303</v>
      </c>
      <c r="E10" s="639">
        <v>3305.4</v>
      </c>
      <c r="F10" s="646">
        <v>0</v>
      </c>
      <c r="G10" s="611">
        <v>3305.4</v>
      </c>
      <c r="H10" s="632">
        <v>44789</v>
      </c>
      <c r="I10" s="639">
        <v>3305.4</v>
      </c>
      <c r="J10" s="620">
        <v>44803</v>
      </c>
      <c r="K10" s="577" t="s">
        <v>550</v>
      </c>
      <c r="L10" s="220"/>
    </row>
    <row r="11" spans="1:12" ht="15.75">
      <c r="A11" s="632">
        <v>44736</v>
      </c>
      <c r="B11" s="1124" t="s">
        <v>1765</v>
      </c>
      <c r="C11" s="1124" t="s">
        <v>4416</v>
      </c>
      <c r="D11" s="615" t="s">
        <v>2343</v>
      </c>
      <c r="E11" s="639">
        <v>1832.25</v>
      </c>
      <c r="F11" s="646">
        <v>0</v>
      </c>
      <c r="G11" s="611">
        <v>1832.25</v>
      </c>
      <c r="H11" s="632">
        <v>44796</v>
      </c>
      <c r="I11" s="639">
        <v>1832.25</v>
      </c>
      <c r="J11" s="620">
        <v>44803</v>
      </c>
      <c r="K11" s="577" t="s">
        <v>550</v>
      </c>
      <c r="L11" s="220"/>
    </row>
    <row r="12" spans="1:12" ht="15.75">
      <c r="A12" s="632">
        <v>44736</v>
      </c>
      <c r="B12" s="1124" t="s">
        <v>1765</v>
      </c>
      <c r="C12" s="1124" t="s">
        <v>4416</v>
      </c>
      <c r="D12" s="615" t="s">
        <v>2344</v>
      </c>
      <c r="E12" s="639">
        <v>113.4</v>
      </c>
      <c r="F12" s="646">
        <v>0</v>
      </c>
      <c r="G12" s="611">
        <v>113.4</v>
      </c>
      <c r="H12" s="632">
        <v>44796</v>
      </c>
      <c r="I12" s="639">
        <v>113.4</v>
      </c>
      <c r="J12" s="620">
        <v>44803</v>
      </c>
      <c r="K12" s="577" t="s">
        <v>550</v>
      </c>
      <c r="L12" s="220"/>
    </row>
    <row r="13" spans="1:12" ht="15.75">
      <c r="A13" s="632">
        <v>44782.000497685185</v>
      </c>
      <c r="B13" s="1124" t="s">
        <v>1765</v>
      </c>
      <c r="C13" s="1124" t="s">
        <v>4416</v>
      </c>
      <c r="D13" s="615" t="s">
        <v>2704</v>
      </c>
      <c r="E13" s="639">
        <v>-4.3499999999999996</v>
      </c>
      <c r="F13" s="646">
        <v>0</v>
      </c>
      <c r="G13" s="611">
        <v>-4.3499999999999996</v>
      </c>
      <c r="H13" s="632" t="s">
        <v>1529</v>
      </c>
      <c r="I13" s="639">
        <v>-4.3499999999999996</v>
      </c>
      <c r="J13" s="620">
        <v>44803</v>
      </c>
      <c r="K13" s="577" t="s">
        <v>550</v>
      </c>
      <c r="L13" s="220"/>
    </row>
    <row r="14" spans="1:12" ht="15.75">
      <c r="A14" s="632">
        <v>44782.000497685185</v>
      </c>
      <c r="B14" s="1124" t="s">
        <v>1765</v>
      </c>
      <c r="C14" s="1124" t="s">
        <v>4416</v>
      </c>
      <c r="D14" s="615" t="s">
        <v>2705</v>
      </c>
      <c r="E14" s="639">
        <v>-405.34</v>
      </c>
      <c r="F14" s="646">
        <v>0</v>
      </c>
      <c r="G14" s="611">
        <v>-405.34</v>
      </c>
      <c r="H14" s="632" t="s">
        <v>1529</v>
      </c>
      <c r="I14" s="639">
        <v>-405.34</v>
      </c>
      <c r="J14" s="620">
        <v>44803</v>
      </c>
      <c r="K14" s="577" t="s">
        <v>550</v>
      </c>
      <c r="L14" s="220"/>
    </row>
    <row r="15" spans="1:12" ht="15.75">
      <c r="A15" s="632">
        <v>44795</v>
      </c>
      <c r="B15" s="1124" t="s">
        <v>1765</v>
      </c>
      <c r="C15" s="1124" t="s">
        <v>4416</v>
      </c>
      <c r="D15" s="615" t="s">
        <v>2870</v>
      </c>
      <c r="E15" s="639">
        <v>0.28000000000000003</v>
      </c>
      <c r="F15" s="646">
        <v>0</v>
      </c>
      <c r="G15" s="611">
        <v>0.28000000000000003</v>
      </c>
      <c r="H15" s="632">
        <v>44796</v>
      </c>
      <c r="I15" s="611">
        <v>0.28000000000000003</v>
      </c>
      <c r="J15" s="1903">
        <v>44799</v>
      </c>
      <c r="K15" s="2180" t="s">
        <v>2887</v>
      </c>
      <c r="L15" s="2175" t="s">
        <v>2877</v>
      </c>
    </row>
    <row r="16" spans="1:12" ht="15.75">
      <c r="A16" s="632">
        <v>44795</v>
      </c>
      <c r="B16" s="1124" t="s">
        <v>1765</v>
      </c>
      <c r="C16" s="1124" t="s">
        <v>4416</v>
      </c>
      <c r="D16" s="615" t="s">
        <v>2871</v>
      </c>
      <c r="E16" s="639">
        <v>0.32</v>
      </c>
      <c r="F16" s="646">
        <v>0</v>
      </c>
      <c r="G16" s="611">
        <v>0.32</v>
      </c>
      <c r="H16" s="632">
        <v>44796</v>
      </c>
      <c r="I16" s="611">
        <v>0.32</v>
      </c>
      <c r="J16" s="1904"/>
      <c r="K16" s="2181"/>
      <c r="L16" s="2173"/>
    </row>
    <row r="17" spans="1:12" ht="15.75">
      <c r="A17" s="632">
        <v>44795</v>
      </c>
      <c r="B17" s="1124" t="s">
        <v>1765</v>
      </c>
      <c r="C17" s="1124" t="s">
        <v>4416</v>
      </c>
      <c r="D17" s="615" t="s">
        <v>2872</v>
      </c>
      <c r="E17" s="639">
        <v>0.28000000000000003</v>
      </c>
      <c r="F17" s="646">
        <v>0</v>
      </c>
      <c r="G17" s="611">
        <v>0.28000000000000003</v>
      </c>
      <c r="H17" s="632">
        <v>44796</v>
      </c>
      <c r="I17" s="611">
        <v>0.28000000000000003</v>
      </c>
      <c r="J17" s="1904"/>
      <c r="K17" s="2181"/>
      <c r="L17" s="2173"/>
    </row>
    <row r="18" spans="1:12" ht="15.75">
      <c r="A18" s="632">
        <v>44795</v>
      </c>
      <c r="B18" s="1124" t="s">
        <v>1765</v>
      </c>
      <c r="C18" s="1124" t="s">
        <v>4416</v>
      </c>
      <c r="D18" s="615" t="s">
        <v>2873</v>
      </c>
      <c r="E18" s="639">
        <v>0.32</v>
      </c>
      <c r="F18" s="646">
        <v>0</v>
      </c>
      <c r="G18" s="611">
        <v>0.32</v>
      </c>
      <c r="H18" s="632">
        <v>44796</v>
      </c>
      <c r="I18" s="611">
        <v>0.32</v>
      </c>
      <c r="J18" s="1904"/>
      <c r="K18" s="2181"/>
      <c r="L18" s="2173"/>
    </row>
    <row r="19" spans="1:12" ht="15.75">
      <c r="A19" s="632">
        <v>44795</v>
      </c>
      <c r="B19" s="1124" t="s">
        <v>1765</v>
      </c>
      <c r="C19" s="1124" t="s">
        <v>4416</v>
      </c>
      <c r="D19" s="615" t="s">
        <v>2874</v>
      </c>
      <c r="E19" s="639">
        <v>0.28000000000000003</v>
      </c>
      <c r="F19" s="646">
        <v>0</v>
      </c>
      <c r="G19" s="611">
        <v>0.28000000000000003</v>
      </c>
      <c r="H19" s="632">
        <v>44796</v>
      </c>
      <c r="I19" s="611">
        <v>0.28000000000000003</v>
      </c>
      <c r="J19" s="1904"/>
      <c r="K19" s="2181"/>
      <c r="L19" s="2173"/>
    </row>
    <row r="20" spans="1:12" ht="15.75">
      <c r="A20" s="632">
        <v>44795</v>
      </c>
      <c r="B20" s="1124" t="s">
        <v>1765</v>
      </c>
      <c r="C20" s="1124" t="s">
        <v>4416</v>
      </c>
      <c r="D20" s="615" t="s">
        <v>2875</v>
      </c>
      <c r="E20" s="639">
        <v>0.28000000000000003</v>
      </c>
      <c r="F20" s="646">
        <v>0</v>
      </c>
      <c r="G20" s="611">
        <v>0.28000000000000003</v>
      </c>
      <c r="H20" s="632">
        <v>44796</v>
      </c>
      <c r="I20" s="611">
        <v>0.28000000000000003</v>
      </c>
      <c r="J20" s="1905"/>
      <c r="K20" s="2182"/>
      <c r="L20" s="2174"/>
    </row>
    <row r="21" spans="1:12" ht="15.75">
      <c r="A21" s="847">
        <v>44755.000497685185</v>
      </c>
      <c r="B21" s="1124" t="s">
        <v>1765</v>
      </c>
      <c r="C21" s="1124" t="s">
        <v>4416</v>
      </c>
      <c r="D21" s="848" t="s">
        <v>2446</v>
      </c>
      <c r="E21" s="639">
        <v>1491.95</v>
      </c>
      <c r="F21" s="646">
        <v>0</v>
      </c>
      <c r="G21" s="611">
        <v>1491.95</v>
      </c>
      <c r="H21" s="847">
        <v>44815.000497685185</v>
      </c>
      <c r="I21" s="1915">
        <v>12108.57</v>
      </c>
      <c r="J21" s="1918">
        <v>44851</v>
      </c>
      <c r="K21" s="2175" t="s">
        <v>3331</v>
      </c>
      <c r="L21" s="220"/>
    </row>
    <row r="22" spans="1:12" ht="15.75">
      <c r="A22" s="847">
        <v>44775</v>
      </c>
      <c r="B22" s="1124" t="s">
        <v>1765</v>
      </c>
      <c r="C22" s="1124" t="s">
        <v>4416</v>
      </c>
      <c r="D22" s="848" t="s">
        <v>2622</v>
      </c>
      <c r="E22" s="639">
        <v>10990.6</v>
      </c>
      <c r="F22" s="646">
        <v>0</v>
      </c>
      <c r="G22" s="611">
        <v>10990.6</v>
      </c>
      <c r="H22" s="847">
        <v>44776</v>
      </c>
      <c r="I22" s="1916"/>
      <c r="J22" s="1919"/>
      <c r="K22" s="2173"/>
      <c r="L22" s="220"/>
    </row>
    <row r="23" spans="1:12" ht="15.75">
      <c r="A23" s="847">
        <v>44781.000497685185</v>
      </c>
      <c r="B23" s="1124" t="s">
        <v>1765</v>
      </c>
      <c r="C23" s="1124" t="s">
        <v>4416</v>
      </c>
      <c r="D23" s="848" t="s">
        <v>2703</v>
      </c>
      <c r="E23" s="639">
        <v>1261.33</v>
      </c>
      <c r="F23" s="646">
        <v>0</v>
      </c>
      <c r="G23" s="611">
        <v>1261.33</v>
      </c>
      <c r="H23" s="847">
        <v>44782.000497685185</v>
      </c>
      <c r="I23" s="1916"/>
      <c r="J23" s="1919"/>
      <c r="K23" s="2173"/>
      <c r="L23" s="855"/>
    </row>
    <row r="24" spans="1:12" ht="15.75">
      <c r="A24" s="847">
        <v>44796</v>
      </c>
      <c r="B24" s="1124" t="s">
        <v>1765</v>
      </c>
      <c r="C24" s="1124" t="s">
        <v>4416</v>
      </c>
      <c r="D24" s="848" t="s">
        <v>2876</v>
      </c>
      <c r="E24" s="639">
        <v>718.62</v>
      </c>
      <c r="F24" s="646">
        <v>0</v>
      </c>
      <c r="G24" s="611">
        <v>718.62</v>
      </c>
      <c r="H24" s="847">
        <v>44856</v>
      </c>
      <c r="I24" s="1916"/>
      <c r="J24" s="1919"/>
      <c r="K24" s="2173"/>
      <c r="L24" s="855"/>
    </row>
    <row r="25" spans="1:12" ht="15.75">
      <c r="A25" s="847">
        <v>44806</v>
      </c>
      <c r="B25" s="1124" t="s">
        <v>1765</v>
      </c>
      <c r="C25" s="1124" t="s">
        <v>4416</v>
      </c>
      <c r="D25" s="848" t="s">
        <v>2932</v>
      </c>
      <c r="E25" s="639">
        <v>0.01</v>
      </c>
      <c r="F25" s="646">
        <v>0</v>
      </c>
      <c r="G25" s="611">
        <v>0.01</v>
      </c>
      <c r="H25" s="847">
        <v>44807</v>
      </c>
      <c r="I25" s="1916"/>
      <c r="J25" s="1919"/>
      <c r="K25" s="2173"/>
      <c r="L25" s="855" t="s">
        <v>2933</v>
      </c>
    </row>
    <row r="26" spans="1:12" ht="15.75">
      <c r="A26" s="847">
        <v>44809</v>
      </c>
      <c r="B26" s="1124" t="s">
        <v>1765</v>
      </c>
      <c r="C26" s="1124" t="s">
        <v>4416</v>
      </c>
      <c r="D26" s="848" t="s">
        <v>2969</v>
      </c>
      <c r="E26" s="639">
        <v>-90.09</v>
      </c>
      <c r="F26" s="646">
        <v>0</v>
      </c>
      <c r="G26" s="611">
        <v>-90.09</v>
      </c>
      <c r="H26" s="847">
        <v>44810</v>
      </c>
      <c r="I26" s="1916"/>
      <c r="J26" s="1919"/>
      <c r="K26" s="2173"/>
      <c r="L26" s="855" t="s">
        <v>2974</v>
      </c>
    </row>
    <row r="27" spans="1:12" ht="15.75">
      <c r="A27" s="847">
        <v>44809</v>
      </c>
      <c r="B27" s="1124" t="s">
        <v>1765</v>
      </c>
      <c r="C27" s="1124" t="s">
        <v>4416</v>
      </c>
      <c r="D27" s="848" t="s">
        <v>2970</v>
      </c>
      <c r="E27" s="639">
        <v>-51.33</v>
      </c>
      <c r="F27" s="646">
        <v>0</v>
      </c>
      <c r="G27" s="611">
        <v>-51.33</v>
      </c>
      <c r="H27" s="847">
        <v>44810</v>
      </c>
      <c r="I27" s="1916"/>
      <c r="J27" s="1919"/>
      <c r="K27" s="2173"/>
      <c r="L27" s="855" t="s">
        <v>2973</v>
      </c>
    </row>
    <row r="28" spans="1:12" ht="15.75">
      <c r="A28" s="847">
        <v>44813</v>
      </c>
      <c r="B28" s="1124" t="s">
        <v>1765</v>
      </c>
      <c r="C28" s="1124" t="s">
        <v>4416</v>
      </c>
      <c r="D28" s="848" t="s">
        <v>2971</v>
      </c>
      <c r="E28" s="639">
        <v>-127.89</v>
      </c>
      <c r="F28" s="646">
        <v>0</v>
      </c>
      <c r="G28" s="611">
        <v>-127.89</v>
      </c>
      <c r="H28" s="847"/>
      <c r="I28" s="1916"/>
      <c r="J28" s="1919"/>
      <c r="K28" s="2173"/>
      <c r="L28" s="855" t="s">
        <v>1529</v>
      </c>
    </row>
    <row r="29" spans="1:12" ht="15.75">
      <c r="A29" s="847">
        <v>44813</v>
      </c>
      <c r="B29" s="1124" t="s">
        <v>1765</v>
      </c>
      <c r="C29" s="1124" t="s">
        <v>4416</v>
      </c>
      <c r="D29" s="848" t="s">
        <v>2972</v>
      </c>
      <c r="E29" s="639">
        <v>-62.22</v>
      </c>
      <c r="F29" s="646">
        <v>0</v>
      </c>
      <c r="G29" s="611">
        <v>-62.22</v>
      </c>
      <c r="H29" s="847"/>
      <c r="I29" s="1916"/>
      <c r="J29" s="1919"/>
      <c r="K29" s="2173"/>
      <c r="L29" s="855" t="s">
        <v>1529</v>
      </c>
    </row>
    <row r="30" spans="1:12" ht="15.75">
      <c r="A30" s="847">
        <v>44816</v>
      </c>
      <c r="B30" s="1124" t="s">
        <v>1765</v>
      </c>
      <c r="C30" s="1124" t="s">
        <v>4416</v>
      </c>
      <c r="D30" s="848" t="s">
        <v>3025</v>
      </c>
      <c r="E30" s="639">
        <v>-577.29</v>
      </c>
      <c r="F30" s="646">
        <v>0</v>
      </c>
      <c r="G30" s="611">
        <v>-577.29</v>
      </c>
      <c r="H30" s="847"/>
      <c r="I30" s="1916"/>
      <c r="J30" s="1919"/>
      <c r="K30" s="2173"/>
      <c r="L30" s="855"/>
    </row>
    <row r="31" spans="1:12" ht="15.75">
      <c r="A31" s="847">
        <v>44816</v>
      </c>
      <c r="B31" s="1124" t="s">
        <v>1765</v>
      </c>
      <c r="C31" s="1124" t="s">
        <v>4416</v>
      </c>
      <c r="D31" s="848" t="s">
        <v>3026</v>
      </c>
      <c r="E31" s="639">
        <v>-400.93</v>
      </c>
      <c r="F31" s="646">
        <v>0</v>
      </c>
      <c r="G31" s="611">
        <v>-400.93</v>
      </c>
      <c r="H31" s="847"/>
      <c r="I31" s="1916"/>
      <c r="J31" s="1919"/>
      <c r="K31" s="2173"/>
      <c r="L31" s="220"/>
    </row>
    <row r="32" spans="1:12" ht="15.75">
      <c r="A32" s="847">
        <v>44816</v>
      </c>
      <c r="B32" s="1124" t="s">
        <v>1765</v>
      </c>
      <c r="C32" s="1124" t="s">
        <v>4416</v>
      </c>
      <c r="D32" s="848" t="s">
        <v>3027</v>
      </c>
      <c r="E32" s="639">
        <v>-623.42999999999995</v>
      </c>
      <c r="F32" s="646">
        <v>0</v>
      </c>
      <c r="G32" s="611">
        <v>-623.42999999999995</v>
      </c>
      <c r="H32" s="847"/>
      <c r="I32" s="1916"/>
      <c r="J32" s="1919"/>
      <c r="K32" s="2173"/>
      <c r="L32" s="220"/>
    </row>
    <row r="33" spans="1:14" ht="15.75">
      <c r="A33" s="847">
        <v>44816</v>
      </c>
      <c r="B33" s="1124" t="s">
        <v>1765</v>
      </c>
      <c r="C33" s="1124" t="s">
        <v>4416</v>
      </c>
      <c r="D33" s="848" t="s">
        <v>3028</v>
      </c>
      <c r="E33" s="639">
        <v>-420.76</v>
      </c>
      <c r="F33" s="646">
        <v>0</v>
      </c>
      <c r="G33" s="611">
        <v>-420.76</v>
      </c>
      <c r="H33" s="847"/>
      <c r="I33" s="1917"/>
      <c r="J33" s="1920"/>
      <c r="K33" s="2174"/>
      <c r="L33" s="220"/>
    </row>
    <row r="34" spans="1:14" ht="15.75">
      <c r="A34" s="1015">
        <v>44823</v>
      </c>
      <c r="B34" s="1124" t="s">
        <v>1765</v>
      </c>
      <c r="C34" s="1124" t="s">
        <v>4416</v>
      </c>
      <c r="D34" s="1016" t="s">
        <v>3076</v>
      </c>
      <c r="E34" s="639">
        <v>1497.13</v>
      </c>
      <c r="F34" s="646">
        <v>0</v>
      </c>
      <c r="G34" s="611">
        <v>1497.13</v>
      </c>
      <c r="H34" s="1015">
        <v>44853</v>
      </c>
      <c r="I34" s="1923">
        <v>6136.45</v>
      </c>
      <c r="J34" s="1918">
        <v>44922</v>
      </c>
      <c r="K34" s="2175" t="s">
        <v>1752</v>
      </c>
      <c r="L34" s="220"/>
    </row>
    <row r="35" spans="1:14" ht="15.75">
      <c r="A35" s="1015">
        <v>44830</v>
      </c>
      <c r="B35" s="1124" t="s">
        <v>1765</v>
      </c>
      <c r="C35" s="1124" t="s">
        <v>4416</v>
      </c>
      <c r="D35" s="1016" t="s">
        <v>3191</v>
      </c>
      <c r="E35" s="639">
        <v>4639.32</v>
      </c>
      <c r="F35" s="646">
        <v>0</v>
      </c>
      <c r="G35" s="611">
        <v>4639.32</v>
      </c>
      <c r="H35" s="1015">
        <v>44860.000497685185</v>
      </c>
      <c r="I35" s="1924"/>
      <c r="J35" s="1920"/>
      <c r="K35" s="2174"/>
      <c r="L35" s="220"/>
    </row>
    <row r="36" spans="1:14" ht="15">
      <c r="A36" s="922">
        <v>44876</v>
      </c>
      <c r="B36" s="1124" t="s">
        <v>1765</v>
      </c>
      <c r="C36" s="1124" t="s">
        <v>4416</v>
      </c>
      <c r="D36" s="923" t="s">
        <v>3461</v>
      </c>
      <c r="E36" s="639">
        <v>4984.72</v>
      </c>
      <c r="F36" s="611">
        <v>1046.79</v>
      </c>
      <c r="G36" s="611">
        <v>6031.51</v>
      </c>
      <c r="H36" s="922">
        <v>44877</v>
      </c>
      <c r="I36" s="1927">
        <v>0</v>
      </c>
      <c r="J36" s="1903">
        <v>44887</v>
      </c>
      <c r="K36" s="2180" t="s">
        <v>3586</v>
      </c>
      <c r="L36" s="855"/>
    </row>
    <row r="37" spans="1:14" ht="15">
      <c r="A37" s="922">
        <v>44887</v>
      </c>
      <c r="B37" s="1124" t="s">
        <v>1765</v>
      </c>
      <c r="C37" s="1124" t="s">
        <v>4416</v>
      </c>
      <c r="D37" s="923" t="s">
        <v>3550</v>
      </c>
      <c r="E37" s="639">
        <v>-4984.72</v>
      </c>
      <c r="F37" s="611">
        <v>-1046.79</v>
      </c>
      <c r="G37" s="611">
        <v>-6031.51</v>
      </c>
      <c r="H37" s="922"/>
      <c r="I37" s="1928"/>
      <c r="J37" s="1905"/>
      <c r="K37" s="2182"/>
      <c r="L37" s="855" t="s">
        <v>3552</v>
      </c>
      <c r="M37" s="190"/>
      <c r="N37" s="190"/>
    </row>
    <row r="38" spans="1:14" ht="15.75">
      <c r="A38" s="623">
        <v>44887</v>
      </c>
      <c r="B38" s="1294" t="s">
        <v>1765</v>
      </c>
      <c r="C38" s="1294" t="s">
        <v>4416</v>
      </c>
      <c r="D38" s="1297" t="s">
        <v>3549</v>
      </c>
      <c r="E38" s="639">
        <v>6031.52</v>
      </c>
      <c r="F38" s="646">
        <v>0</v>
      </c>
      <c r="G38" s="611">
        <v>6031.52</v>
      </c>
      <c r="H38" s="1294">
        <v>44877</v>
      </c>
      <c r="I38" s="611">
        <v>6031.52</v>
      </c>
      <c r="J38" s="1294">
        <v>45026</v>
      </c>
      <c r="K38" s="1366" t="s">
        <v>4943</v>
      </c>
      <c r="L38" s="220" t="s">
        <v>3551</v>
      </c>
      <c r="M38" s="190"/>
      <c r="N38" s="190"/>
    </row>
    <row r="39" spans="1:14" ht="15.75">
      <c r="A39" s="1364">
        <v>44918</v>
      </c>
      <c r="B39" s="1364" t="s">
        <v>1765</v>
      </c>
      <c r="C39" s="1364" t="s">
        <v>4416</v>
      </c>
      <c r="D39" s="1365" t="s">
        <v>3800</v>
      </c>
      <c r="E39" s="639">
        <v>8064.65</v>
      </c>
      <c r="F39" s="646">
        <v>0</v>
      </c>
      <c r="G39" s="611">
        <v>8064.65</v>
      </c>
      <c r="H39" s="1364">
        <v>44919</v>
      </c>
      <c r="I39" s="611">
        <v>8064.65</v>
      </c>
      <c r="J39" s="1000">
        <v>45049</v>
      </c>
      <c r="K39" s="1006" t="s">
        <v>4943</v>
      </c>
      <c r="L39" s="220"/>
      <c r="M39" s="190"/>
      <c r="N39" s="190"/>
    </row>
    <row r="40" spans="1:14" ht="15.75">
      <c r="A40" s="1364">
        <v>44945</v>
      </c>
      <c r="B40" s="1364" t="s">
        <v>1765</v>
      </c>
      <c r="C40" s="1364" t="s">
        <v>4416</v>
      </c>
      <c r="D40" s="1365" t="s">
        <v>3992</v>
      </c>
      <c r="E40" s="639">
        <v>1728.51</v>
      </c>
      <c r="F40" s="646">
        <v>0</v>
      </c>
      <c r="G40" s="611">
        <v>1728.51</v>
      </c>
      <c r="H40" s="1364">
        <v>44975</v>
      </c>
      <c r="I40" s="1951">
        <v>1642</v>
      </c>
      <c r="J40" s="1918">
        <v>45049</v>
      </c>
      <c r="K40" s="2175" t="s">
        <v>4945</v>
      </c>
      <c r="L40" s="220"/>
      <c r="M40" s="190"/>
      <c r="N40" s="190"/>
    </row>
    <row r="41" spans="1:14" ht="15.75">
      <c r="A41" s="1364">
        <v>45051</v>
      </c>
      <c r="B41" s="1364" t="s">
        <v>1765</v>
      </c>
      <c r="C41" s="1364" t="s">
        <v>4416</v>
      </c>
      <c r="D41" s="1365" t="s">
        <v>4929</v>
      </c>
      <c r="E41" s="639">
        <v>-86.51</v>
      </c>
      <c r="F41" s="646">
        <v>0</v>
      </c>
      <c r="G41" s="611">
        <v>-86.51</v>
      </c>
      <c r="H41" s="1364">
        <v>45052</v>
      </c>
      <c r="I41" s="1953"/>
      <c r="J41" s="1920"/>
      <c r="K41" s="2174"/>
      <c r="L41" s="220" t="s">
        <v>4930</v>
      </c>
      <c r="M41" s="190"/>
      <c r="N41" s="190"/>
    </row>
    <row r="42" spans="1:14" ht="15.75">
      <c r="A42" s="1364">
        <v>44964.000497685185</v>
      </c>
      <c r="B42" s="1364" t="s">
        <v>1765</v>
      </c>
      <c r="C42" s="1364" t="s">
        <v>4416</v>
      </c>
      <c r="D42" s="1365" t="s">
        <v>4065</v>
      </c>
      <c r="E42" s="639">
        <v>1889.79</v>
      </c>
      <c r="F42" s="646">
        <v>0</v>
      </c>
      <c r="G42" s="611">
        <v>1889.79</v>
      </c>
      <c r="H42" s="1364">
        <v>45054.000497685185</v>
      </c>
      <c r="I42" s="611">
        <v>1889.79</v>
      </c>
      <c r="J42" s="1000">
        <v>45049</v>
      </c>
      <c r="K42" s="1366" t="s">
        <v>4944</v>
      </c>
      <c r="L42" s="220"/>
      <c r="M42" s="190"/>
      <c r="N42" s="190"/>
    </row>
    <row r="43" spans="1:14" ht="15.75">
      <c r="A43" s="1364">
        <v>44967.000497685185</v>
      </c>
      <c r="B43" s="1364" t="s">
        <v>1765</v>
      </c>
      <c r="C43" s="1364" t="s">
        <v>4416</v>
      </c>
      <c r="D43" s="1365" t="s">
        <v>4066</v>
      </c>
      <c r="E43" s="639">
        <v>805.35</v>
      </c>
      <c r="F43" s="646">
        <v>0</v>
      </c>
      <c r="G43" s="611">
        <v>805.35</v>
      </c>
      <c r="H43" s="1364">
        <v>44997.000497685185</v>
      </c>
      <c r="I43" s="611">
        <v>805.35</v>
      </c>
      <c r="J43" s="891">
        <v>45049</v>
      </c>
      <c r="K43" s="899" t="s">
        <v>4943</v>
      </c>
      <c r="L43" s="220"/>
      <c r="M43" s="190"/>
      <c r="N43" s="190"/>
    </row>
    <row r="44" spans="1:14" ht="15.75">
      <c r="A44" s="1294">
        <v>44986</v>
      </c>
      <c r="B44" s="1294" t="s">
        <v>1765</v>
      </c>
      <c r="C44" s="1294" t="s">
        <v>4416</v>
      </c>
      <c r="D44" s="1297" t="s">
        <v>4381</v>
      </c>
      <c r="E44" s="639">
        <v>-160.65</v>
      </c>
      <c r="F44" s="646">
        <v>0</v>
      </c>
      <c r="G44" s="611">
        <v>-160.65</v>
      </c>
      <c r="H44" s="1294"/>
      <c r="I44" s="611">
        <v>-160.65</v>
      </c>
      <c r="J44" s="1294">
        <v>45026</v>
      </c>
      <c r="K44" s="1366" t="s">
        <v>4943</v>
      </c>
      <c r="L44" s="220"/>
      <c r="M44" s="190"/>
      <c r="N44" s="190"/>
    </row>
    <row r="45" spans="1:14" ht="15.75">
      <c r="A45" s="1294">
        <v>44986</v>
      </c>
      <c r="B45" s="1294" t="s">
        <v>1765</v>
      </c>
      <c r="C45" s="1294" t="s">
        <v>4416</v>
      </c>
      <c r="D45" s="1297" t="s">
        <v>4382</v>
      </c>
      <c r="E45" s="639">
        <v>-442.03</v>
      </c>
      <c r="F45" s="646">
        <v>0</v>
      </c>
      <c r="G45" s="611">
        <v>-442.03</v>
      </c>
      <c r="H45" s="1294"/>
      <c r="I45" s="611">
        <v>-442.03</v>
      </c>
      <c r="J45" s="1294">
        <v>45026</v>
      </c>
      <c r="K45" s="1366" t="s">
        <v>4943</v>
      </c>
      <c r="L45" s="220"/>
      <c r="M45" s="190"/>
      <c r="N45" s="190"/>
    </row>
    <row r="46" spans="1:14" ht="15.75">
      <c r="A46" s="1364">
        <v>45000</v>
      </c>
      <c r="B46" s="1364" t="s">
        <v>1765</v>
      </c>
      <c r="C46" s="1364" t="s">
        <v>4416</v>
      </c>
      <c r="D46" s="1365" t="s">
        <v>4515</v>
      </c>
      <c r="E46" s="639">
        <v>978.67</v>
      </c>
      <c r="F46" s="646">
        <v>0</v>
      </c>
      <c r="G46" s="611">
        <v>978.67</v>
      </c>
      <c r="H46" s="1364">
        <v>45030</v>
      </c>
      <c r="I46" s="611">
        <v>978.67</v>
      </c>
      <c r="J46" s="1198">
        <v>45049</v>
      </c>
      <c r="K46" s="1500" t="s">
        <v>4943</v>
      </c>
      <c r="L46" s="220"/>
      <c r="M46" s="190"/>
      <c r="N46" s="190"/>
    </row>
    <row r="47" spans="1:14" ht="15.75">
      <c r="A47" s="1294">
        <v>45001</v>
      </c>
      <c r="B47" s="1294" t="s">
        <v>1765</v>
      </c>
      <c r="C47" s="1294" t="s">
        <v>4416</v>
      </c>
      <c r="D47" s="1297" t="s">
        <v>4516</v>
      </c>
      <c r="E47" s="639">
        <v>16765.07</v>
      </c>
      <c r="F47" s="646">
        <v>0</v>
      </c>
      <c r="G47" s="611">
        <v>16765.07</v>
      </c>
      <c r="H47" s="1294">
        <v>45031</v>
      </c>
      <c r="I47" s="1933">
        <v>0</v>
      </c>
      <c r="J47" s="1903">
        <v>45029</v>
      </c>
      <c r="K47" s="2180" t="s">
        <v>4759</v>
      </c>
      <c r="L47" s="855"/>
      <c r="M47" s="190"/>
      <c r="N47" s="190"/>
    </row>
    <row r="48" spans="1:14" ht="15.75">
      <c r="A48" s="1294">
        <v>45026.000497685185</v>
      </c>
      <c r="B48" s="1294" t="s">
        <v>1765</v>
      </c>
      <c r="C48" s="1294" t="s">
        <v>4416</v>
      </c>
      <c r="D48" s="1297" t="s">
        <v>4735</v>
      </c>
      <c r="E48" s="639">
        <v>-782.88</v>
      </c>
      <c r="F48" s="646">
        <v>0</v>
      </c>
      <c r="G48" s="611">
        <v>-782.88</v>
      </c>
      <c r="H48" s="1294"/>
      <c r="I48" s="2134"/>
      <c r="J48" s="1904"/>
      <c r="K48" s="2181"/>
      <c r="L48" s="855"/>
      <c r="M48" s="190"/>
      <c r="N48" s="190"/>
    </row>
    <row r="49" spans="1:14" ht="15.75">
      <c r="A49" s="1294">
        <v>45026.000497685185</v>
      </c>
      <c r="B49" s="1294" t="s">
        <v>1765</v>
      </c>
      <c r="C49" s="1294" t="s">
        <v>4416</v>
      </c>
      <c r="D49" s="1297" t="s">
        <v>4736</v>
      </c>
      <c r="E49" s="639">
        <v>-9451.4</v>
      </c>
      <c r="F49" s="646">
        <v>0</v>
      </c>
      <c r="G49" s="611">
        <v>-9451.4</v>
      </c>
      <c r="H49" s="1294"/>
      <c r="I49" s="2134"/>
      <c r="J49" s="1904"/>
      <c r="K49" s="2181"/>
      <c r="L49" s="855"/>
      <c r="M49" s="190"/>
      <c r="N49" s="190"/>
    </row>
    <row r="50" spans="1:14" ht="15.75">
      <c r="A50" s="1294">
        <v>45026.000497685185</v>
      </c>
      <c r="B50" s="1294" t="s">
        <v>1765</v>
      </c>
      <c r="C50" s="1294" t="s">
        <v>4416</v>
      </c>
      <c r="D50" s="1297" t="s">
        <v>4737</v>
      </c>
      <c r="E50" s="639">
        <v>-852.43</v>
      </c>
      <c r="F50" s="646">
        <v>0</v>
      </c>
      <c r="G50" s="611">
        <v>-852.43</v>
      </c>
      <c r="H50" s="1294"/>
      <c r="I50" s="2134"/>
      <c r="J50" s="1904"/>
      <c r="K50" s="2181"/>
      <c r="L50" s="855"/>
      <c r="M50" s="190"/>
      <c r="N50" s="190"/>
    </row>
    <row r="51" spans="1:14" ht="15.75">
      <c r="A51" s="1294">
        <v>45026.000497685185</v>
      </c>
      <c r="B51" s="1294" t="s">
        <v>1765</v>
      </c>
      <c r="C51" s="1294" t="s">
        <v>4416</v>
      </c>
      <c r="D51" s="1297" t="s">
        <v>4738</v>
      </c>
      <c r="E51" s="639">
        <v>-168.49</v>
      </c>
      <c r="F51" s="646">
        <v>0</v>
      </c>
      <c r="G51" s="611">
        <v>-168.49</v>
      </c>
      <c r="H51" s="1294"/>
      <c r="I51" s="2134"/>
      <c r="J51" s="1904"/>
      <c r="K51" s="2181"/>
      <c r="L51" s="855"/>
      <c r="M51" s="190"/>
      <c r="N51" s="190"/>
    </row>
    <row r="52" spans="1:14" ht="15.75">
      <c r="A52" s="1294">
        <v>45026.000497685185</v>
      </c>
      <c r="B52" s="1294" t="s">
        <v>1765</v>
      </c>
      <c r="C52" s="1294" t="s">
        <v>4416</v>
      </c>
      <c r="D52" s="1297" t="s">
        <v>4739</v>
      </c>
      <c r="E52" s="639">
        <v>-2768.85</v>
      </c>
      <c r="F52" s="646">
        <v>0</v>
      </c>
      <c r="G52" s="611">
        <v>-2768.85</v>
      </c>
      <c r="H52" s="1294"/>
      <c r="I52" s="2134"/>
      <c r="J52" s="1904"/>
      <c r="K52" s="2181"/>
      <c r="L52" s="855"/>
      <c r="M52" s="190"/>
      <c r="N52" s="190"/>
    </row>
    <row r="53" spans="1:14" ht="15.75">
      <c r="A53" s="1294">
        <v>45028.000497685185</v>
      </c>
      <c r="B53" s="1294" t="s">
        <v>1765</v>
      </c>
      <c r="C53" s="1294" t="s">
        <v>4416</v>
      </c>
      <c r="D53" s="1297" t="s">
        <v>4741</v>
      </c>
      <c r="E53" s="639">
        <v>-2733.89</v>
      </c>
      <c r="F53" s="646">
        <v>0</v>
      </c>
      <c r="G53" s="611">
        <v>-2733.89</v>
      </c>
      <c r="H53" s="1294"/>
      <c r="I53" s="2134"/>
      <c r="J53" s="1904"/>
      <c r="K53" s="2181"/>
      <c r="L53" s="855" t="s">
        <v>4743</v>
      </c>
      <c r="M53" s="190"/>
      <c r="N53" s="190"/>
    </row>
    <row r="54" spans="1:14" ht="15.75">
      <c r="A54" s="1294">
        <v>45029.000497685185</v>
      </c>
      <c r="B54" s="1294" t="s">
        <v>1765</v>
      </c>
      <c r="C54" s="1294" t="s">
        <v>4416</v>
      </c>
      <c r="D54" s="1297" t="s">
        <v>4742</v>
      </c>
      <c r="E54" s="639">
        <v>-7.13</v>
      </c>
      <c r="F54" s="646">
        <v>0</v>
      </c>
      <c r="G54" s="611">
        <v>-7.13</v>
      </c>
      <c r="H54" s="1294">
        <v>45030</v>
      </c>
      <c r="I54" s="1934"/>
      <c r="J54" s="1905"/>
      <c r="K54" s="2182"/>
      <c r="L54" s="855" t="s">
        <v>4744</v>
      </c>
      <c r="M54" s="190"/>
      <c r="N54" s="190"/>
    </row>
    <row r="55" spans="1:14" ht="15.75">
      <c r="A55" s="1697">
        <v>45014</v>
      </c>
      <c r="B55" s="1697" t="s">
        <v>1765</v>
      </c>
      <c r="C55" s="1697" t="s">
        <v>4416</v>
      </c>
      <c r="D55" s="1699" t="s">
        <v>4652</v>
      </c>
      <c r="E55" s="611">
        <v>15760.5</v>
      </c>
      <c r="F55" s="646">
        <v>0</v>
      </c>
      <c r="G55" s="611">
        <v>15760.5</v>
      </c>
      <c r="H55" s="1697">
        <v>45044</v>
      </c>
      <c r="I55" s="1951">
        <v>23261.23</v>
      </c>
      <c r="J55" s="1903">
        <v>45107</v>
      </c>
      <c r="K55" s="2183" t="s">
        <v>6070</v>
      </c>
      <c r="L55" s="220"/>
      <c r="M55" s="190"/>
      <c r="N55" s="190"/>
    </row>
    <row r="56" spans="1:14" ht="15.75">
      <c r="A56" s="1697">
        <v>45020</v>
      </c>
      <c r="B56" s="1697" t="s">
        <v>1765</v>
      </c>
      <c r="C56" s="1697" t="s">
        <v>4416</v>
      </c>
      <c r="D56" s="1699" t="s">
        <v>4689</v>
      </c>
      <c r="E56" s="611">
        <v>1699.6</v>
      </c>
      <c r="F56" s="646">
        <v>0</v>
      </c>
      <c r="G56" s="611">
        <v>1699.6</v>
      </c>
      <c r="H56" s="1697">
        <v>45050</v>
      </c>
      <c r="I56" s="1952"/>
      <c r="J56" s="1904"/>
      <c r="K56" s="2181"/>
      <c r="L56" s="220"/>
      <c r="M56" s="190"/>
      <c r="N56" s="190"/>
    </row>
    <row r="57" spans="1:14" ht="15.75">
      <c r="A57" s="1697">
        <v>45026.000497685185</v>
      </c>
      <c r="B57" s="1697" t="s">
        <v>1765</v>
      </c>
      <c r="C57" s="1697" t="s">
        <v>4416</v>
      </c>
      <c r="D57" s="1699" t="s">
        <v>4734</v>
      </c>
      <c r="E57" s="611">
        <v>3595.69</v>
      </c>
      <c r="F57" s="646">
        <v>0</v>
      </c>
      <c r="G57" s="611">
        <v>3595.69</v>
      </c>
      <c r="H57" s="1697">
        <v>45056</v>
      </c>
      <c r="I57" s="1952"/>
      <c r="J57" s="1904"/>
      <c r="K57" s="2181"/>
      <c r="L57" s="220"/>
      <c r="M57" s="190"/>
      <c r="N57" s="190"/>
    </row>
    <row r="58" spans="1:14" ht="15.75">
      <c r="A58" s="1697">
        <v>45028.000497685185</v>
      </c>
      <c r="B58" s="1697" t="s">
        <v>1765</v>
      </c>
      <c r="C58" s="1697" t="s">
        <v>4416</v>
      </c>
      <c r="D58" s="1699" t="s">
        <v>4740</v>
      </c>
      <c r="E58" s="611">
        <v>600.53</v>
      </c>
      <c r="F58" s="646">
        <v>0</v>
      </c>
      <c r="G58" s="611">
        <v>600.53</v>
      </c>
      <c r="H58" s="1697">
        <v>45058</v>
      </c>
      <c r="I58" s="1952"/>
      <c r="J58" s="1904"/>
      <c r="K58" s="2181"/>
      <c r="L58" s="220"/>
      <c r="M58" s="190"/>
      <c r="N58" s="190"/>
    </row>
    <row r="59" spans="1:14" ht="15.75">
      <c r="A59" s="1697">
        <v>45036</v>
      </c>
      <c r="B59" s="1697" t="s">
        <v>1765</v>
      </c>
      <c r="C59" s="1697" t="s">
        <v>4416</v>
      </c>
      <c r="D59" s="1699" t="s">
        <v>4834</v>
      </c>
      <c r="E59" s="611">
        <v>292.81</v>
      </c>
      <c r="F59" s="646">
        <v>0</v>
      </c>
      <c r="G59" s="611">
        <v>292.81</v>
      </c>
      <c r="H59" s="1697">
        <v>45066</v>
      </c>
      <c r="I59" s="1952"/>
      <c r="J59" s="1904"/>
      <c r="K59" s="2181"/>
      <c r="L59" s="220"/>
      <c r="M59" s="190"/>
      <c r="N59" s="190"/>
    </row>
    <row r="60" spans="1:14" ht="15.75">
      <c r="A60" s="1697">
        <v>45036</v>
      </c>
      <c r="B60" s="1697" t="s">
        <v>1765</v>
      </c>
      <c r="C60" s="1697" t="s">
        <v>4416</v>
      </c>
      <c r="D60" s="1699" t="s">
        <v>4835</v>
      </c>
      <c r="E60" s="611">
        <v>2536.38</v>
      </c>
      <c r="F60" s="646">
        <v>0</v>
      </c>
      <c r="G60" s="611">
        <v>2536.38</v>
      </c>
      <c r="H60" s="1697">
        <v>45066</v>
      </c>
      <c r="I60" s="1952"/>
      <c r="J60" s="1904"/>
      <c r="K60" s="2181"/>
      <c r="L60" s="220"/>
      <c r="M60" s="190"/>
      <c r="N60" s="190"/>
    </row>
    <row r="61" spans="1:14" ht="15.75">
      <c r="A61" s="1697">
        <v>45107</v>
      </c>
      <c r="B61" s="1697" t="s">
        <v>1765</v>
      </c>
      <c r="C61" s="1697" t="s">
        <v>4416</v>
      </c>
      <c r="D61" s="1699" t="s">
        <v>5512</v>
      </c>
      <c r="E61" s="1516">
        <v>-1224.28</v>
      </c>
      <c r="F61" s="646">
        <v>0</v>
      </c>
      <c r="G61" s="611">
        <v>-1224.28</v>
      </c>
      <c r="H61" s="1697">
        <v>45108</v>
      </c>
      <c r="I61" s="1953"/>
      <c r="J61" s="1905"/>
      <c r="K61" s="2182"/>
      <c r="L61" s="220" t="s">
        <v>5513</v>
      </c>
      <c r="M61" s="190"/>
      <c r="N61" s="190"/>
    </row>
    <row r="62" spans="1:14" ht="15.75">
      <c r="A62" s="1697">
        <v>45075</v>
      </c>
      <c r="B62" s="1697" t="s">
        <v>1765</v>
      </c>
      <c r="C62" s="1697" t="s">
        <v>4416</v>
      </c>
      <c r="D62" s="1699" t="s">
        <v>5287</v>
      </c>
      <c r="E62" s="1516">
        <v>9141.3799999999992</v>
      </c>
      <c r="F62" s="646">
        <v>0</v>
      </c>
      <c r="G62" s="611">
        <v>9141.3799999999992</v>
      </c>
      <c r="H62" s="1697">
        <v>45105</v>
      </c>
      <c r="I62" s="611">
        <v>9141.3799999999992</v>
      </c>
      <c r="J62" s="1697">
        <v>45180</v>
      </c>
      <c r="K62" s="1726" t="s">
        <v>6071</v>
      </c>
      <c r="L62" s="220"/>
      <c r="M62" s="190"/>
      <c r="N62" s="190"/>
    </row>
    <row r="63" spans="1:14" ht="15.75">
      <c r="A63" s="1820">
        <v>45117</v>
      </c>
      <c r="B63" s="1820" t="s">
        <v>1765</v>
      </c>
      <c r="C63" s="1820" t="s">
        <v>4416</v>
      </c>
      <c r="D63" s="1821" t="s">
        <v>5598</v>
      </c>
      <c r="E63" s="1516">
        <v>3999.38</v>
      </c>
      <c r="F63" s="646">
        <v>0</v>
      </c>
      <c r="G63" s="611">
        <v>3999.38</v>
      </c>
      <c r="H63" s="1820">
        <v>45147</v>
      </c>
      <c r="I63" s="611">
        <v>3999.38</v>
      </c>
      <c r="J63" s="1494">
        <v>45232</v>
      </c>
      <c r="K63" s="1726" t="s">
        <v>6071</v>
      </c>
      <c r="L63" s="220"/>
      <c r="M63" s="190"/>
      <c r="N63" s="190"/>
    </row>
    <row r="64" spans="1:14" ht="15.75">
      <c r="A64" s="623">
        <v>45148</v>
      </c>
      <c r="B64" s="623" t="s">
        <v>1765</v>
      </c>
      <c r="C64" s="623" t="s">
        <v>4416</v>
      </c>
      <c r="D64" s="624" t="s">
        <v>5870</v>
      </c>
      <c r="E64" s="600">
        <v>1911.42</v>
      </c>
      <c r="F64" s="642">
        <v>0</v>
      </c>
      <c r="G64" s="605">
        <v>1911.42</v>
      </c>
      <c r="H64" s="623">
        <v>45178</v>
      </c>
      <c r="I64" s="611"/>
      <c r="J64" s="1494"/>
      <c r="K64" s="1500"/>
      <c r="L64" s="220"/>
      <c r="M64" s="190"/>
      <c r="N64" s="190"/>
    </row>
    <row r="65" spans="1:14" ht="15.75">
      <c r="A65" s="623">
        <v>45182</v>
      </c>
      <c r="B65" s="623" t="s">
        <v>1765</v>
      </c>
      <c r="C65" s="623" t="s">
        <v>4416</v>
      </c>
      <c r="D65" s="624" t="s">
        <v>6055</v>
      </c>
      <c r="E65" s="600">
        <v>409.5</v>
      </c>
      <c r="F65" s="642">
        <v>0</v>
      </c>
      <c r="G65" s="605">
        <v>409.5</v>
      </c>
      <c r="H65" s="623">
        <v>45241.000497685185</v>
      </c>
      <c r="I65" s="611"/>
      <c r="J65" s="1494"/>
      <c r="K65" s="1500"/>
      <c r="L65" s="220"/>
      <c r="M65" s="190"/>
      <c r="N65" s="190"/>
    </row>
    <row r="66" spans="1:14" ht="15.75">
      <c r="A66" s="623">
        <v>45182</v>
      </c>
      <c r="B66" s="623" t="s">
        <v>1765</v>
      </c>
      <c r="C66" s="623" t="s">
        <v>4416</v>
      </c>
      <c r="D66" s="624" t="s">
        <v>6056</v>
      </c>
      <c r="E66" s="600">
        <v>9546.7800000000007</v>
      </c>
      <c r="F66" s="642">
        <v>0</v>
      </c>
      <c r="G66" s="605">
        <v>9546.7800000000007</v>
      </c>
      <c r="H66" s="623">
        <v>45241.000497685185</v>
      </c>
      <c r="I66" s="611"/>
      <c r="J66" s="1289"/>
      <c r="K66" s="1298"/>
      <c r="L66" s="220"/>
      <c r="M66" s="190"/>
      <c r="N66" s="190"/>
    </row>
    <row r="67" spans="1:14" ht="15.75">
      <c r="A67" s="623">
        <v>45187</v>
      </c>
      <c r="B67" s="623" t="s">
        <v>1765</v>
      </c>
      <c r="C67" s="623" t="s">
        <v>4416</v>
      </c>
      <c r="D67" s="624" t="s">
        <v>6119</v>
      </c>
      <c r="E67" s="600">
        <v>3611.53</v>
      </c>
      <c r="F67" s="642">
        <v>0</v>
      </c>
      <c r="G67" s="605">
        <v>3611.53</v>
      </c>
      <c r="H67" s="623">
        <v>45246</v>
      </c>
      <c r="I67" s="611"/>
      <c r="J67" s="1695"/>
      <c r="K67" s="1700"/>
      <c r="L67" s="220"/>
      <c r="M67" s="190"/>
      <c r="N67" s="190"/>
    </row>
    <row r="68" spans="1:14" ht="15.75">
      <c r="A68" s="1718">
        <v>45187</v>
      </c>
      <c r="B68" s="1718" t="s">
        <v>1765</v>
      </c>
      <c r="C68" s="1718" t="s">
        <v>4416</v>
      </c>
      <c r="D68" s="1720" t="s">
        <v>6120</v>
      </c>
      <c r="E68" s="1516">
        <v>0.01</v>
      </c>
      <c r="F68" s="646">
        <v>0</v>
      </c>
      <c r="G68" s="611">
        <v>0.01</v>
      </c>
      <c r="H68" s="1718">
        <v>45188</v>
      </c>
      <c r="I68" s="611">
        <v>0.01</v>
      </c>
      <c r="J68" s="1718">
        <v>45191</v>
      </c>
      <c r="K68" s="1727" t="s">
        <v>6144</v>
      </c>
      <c r="L68" s="855" t="s">
        <v>6145</v>
      </c>
      <c r="M68" s="190"/>
      <c r="N68" s="190"/>
    </row>
    <row r="69" spans="1:14" ht="15.75">
      <c r="A69" s="623">
        <v>45196</v>
      </c>
      <c r="B69" s="623" t="s">
        <v>1765</v>
      </c>
      <c r="C69" s="623" t="s">
        <v>4416</v>
      </c>
      <c r="D69" s="624" t="s">
        <v>6265</v>
      </c>
      <c r="E69" s="600">
        <v>1113.02</v>
      </c>
      <c r="F69" s="642">
        <v>0</v>
      </c>
      <c r="G69" s="605">
        <v>1113.02</v>
      </c>
      <c r="H69" s="623">
        <v>45255</v>
      </c>
      <c r="I69" s="611"/>
      <c r="J69" s="1695"/>
      <c r="K69" s="1700"/>
      <c r="L69" s="220"/>
      <c r="M69" s="190"/>
      <c r="N69" s="190"/>
    </row>
    <row r="70" spans="1:14" ht="15.75">
      <c r="A70" s="1820">
        <v>45204</v>
      </c>
      <c r="B70" s="1820" t="s">
        <v>1765</v>
      </c>
      <c r="C70" s="1820" t="s">
        <v>4416</v>
      </c>
      <c r="D70" s="1821" t="s">
        <v>6266</v>
      </c>
      <c r="E70" s="1516">
        <v>-417.47</v>
      </c>
      <c r="F70" s="646">
        <v>0</v>
      </c>
      <c r="G70" s="611">
        <v>-417.47</v>
      </c>
      <c r="H70" s="1820">
        <v>45205</v>
      </c>
      <c r="I70" s="611">
        <v>-417.47</v>
      </c>
      <c r="J70" s="1820">
        <v>45232</v>
      </c>
      <c r="K70" s="1726" t="s">
        <v>6501</v>
      </c>
      <c r="L70" s="855" t="s">
        <v>6267</v>
      </c>
      <c r="M70" s="190"/>
      <c r="N70" s="190"/>
    </row>
    <row r="71" spans="1:14" ht="15.75">
      <c r="A71" s="623">
        <v>45238</v>
      </c>
      <c r="B71" s="623" t="s">
        <v>1765</v>
      </c>
      <c r="C71" s="623" t="s">
        <v>4416</v>
      </c>
      <c r="D71" s="624" t="s">
        <v>6528</v>
      </c>
      <c r="E71" s="600">
        <v>2067.4499999999998</v>
      </c>
      <c r="F71" s="642">
        <v>0</v>
      </c>
      <c r="G71" s="605">
        <v>2067.4499999999998</v>
      </c>
      <c r="H71" s="623">
        <v>45298</v>
      </c>
      <c r="I71" s="611"/>
      <c r="J71" s="1835"/>
      <c r="K71" s="1726"/>
      <c r="L71" s="855"/>
      <c r="M71" s="190"/>
      <c r="N71" s="190"/>
    </row>
    <row r="72" spans="1:14" ht="15.75">
      <c r="A72" s="623"/>
      <c r="B72" s="623"/>
      <c r="C72" s="623"/>
      <c r="D72" s="624"/>
      <c r="E72" s="600"/>
      <c r="F72" s="642"/>
      <c r="G72" s="605"/>
      <c r="H72" s="623"/>
      <c r="I72" s="611"/>
      <c r="J72" s="1835"/>
      <c r="K72" s="1726"/>
      <c r="L72" s="855"/>
      <c r="M72" s="190"/>
      <c r="N72" s="190"/>
    </row>
    <row r="73" spans="1:14" ht="15.75">
      <c r="A73" s="623"/>
      <c r="B73" s="623"/>
      <c r="C73" s="623"/>
      <c r="D73" s="624"/>
      <c r="E73" s="600"/>
      <c r="F73" s="642"/>
      <c r="G73" s="605"/>
      <c r="H73" s="623"/>
      <c r="I73" s="611"/>
      <c r="J73" s="1835"/>
      <c r="K73" s="1726"/>
      <c r="L73" s="855"/>
      <c r="M73" s="190"/>
      <c r="N73" s="190"/>
    </row>
    <row r="74" spans="1:14" ht="15.75">
      <c r="A74" s="623"/>
      <c r="B74" s="623"/>
      <c r="C74" s="623"/>
      <c r="D74" s="624"/>
      <c r="E74" s="600"/>
      <c r="F74" s="642"/>
      <c r="G74" s="605"/>
      <c r="H74" s="623"/>
      <c r="I74" s="611"/>
      <c r="J74" s="1835"/>
      <c r="K74" s="1726"/>
      <c r="L74" s="855"/>
      <c r="M74" s="190"/>
      <c r="N74" s="190"/>
    </row>
    <row r="75" spans="1:14" ht="15.75">
      <c r="A75" s="623"/>
      <c r="B75" s="623"/>
      <c r="C75" s="623"/>
      <c r="D75" s="624"/>
      <c r="E75" s="600"/>
      <c r="F75" s="642"/>
      <c r="G75" s="605"/>
      <c r="H75" s="623"/>
      <c r="I75" s="611"/>
      <c r="J75" s="1835"/>
      <c r="K75" s="1726"/>
      <c r="L75" s="855"/>
      <c r="M75" s="190"/>
      <c r="N75" s="190"/>
    </row>
    <row r="76" spans="1:14" ht="15.75">
      <c r="A76" s="623"/>
      <c r="B76" s="623"/>
      <c r="C76" s="623"/>
      <c r="D76" s="624"/>
      <c r="E76" s="600"/>
      <c r="F76" s="642"/>
      <c r="G76" s="605"/>
      <c r="H76" s="623"/>
      <c r="I76" s="611"/>
      <c r="J76" s="1835"/>
      <c r="K76" s="1726"/>
      <c r="L76" s="855"/>
      <c r="M76" s="190"/>
      <c r="N76" s="190"/>
    </row>
    <row r="77" spans="1:14" ht="15.75">
      <c r="A77" s="623"/>
      <c r="B77" s="623"/>
      <c r="C77" s="623"/>
      <c r="D77" s="624"/>
      <c r="E77" s="600"/>
      <c r="F77" s="642"/>
      <c r="G77" s="605"/>
      <c r="H77" s="623"/>
      <c r="I77" s="611"/>
      <c r="J77" s="1289"/>
      <c r="K77" s="1298"/>
      <c r="L77" s="220"/>
      <c r="M77" s="190"/>
      <c r="N77" s="190"/>
    </row>
    <row r="78" spans="1:14" ht="15.75">
      <c r="A78" s="623"/>
      <c r="B78" s="623"/>
      <c r="C78" s="623"/>
      <c r="D78" s="624"/>
      <c r="E78" s="600"/>
      <c r="F78" s="642"/>
      <c r="G78" s="605"/>
      <c r="H78" s="623"/>
      <c r="I78" s="611"/>
      <c r="J78" s="1289"/>
      <c r="K78" s="1298"/>
      <c r="L78" s="220"/>
      <c r="M78" s="190"/>
      <c r="N78" s="190"/>
    </row>
    <row r="79" spans="1:14" ht="15.75">
      <c r="A79" s="623"/>
      <c r="B79" s="623"/>
      <c r="C79" s="623"/>
      <c r="D79" s="624"/>
      <c r="E79" s="600"/>
      <c r="F79" s="642"/>
      <c r="G79" s="605"/>
      <c r="H79" s="623"/>
      <c r="I79" s="611"/>
      <c r="J79" s="1112"/>
      <c r="K79" s="1118"/>
      <c r="L79" s="220"/>
      <c r="M79" s="190"/>
      <c r="N79" s="190"/>
    </row>
    <row r="80" spans="1:14" ht="15.75">
      <c r="A80" s="623"/>
      <c r="B80" s="623"/>
      <c r="C80" s="623"/>
      <c r="D80" s="624"/>
      <c r="E80" s="600"/>
      <c r="F80" s="642"/>
      <c r="G80" s="605"/>
      <c r="H80" s="623"/>
      <c r="I80" s="611"/>
      <c r="J80" s="891"/>
      <c r="K80" s="899"/>
      <c r="L80" s="220"/>
    </row>
    <row r="81" spans="1:12" ht="15">
      <c r="A81" s="685"/>
      <c r="B81" s="685"/>
      <c r="C81" s="685"/>
      <c r="D81" s="634"/>
      <c r="E81" s="684"/>
      <c r="F81" s="1144" t="s">
        <v>545</v>
      </c>
      <c r="G81" s="651">
        <f>SUM(G2:G80)-SUM(I2:I80)</f>
        <v>18659.700000000041</v>
      </c>
      <c r="H81" s="639"/>
      <c r="I81" s="639"/>
      <c r="J81" s="641"/>
      <c r="K81" s="220"/>
      <c r="L81" s="220"/>
    </row>
  </sheetData>
  <mergeCells count="21">
    <mergeCell ref="K55:K61"/>
    <mergeCell ref="J55:J61"/>
    <mergeCell ref="I55:I61"/>
    <mergeCell ref="J15:J20"/>
    <mergeCell ref="K15:K20"/>
    <mergeCell ref="I47:I54"/>
    <mergeCell ref="I36:I37"/>
    <mergeCell ref="I21:I33"/>
    <mergeCell ref="I34:I35"/>
    <mergeCell ref="I40:I41"/>
    <mergeCell ref="L15:L20"/>
    <mergeCell ref="K21:K33"/>
    <mergeCell ref="J21:J33"/>
    <mergeCell ref="K47:K54"/>
    <mergeCell ref="J47:J54"/>
    <mergeCell ref="K36:K37"/>
    <mergeCell ref="J36:J37"/>
    <mergeCell ref="K34:K35"/>
    <mergeCell ref="J34:J35"/>
    <mergeCell ref="K40:K41"/>
    <mergeCell ref="J40:J41"/>
  </mergeCells>
  <phoneticPr fontId="15" type="noConversion"/>
  <hyperlinks>
    <hyperlink ref="F81" location="汇总!A1" display="剩余欠款"/>
  </hyperlink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36"/>
  <sheetViews>
    <sheetView workbookViewId="0">
      <pane ySplit="1" topLeftCell="A2" activePane="bottomLeft" state="frozen"/>
      <selection pane="bottomLeft" activeCell="F25" sqref="F25"/>
    </sheetView>
  </sheetViews>
  <sheetFormatPr defaultRowHeight="14.25"/>
  <cols>
    <col min="1" max="1" width="12" style="272" bestFit="1" customWidth="1"/>
    <col min="2" max="2" width="8.875" style="272" bestFit="1" customWidth="1"/>
    <col min="3" max="3" width="29.375" style="272" bestFit="1" customWidth="1"/>
    <col min="4" max="4" width="16.125" style="99" bestFit="1" customWidth="1"/>
    <col min="5" max="6" width="13.875" style="99" customWidth="1"/>
    <col min="7" max="7" width="11.5" style="99" bestFit="1" customWidth="1"/>
    <col min="8" max="8" width="16.75" style="99" bestFit="1" customWidth="1"/>
    <col min="9" max="9" width="14" style="99" bestFit="1" customWidth="1"/>
    <col min="10" max="10" width="11.375" style="99" bestFit="1" customWidth="1"/>
    <col min="11" max="11" width="33.875" style="99" bestFit="1" customWidth="1"/>
    <col min="12" max="12" width="14.5" style="99" customWidth="1"/>
    <col min="13" max="16384" width="9" style="129"/>
  </cols>
  <sheetData>
    <row r="1" spans="1:13" customFormat="1" ht="18.75">
      <c r="A1" s="1384" t="s">
        <v>4932</v>
      </c>
      <c r="B1" s="1385" t="s">
        <v>516</v>
      </c>
      <c r="C1" s="1385" t="s">
        <v>5929</v>
      </c>
      <c r="D1" s="1386" t="s">
        <v>4933</v>
      </c>
      <c r="E1" s="1387" t="s">
        <v>4934</v>
      </c>
      <c r="F1" s="1388" t="s">
        <v>4935</v>
      </c>
      <c r="G1" s="636" t="s">
        <v>3091</v>
      </c>
      <c r="H1" s="636" t="s">
        <v>4099</v>
      </c>
      <c r="I1" s="637" t="s">
        <v>3092</v>
      </c>
      <c r="J1" s="636" t="s">
        <v>4100</v>
      </c>
      <c r="K1" s="257" t="s">
        <v>541</v>
      </c>
      <c r="L1" s="256" t="s">
        <v>542</v>
      </c>
    </row>
    <row r="2" spans="1:13" customFormat="1" ht="15">
      <c r="A2" s="1364">
        <v>44761.000497685185</v>
      </c>
      <c r="B2" s="1364" t="s">
        <v>4116</v>
      </c>
      <c r="C2" s="1364" t="s">
        <v>4145</v>
      </c>
      <c r="D2" s="1365" t="s">
        <v>2459</v>
      </c>
      <c r="E2" s="1369">
        <v>3587.05</v>
      </c>
      <c r="F2" s="649">
        <v>0</v>
      </c>
      <c r="G2" s="631">
        <v>3587.05</v>
      </c>
      <c r="H2" s="885">
        <v>44761</v>
      </c>
      <c r="I2" s="631">
        <v>3587.05</v>
      </c>
      <c r="J2" s="620">
        <v>44872</v>
      </c>
      <c r="K2" s="477" t="s">
        <v>3422</v>
      </c>
      <c r="L2" s="226"/>
      <c r="M2" s="168"/>
    </row>
    <row r="3" spans="1:13" customFormat="1" ht="15">
      <c r="A3" s="1364">
        <v>44980</v>
      </c>
      <c r="B3" s="1364" t="s">
        <v>2644</v>
      </c>
      <c r="C3" s="1364" t="s">
        <v>4145</v>
      </c>
      <c r="D3" s="1365" t="s">
        <v>4200</v>
      </c>
      <c r="E3" s="1369">
        <v>902.4</v>
      </c>
      <c r="F3" s="649">
        <v>0</v>
      </c>
      <c r="G3" s="631">
        <v>902.4</v>
      </c>
      <c r="H3" s="1364">
        <v>45000</v>
      </c>
      <c r="I3" s="1963">
        <v>10000</v>
      </c>
      <c r="J3" s="1918">
        <v>45049</v>
      </c>
      <c r="K3" s="1956" t="s">
        <v>5519</v>
      </c>
      <c r="L3" s="226"/>
      <c r="M3" s="168"/>
    </row>
    <row r="4" spans="1:13" customFormat="1" ht="15">
      <c r="A4" s="1497">
        <v>44980</v>
      </c>
      <c r="B4" s="1497" t="s">
        <v>2644</v>
      </c>
      <c r="C4" s="1497" t="s">
        <v>4145</v>
      </c>
      <c r="D4" s="1499" t="s">
        <v>4201</v>
      </c>
      <c r="E4" s="1502">
        <v>8504.6299999999992</v>
      </c>
      <c r="F4" s="649">
        <v>0</v>
      </c>
      <c r="G4" s="631">
        <v>8504.6299999999992</v>
      </c>
      <c r="H4" s="1364">
        <v>45000</v>
      </c>
      <c r="I4" s="1964"/>
      <c r="J4" s="1919"/>
      <c r="K4" s="1962"/>
      <c r="L4" s="226"/>
      <c r="M4" s="168"/>
    </row>
    <row r="5" spans="1:13" customFormat="1" ht="15">
      <c r="A5" s="1903">
        <v>45007</v>
      </c>
      <c r="B5" s="1903" t="s">
        <v>2644</v>
      </c>
      <c r="C5" s="1903" t="s">
        <v>4145</v>
      </c>
      <c r="D5" s="1909" t="s">
        <v>4530</v>
      </c>
      <c r="E5" s="1923">
        <v>525.12</v>
      </c>
      <c r="F5" s="1927">
        <v>110.28</v>
      </c>
      <c r="G5" s="631">
        <v>592.97</v>
      </c>
      <c r="H5" s="1364">
        <v>45027</v>
      </c>
      <c r="I5" s="1965"/>
      <c r="J5" s="1920"/>
      <c r="K5" s="1957"/>
      <c r="L5" s="226"/>
      <c r="M5" s="168"/>
    </row>
    <row r="6" spans="1:13" customFormat="1" ht="15">
      <c r="A6" s="1905"/>
      <c r="B6" s="1905"/>
      <c r="C6" s="1905"/>
      <c r="D6" s="1911"/>
      <c r="E6" s="1924"/>
      <c r="F6" s="1928"/>
      <c r="G6" s="631">
        <f>635.4-592.97</f>
        <v>42.42999999999995</v>
      </c>
      <c r="H6" s="1497">
        <v>45027</v>
      </c>
      <c r="I6" s="1958">
        <v>5000</v>
      </c>
      <c r="J6" s="1918">
        <v>45104</v>
      </c>
      <c r="K6" s="1956" t="s">
        <v>5843</v>
      </c>
      <c r="L6" s="226"/>
      <c r="M6" s="168"/>
    </row>
    <row r="7" spans="1:13" customFormat="1" ht="15">
      <c r="A7" s="1497">
        <v>45020</v>
      </c>
      <c r="B7" s="1497" t="s">
        <v>2644</v>
      </c>
      <c r="C7" s="1497" t="s">
        <v>4145</v>
      </c>
      <c r="D7" s="1499" t="s">
        <v>4667</v>
      </c>
      <c r="E7" s="1502">
        <v>1208.6300000000001</v>
      </c>
      <c r="F7" s="649">
        <v>0</v>
      </c>
      <c r="G7" s="631">
        <v>1208.6300000000001</v>
      </c>
      <c r="H7" s="1497">
        <v>45040</v>
      </c>
      <c r="I7" s="1966"/>
      <c r="J7" s="1919"/>
      <c r="K7" s="1962"/>
      <c r="L7" s="226"/>
      <c r="M7" s="168"/>
    </row>
    <row r="8" spans="1:13" customFormat="1" ht="15">
      <c r="A8" s="1497">
        <v>45026.000497685185</v>
      </c>
      <c r="B8" s="1645" t="s">
        <v>2644</v>
      </c>
      <c r="C8" s="1645" t="s">
        <v>4145</v>
      </c>
      <c r="D8" s="1648" t="s">
        <v>4699</v>
      </c>
      <c r="E8" s="1653">
        <v>1306.8</v>
      </c>
      <c r="F8" s="649">
        <v>0</v>
      </c>
      <c r="G8" s="631">
        <v>1306.8</v>
      </c>
      <c r="H8" s="1497">
        <v>45046</v>
      </c>
      <c r="I8" s="1966"/>
      <c r="J8" s="1919"/>
      <c r="K8" s="1962"/>
      <c r="L8" s="226"/>
      <c r="M8" s="168"/>
    </row>
    <row r="9" spans="1:13" customFormat="1" ht="15">
      <c r="A9" s="1497">
        <v>45033</v>
      </c>
      <c r="B9" s="1645" t="s">
        <v>2644</v>
      </c>
      <c r="C9" s="1645" t="s">
        <v>4145</v>
      </c>
      <c r="D9" s="1648" t="s">
        <v>4774</v>
      </c>
      <c r="E9" s="1653">
        <v>1518.75</v>
      </c>
      <c r="F9" s="649">
        <v>0</v>
      </c>
      <c r="G9" s="631">
        <v>1518.75</v>
      </c>
      <c r="H9" s="1497">
        <v>45063</v>
      </c>
      <c r="I9" s="1966"/>
      <c r="J9" s="1919"/>
      <c r="K9" s="1962"/>
      <c r="L9" s="226"/>
      <c r="M9" s="168"/>
    </row>
    <row r="10" spans="1:13" customFormat="1" ht="15">
      <c r="A10" s="1903">
        <v>45033</v>
      </c>
      <c r="B10" s="1903" t="s">
        <v>2644</v>
      </c>
      <c r="C10" s="1903" t="s">
        <v>4145</v>
      </c>
      <c r="D10" s="1909" t="s">
        <v>4775</v>
      </c>
      <c r="E10" s="1923">
        <v>2079</v>
      </c>
      <c r="F10" s="1927">
        <v>0</v>
      </c>
      <c r="G10" s="631">
        <v>923.39</v>
      </c>
      <c r="H10" s="1497">
        <v>45063</v>
      </c>
      <c r="I10" s="1959"/>
      <c r="J10" s="1920"/>
      <c r="K10" s="1957"/>
      <c r="L10" s="226"/>
      <c r="M10" s="168"/>
    </row>
    <row r="11" spans="1:13" customFormat="1" ht="15">
      <c r="A11" s="1905"/>
      <c r="B11" s="1905"/>
      <c r="C11" s="1905"/>
      <c r="D11" s="1911"/>
      <c r="E11" s="1924"/>
      <c r="F11" s="1928"/>
      <c r="G11" s="631">
        <f>2079-923.39</f>
        <v>1155.6100000000001</v>
      </c>
      <c r="H11" s="1579">
        <v>45063</v>
      </c>
      <c r="I11" s="1958">
        <v>5000</v>
      </c>
      <c r="J11" s="1918">
        <v>45138</v>
      </c>
      <c r="K11" s="1956" t="s">
        <v>6131</v>
      </c>
      <c r="L11" s="226"/>
      <c r="M11" s="168"/>
    </row>
    <row r="12" spans="1:13" customFormat="1" ht="15">
      <c r="A12" s="1903">
        <v>45033</v>
      </c>
      <c r="B12" s="1903" t="s">
        <v>2644</v>
      </c>
      <c r="C12" s="1903" t="s">
        <v>4145</v>
      </c>
      <c r="D12" s="1909" t="s">
        <v>4776</v>
      </c>
      <c r="E12" s="1923">
        <v>6165.34</v>
      </c>
      <c r="F12" s="1927">
        <v>0</v>
      </c>
      <c r="G12" s="631">
        <v>3844.39</v>
      </c>
      <c r="H12" s="1579">
        <v>45063</v>
      </c>
      <c r="I12" s="1959"/>
      <c r="J12" s="1920"/>
      <c r="K12" s="1957"/>
      <c r="L12" s="226"/>
      <c r="M12" s="168"/>
    </row>
    <row r="13" spans="1:13" customFormat="1" ht="15">
      <c r="A13" s="1904"/>
      <c r="B13" s="1904"/>
      <c r="C13" s="1904"/>
      <c r="D13" s="1910"/>
      <c r="E13" s="1961"/>
      <c r="F13" s="1960"/>
      <c r="G13" s="631">
        <v>635.4</v>
      </c>
      <c r="H13" s="1645">
        <v>45063</v>
      </c>
      <c r="I13" s="1642">
        <v>635.4</v>
      </c>
      <c r="J13" s="1640">
        <v>45163</v>
      </c>
      <c r="K13" s="1644" t="s">
        <v>5930</v>
      </c>
      <c r="L13" s="226"/>
      <c r="M13" s="168"/>
    </row>
    <row r="14" spans="1:13" customFormat="1" ht="15">
      <c r="A14" s="1905"/>
      <c r="B14" s="1905"/>
      <c r="C14" s="1905"/>
      <c r="D14" s="1911"/>
      <c r="E14" s="1924"/>
      <c r="F14" s="1928"/>
      <c r="G14" s="631">
        <f>6165.34-3844.39-635.4</f>
        <v>1685.5500000000002</v>
      </c>
      <c r="H14" s="1645">
        <v>45063</v>
      </c>
      <c r="I14" s="639">
        <v>1685.5500000000002</v>
      </c>
      <c r="J14" s="1640">
        <v>45163</v>
      </c>
      <c r="K14" s="1644" t="s">
        <v>6133</v>
      </c>
      <c r="L14" s="226"/>
      <c r="M14" s="168"/>
    </row>
    <row r="15" spans="1:13" customFormat="1" ht="15">
      <c r="A15" s="1645">
        <v>45007</v>
      </c>
      <c r="B15" s="1645" t="s">
        <v>2644</v>
      </c>
      <c r="C15" s="1645" t="s">
        <v>4145</v>
      </c>
      <c r="D15" s="1648" t="s">
        <v>4531</v>
      </c>
      <c r="E15" s="1653">
        <v>1115.7</v>
      </c>
      <c r="F15" s="649">
        <v>234.3</v>
      </c>
      <c r="G15" s="631">
        <v>1350</v>
      </c>
      <c r="H15" s="1645">
        <v>45027</v>
      </c>
      <c r="I15" s="611">
        <v>1350</v>
      </c>
      <c r="J15" s="1645">
        <v>45163</v>
      </c>
      <c r="K15" s="1644" t="s">
        <v>5930</v>
      </c>
      <c r="L15" s="226"/>
      <c r="M15" s="168"/>
    </row>
    <row r="16" spans="1:13" customFormat="1" ht="15">
      <c r="A16" s="1645">
        <v>45044</v>
      </c>
      <c r="B16" s="1645" t="s">
        <v>2644</v>
      </c>
      <c r="C16" s="1645" t="s">
        <v>4145</v>
      </c>
      <c r="D16" s="1648" t="s">
        <v>4857</v>
      </c>
      <c r="E16" s="1653">
        <v>2191.0500000000002</v>
      </c>
      <c r="F16" s="649">
        <v>0</v>
      </c>
      <c r="G16" s="631">
        <v>2191.0500000000002</v>
      </c>
      <c r="H16" s="1645">
        <v>45074</v>
      </c>
      <c r="I16" s="1915">
        <v>3373.05</v>
      </c>
      <c r="J16" s="1918">
        <v>45163</v>
      </c>
      <c r="K16" s="1968" t="s">
        <v>6134</v>
      </c>
      <c r="L16" s="226"/>
      <c r="M16" s="168"/>
    </row>
    <row r="17" spans="1:13" customFormat="1" ht="15">
      <c r="A17" s="1941">
        <v>45098</v>
      </c>
      <c r="B17" s="1941" t="s">
        <v>2644</v>
      </c>
      <c r="C17" s="1941" t="s">
        <v>4145</v>
      </c>
      <c r="D17" s="1954" t="s">
        <v>5400</v>
      </c>
      <c r="E17" s="1945">
        <v>2232.15</v>
      </c>
      <c r="F17" s="1969">
        <v>0</v>
      </c>
      <c r="G17" s="631">
        <v>1182</v>
      </c>
      <c r="H17" s="1645">
        <v>45128</v>
      </c>
      <c r="I17" s="1917"/>
      <c r="J17" s="1920"/>
      <c r="K17" s="1957"/>
      <c r="L17" s="226"/>
      <c r="M17" s="168"/>
    </row>
    <row r="18" spans="1:13" customFormat="1" ht="15">
      <c r="A18" s="1967"/>
      <c r="B18" s="1967"/>
      <c r="C18" s="1967"/>
      <c r="D18" s="1973"/>
      <c r="E18" s="1972"/>
      <c r="F18" s="1970"/>
      <c r="G18" s="631">
        <v>1000</v>
      </c>
      <c r="H18" s="1718">
        <v>45128</v>
      </c>
      <c r="I18" s="1712">
        <v>1000</v>
      </c>
      <c r="J18" s="1709">
        <v>45187</v>
      </c>
      <c r="K18" s="1715" t="s">
        <v>6132</v>
      </c>
      <c r="L18" s="226"/>
      <c r="M18" s="168"/>
    </row>
    <row r="19" spans="1:13" customFormat="1" ht="15">
      <c r="A19" s="1942"/>
      <c r="B19" s="1942"/>
      <c r="C19" s="1942"/>
      <c r="D19" s="1955"/>
      <c r="E19" s="1946"/>
      <c r="F19" s="1971"/>
      <c r="G19" s="606">
        <f>2232.15-1182-1000</f>
        <v>50.150000000000091</v>
      </c>
      <c r="H19" s="623">
        <v>45128</v>
      </c>
      <c r="I19" s="639"/>
      <c r="J19" s="1479"/>
      <c r="K19" s="226"/>
      <c r="L19" s="226"/>
      <c r="M19" s="168"/>
    </row>
    <row r="20" spans="1:13" customFormat="1" ht="15">
      <c r="A20" s="623"/>
      <c r="B20" s="623"/>
      <c r="C20" s="623"/>
      <c r="D20" s="624"/>
      <c r="E20" s="603"/>
      <c r="F20" s="644"/>
      <c r="G20" s="606"/>
      <c r="H20" s="623"/>
      <c r="I20" s="639"/>
      <c r="J20" s="1479"/>
      <c r="K20" s="226"/>
      <c r="L20" s="226"/>
      <c r="M20" s="168"/>
    </row>
    <row r="21" spans="1:13" customFormat="1" ht="15">
      <c r="A21" s="623"/>
      <c r="B21" s="623"/>
      <c r="C21" s="623"/>
      <c r="D21" s="624"/>
      <c r="E21" s="603"/>
      <c r="F21" s="644"/>
      <c r="G21" s="606"/>
      <c r="H21" s="623"/>
      <c r="I21" s="639"/>
      <c r="J21" s="1479"/>
      <c r="K21" s="226"/>
      <c r="L21" s="226"/>
      <c r="M21" s="168"/>
    </row>
    <row r="22" spans="1:13" customFormat="1" ht="15">
      <c r="A22" s="623"/>
      <c r="B22" s="623"/>
      <c r="C22" s="623"/>
      <c r="D22" s="624"/>
      <c r="E22" s="603"/>
      <c r="F22" s="644"/>
      <c r="G22" s="606"/>
      <c r="H22" s="623"/>
      <c r="I22" s="639"/>
      <c r="J22" s="620"/>
      <c r="K22" s="226"/>
      <c r="L22" s="226"/>
      <c r="M22" s="168"/>
    </row>
    <row r="23" spans="1:13" customFormat="1" ht="15">
      <c r="A23" s="623"/>
      <c r="B23" s="623"/>
      <c r="C23" s="623"/>
      <c r="D23" s="624"/>
      <c r="E23" s="603"/>
      <c r="F23" s="644"/>
      <c r="G23" s="606"/>
      <c r="H23" s="623"/>
      <c r="I23" s="639"/>
      <c r="J23" s="620"/>
      <c r="K23" s="226"/>
      <c r="L23" s="226"/>
      <c r="M23" s="168"/>
    </row>
    <row r="24" spans="1:13" customFormat="1" ht="15">
      <c r="A24" s="721"/>
      <c r="B24" s="623"/>
      <c r="C24" s="623"/>
      <c r="D24" s="624"/>
      <c r="E24" s="603"/>
      <c r="F24" s="644"/>
      <c r="G24" s="606"/>
      <c r="H24" s="623"/>
      <c r="I24" s="639"/>
      <c r="J24" s="620"/>
      <c r="K24" s="226"/>
      <c r="L24" s="226"/>
      <c r="M24" s="168"/>
    </row>
    <row r="25" spans="1:13" customFormat="1" ht="15">
      <c r="A25" s="641"/>
      <c r="B25" s="641"/>
      <c r="C25" s="641"/>
      <c r="D25" s="616"/>
      <c r="E25" s="616"/>
      <c r="F25" s="1144" t="s">
        <v>545</v>
      </c>
      <c r="G25" s="645">
        <f>SUM(G2:G24)-SUM(I2:I24)</f>
        <v>50.149999999997817</v>
      </c>
      <c r="H25" s="620"/>
      <c r="I25" s="639"/>
      <c r="J25" s="620"/>
      <c r="K25" s="226"/>
      <c r="L25" s="226"/>
      <c r="M25" s="168"/>
    </row>
    <row r="26" spans="1:13">
      <c r="A26" s="271"/>
      <c r="B26" s="271"/>
      <c r="C26" s="271"/>
      <c r="D26" s="135"/>
      <c r="E26" s="135"/>
      <c r="F26" s="135"/>
      <c r="G26" s="173"/>
      <c r="H26" s="173"/>
      <c r="I26" s="173"/>
      <c r="J26" s="173"/>
      <c r="K26" s="173"/>
      <c r="L26" s="173"/>
      <c r="M26" s="173"/>
    </row>
    <row r="27" spans="1:13">
      <c r="A27" s="271"/>
      <c r="B27" s="271"/>
      <c r="C27" s="271"/>
      <c r="D27" s="173"/>
      <c r="E27" s="173"/>
      <c r="F27" s="173"/>
      <c r="G27" s="173"/>
      <c r="H27" s="173"/>
      <c r="I27" s="173"/>
      <c r="J27" s="173"/>
      <c r="K27" s="173"/>
      <c r="L27" s="173"/>
      <c r="M27" s="173"/>
    </row>
    <row r="28" spans="1:13">
      <c r="A28" s="271"/>
      <c r="B28" s="271"/>
      <c r="C28" s="271"/>
      <c r="D28" s="173"/>
      <c r="E28" s="173"/>
      <c r="F28" s="173"/>
      <c r="G28" s="173"/>
      <c r="H28" s="173"/>
      <c r="I28" s="173"/>
      <c r="J28" s="173"/>
      <c r="K28" s="173"/>
      <c r="L28" s="173"/>
      <c r="M28" s="173"/>
    </row>
    <row r="29" spans="1:13">
      <c r="A29" s="271"/>
      <c r="B29" s="271"/>
      <c r="C29" s="271"/>
      <c r="D29" s="173"/>
      <c r="E29" s="173"/>
      <c r="F29" s="173"/>
      <c r="G29" s="173"/>
      <c r="H29" s="173"/>
      <c r="I29" s="173"/>
      <c r="J29" s="173"/>
      <c r="K29" s="173"/>
      <c r="L29" s="173"/>
      <c r="M29" s="173"/>
    </row>
    <row r="30" spans="1:13">
      <c r="A30" s="271"/>
      <c r="B30" s="271"/>
      <c r="C30" s="271"/>
      <c r="D30" s="173"/>
      <c r="E30" s="173"/>
      <c r="F30" s="173"/>
      <c r="G30" s="173"/>
      <c r="H30" s="173"/>
      <c r="I30" s="173"/>
      <c r="J30" s="173"/>
      <c r="K30" s="173"/>
      <c r="L30" s="173"/>
      <c r="M30" s="173"/>
    </row>
    <row r="31" spans="1:13">
      <c r="A31" s="271"/>
      <c r="B31" s="271"/>
      <c r="C31" s="271"/>
      <c r="D31" s="173"/>
      <c r="E31" s="173"/>
      <c r="F31" s="173"/>
      <c r="G31" s="173"/>
      <c r="H31" s="173"/>
      <c r="I31" s="173"/>
      <c r="J31" s="173"/>
      <c r="K31" s="173"/>
      <c r="L31" s="173"/>
      <c r="M31" s="173"/>
    </row>
    <row r="32" spans="1:13">
      <c r="A32" s="271"/>
      <c r="B32" s="271"/>
      <c r="C32" s="271"/>
      <c r="D32" s="173"/>
      <c r="E32" s="173"/>
      <c r="F32" s="173"/>
      <c r="G32" s="173"/>
      <c r="H32" s="173"/>
      <c r="I32" s="173"/>
      <c r="J32" s="173"/>
      <c r="K32" s="173"/>
      <c r="L32" s="173"/>
      <c r="M32" s="173"/>
    </row>
    <row r="33" spans="1:13">
      <c r="A33" s="271"/>
      <c r="B33" s="271"/>
      <c r="C33" s="271"/>
      <c r="D33" s="173"/>
      <c r="E33" s="173"/>
      <c r="F33" s="173"/>
      <c r="G33" s="173"/>
      <c r="H33" s="173"/>
      <c r="I33" s="173"/>
      <c r="J33" s="173"/>
      <c r="K33" s="173"/>
      <c r="L33" s="173"/>
      <c r="M33" s="173"/>
    </row>
    <row r="34" spans="1:13">
      <c r="A34" s="271"/>
      <c r="B34" s="271"/>
      <c r="C34" s="271"/>
      <c r="D34" s="173"/>
      <c r="E34" s="173"/>
      <c r="F34" s="173"/>
      <c r="G34" s="173"/>
      <c r="H34" s="173"/>
      <c r="I34" s="173"/>
      <c r="J34" s="173"/>
      <c r="K34" s="173"/>
      <c r="L34" s="173"/>
      <c r="M34" s="173"/>
    </row>
    <row r="35" spans="1:13">
      <c r="A35" s="271"/>
      <c r="B35" s="271"/>
      <c r="C35" s="271"/>
      <c r="D35" s="173"/>
      <c r="E35" s="173"/>
      <c r="F35" s="173"/>
      <c r="G35" s="173"/>
      <c r="H35" s="173"/>
      <c r="I35" s="173"/>
      <c r="J35" s="173"/>
      <c r="K35" s="173"/>
      <c r="L35" s="173"/>
      <c r="M35" s="173"/>
    </row>
    <row r="36" spans="1:13">
      <c r="A36" s="271"/>
      <c r="B36" s="271"/>
      <c r="C36" s="271"/>
      <c r="D36" s="173"/>
      <c r="E36" s="173"/>
      <c r="F36" s="173"/>
      <c r="G36" s="173"/>
      <c r="H36" s="173"/>
      <c r="I36" s="173"/>
      <c r="J36" s="173"/>
      <c r="K36" s="173"/>
      <c r="L36" s="173"/>
      <c r="M36" s="173"/>
    </row>
  </sheetData>
  <mergeCells count="36">
    <mergeCell ref="A17:A19"/>
    <mergeCell ref="I16:I17"/>
    <mergeCell ref="J16:J17"/>
    <mergeCell ref="K16:K17"/>
    <mergeCell ref="F17:F19"/>
    <mergeCell ref="E17:E19"/>
    <mergeCell ref="D17:D19"/>
    <mergeCell ref="C17:C19"/>
    <mergeCell ref="B17:B19"/>
    <mergeCell ref="D5:D6"/>
    <mergeCell ref="C5:C6"/>
    <mergeCell ref="B5:B6"/>
    <mergeCell ref="A5:A6"/>
    <mergeCell ref="F10:F11"/>
    <mergeCell ref="E10:E11"/>
    <mergeCell ref="K3:K5"/>
    <mergeCell ref="J3:J5"/>
    <mergeCell ref="I3:I5"/>
    <mergeCell ref="F5:F6"/>
    <mergeCell ref="E5:E6"/>
    <mergeCell ref="K6:K10"/>
    <mergeCell ref="J6:J10"/>
    <mergeCell ref="I6:I10"/>
    <mergeCell ref="A12:A14"/>
    <mergeCell ref="K11:K12"/>
    <mergeCell ref="J11:J12"/>
    <mergeCell ref="I11:I12"/>
    <mergeCell ref="F12:F14"/>
    <mergeCell ref="E12:E14"/>
    <mergeCell ref="D12:D14"/>
    <mergeCell ref="C12:C14"/>
    <mergeCell ref="B12:B14"/>
    <mergeCell ref="D10:D11"/>
    <mergeCell ref="C10:C11"/>
    <mergeCell ref="B10:B11"/>
    <mergeCell ref="A10:A11"/>
  </mergeCells>
  <phoneticPr fontId="68" type="noConversion"/>
  <hyperlinks>
    <hyperlink ref="F25" location="汇总!A1" display="剩余欠款"/>
  </hyperlinks>
  <pageMargins left="0.7" right="0.7" top="0.75" bottom="0.75" header="0.3" footer="0.3"/>
  <pageSetup paperSize="9" orientation="portrait" horizontalDpi="0" verticalDpi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N244"/>
  <sheetViews>
    <sheetView workbookViewId="0">
      <pane ySplit="1" topLeftCell="A216" activePane="bottomLeft" state="frozen"/>
      <selection activeCell="C33" sqref="C33"/>
      <selection pane="bottomLeft" activeCell="F243" sqref="F243"/>
    </sheetView>
  </sheetViews>
  <sheetFormatPr defaultRowHeight="14.25"/>
  <cols>
    <col min="1" max="1" width="13.25" style="139" bestFit="1" customWidth="1"/>
    <col min="2" max="2" width="8.875" style="139" bestFit="1" customWidth="1"/>
    <col min="3" max="3" width="36.875" style="139" bestFit="1" customWidth="1"/>
    <col min="4" max="4" width="16.125" style="135" bestFit="1" customWidth="1"/>
    <col min="5" max="5" width="16.125" style="520" customWidth="1"/>
    <col min="6" max="6" width="12.75" style="519" customWidth="1"/>
    <col min="7" max="7" width="18.5" style="175" bestFit="1" customWidth="1"/>
    <col min="8" max="8" width="16.75" style="175" bestFit="1" customWidth="1"/>
    <col min="9" max="9" width="14.125" style="333" bestFit="1" customWidth="1"/>
    <col min="10" max="10" width="21.375" style="139" customWidth="1"/>
    <col min="11" max="11" width="26.25" style="139" customWidth="1"/>
    <col min="12" max="12" width="27.875" style="168" customWidth="1"/>
    <col min="13" max="13" width="10.5" style="168" bestFit="1" customWidth="1"/>
    <col min="14" max="14" width="12" style="168" customWidth="1"/>
    <col min="15" max="16384" width="9" style="168"/>
  </cols>
  <sheetData>
    <row r="1" spans="1:13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7" t="s">
        <v>542</v>
      </c>
    </row>
    <row r="2" spans="1:13" ht="15">
      <c r="A2" s="664">
        <v>44329</v>
      </c>
      <c r="B2" s="1124" t="s">
        <v>522</v>
      </c>
      <c r="C2" s="1124" t="s">
        <v>3679</v>
      </c>
      <c r="D2" s="621" t="s">
        <v>1465</v>
      </c>
      <c r="E2" s="613">
        <v>17807.150000000001</v>
      </c>
      <c r="F2" s="633">
        <v>0</v>
      </c>
      <c r="G2" s="639">
        <v>17807.150000000001</v>
      </c>
      <c r="H2" s="664">
        <v>44329</v>
      </c>
      <c r="I2" s="613">
        <v>5436</v>
      </c>
      <c r="J2" s="647" t="s">
        <v>587</v>
      </c>
      <c r="K2" s="365" t="s">
        <v>544</v>
      </c>
      <c r="L2" s="226"/>
      <c r="M2" s="190"/>
    </row>
    <row r="3" spans="1:13" ht="15">
      <c r="A3" s="664">
        <v>44329</v>
      </c>
      <c r="B3" s="1124"/>
      <c r="C3" s="1124"/>
      <c r="D3" s="621"/>
      <c r="E3" s="613"/>
      <c r="F3" s="633"/>
      <c r="G3" s="639">
        <v>-20</v>
      </c>
      <c r="H3" s="664"/>
      <c r="I3" s="613"/>
      <c r="J3" s="647"/>
      <c r="K3" s="365"/>
      <c r="L3" s="226"/>
      <c r="M3" s="190"/>
    </row>
    <row r="4" spans="1:13" ht="15">
      <c r="A4" s="647"/>
      <c r="B4" s="1124"/>
      <c r="C4" s="1124"/>
      <c r="D4" s="647"/>
      <c r="E4" s="613"/>
      <c r="F4" s="633" t="s">
        <v>3098</v>
      </c>
      <c r="G4" s="639">
        <f>G2-I2+G3</f>
        <v>12351.150000000001</v>
      </c>
      <c r="H4" s="639"/>
      <c r="I4" s="613">
        <v>5065.91</v>
      </c>
      <c r="J4" s="647" t="s">
        <v>543</v>
      </c>
      <c r="K4" s="365" t="s">
        <v>544</v>
      </c>
      <c r="L4" s="226"/>
      <c r="M4" s="190"/>
    </row>
    <row r="5" spans="1:13" ht="15">
      <c r="A5" s="647"/>
      <c r="B5" s="1124"/>
      <c r="C5" s="1124"/>
      <c r="D5" s="647"/>
      <c r="E5" s="613"/>
      <c r="F5" s="633" t="s">
        <v>3098</v>
      </c>
      <c r="G5" s="639">
        <f>G4-I4</f>
        <v>7285.2400000000016</v>
      </c>
      <c r="H5" s="639"/>
      <c r="I5" s="613">
        <v>6212.68</v>
      </c>
      <c r="J5" s="647" t="s">
        <v>630</v>
      </c>
      <c r="K5" s="365" t="s">
        <v>544</v>
      </c>
      <c r="L5" s="226"/>
      <c r="M5" s="190"/>
    </row>
    <row r="6" spans="1:13" ht="15">
      <c r="A6" s="647"/>
      <c r="B6" s="1124"/>
      <c r="C6" s="1124"/>
      <c r="D6" s="647"/>
      <c r="E6" s="613"/>
      <c r="F6" s="633" t="s">
        <v>3098</v>
      </c>
      <c r="G6" s="639">
        <f>G5-I5</f>
        <v>1072.5600000000013</v>
      </c>
      <c r="H6" s="639"/>
      <c r="I6" s="613">
        <v>5000</v>
      </c>
      <c r="J6" s="647" t="s">
        <v>1020</v>
      </c>
      <c r="K6" s="365" t="s">
        <v>550</v>
      </c>
      <c r="L6" s="226"/>
      <c r="M6" s="190"/>
    </row>
    <row r="7" spans="1:13" ht="15">
      <c r="A7" s="664">
        <v>44349</v>
      </c>
      <c r="B7" s="1124" t="s">
        <v>522</v>
      </c>
      <c r="C7" s="1124" t="s">
        <v>3679</v>
      </c>
      <c r="D7" s="621" t="s">
        <v>1466</v>
      </c>
      <c r="E7" s="613">
        <v>3064.55</v>
      </c>
      <c r="F7" s="633">
        <v>0</v>
      </c>
      <c r="G7" s="651">
        <v>3064.55</v>
      </c>
      <c r="H7" s="794">
        <v>44349</v>
      </c>
      <c r="I7" s="613">
        <v>10000</v>
      </c>
      <c r="J7" s="647" t="s">
        <v>620</v>
      </c>
      <c r="K7" s="365" t="s">
        <v>544</v>
      </c>
      <c r="L7" s="226"/>
      <c r="M7" s="190"/>
    </row>
    <row r="8" spans="1:13" ht="15">
      <c r="A8" s="664">
        <v>44351</v>
      </c>
      <c r="B8" s="1124" t="s">
        <v>522</v>
      </c>
      <c r="C8" s="1124" t="s">
        <v>3679</v>
      </c>
      <c r="D8" s="621" t="s">
        <v>1467</v>
      </c>
      <c r="E8" s="613">
        <v>8969.84</v>
      </c>
      <c r="F8" s="633">
        <v>0</v>
      </c>
      <c r="G8" s="639">
        <v>8969.84</v>
      </c>
      <c r="H8" s="664">
        <v>44351</v>
      </c>
      <c r="I8" s="2036">
        <v>2782.36</v>
      </c>
      <c r="J8" s="2069" t="s">
        <v>620</v>
      </c>
      <c r="K8" s="2070" t="s">
        <v>544</v>
      </c>
      <c r="L8" s="226"/>
      <c r="M8" s="190"/>
    </row>
    <row r="9" spans="1:13" ht="15">
      <c r="A9" s="664">
        <v>44359</v>
      </c>
      <c r="B9" s="1124" t="s">
        <v>522</v>
      </c>
      <c r="C9" s="1124" t="s">
        <v>3679</v>
      </c>
      <c r="D9" s="621" t="s">
        <v>1468</v>
      </c>
      <c r="E9" s="613">
        <v>1293.9000000000001</v>
      </c>
      <c r="F9" s="633">
        <v>0</v>
      </c>
      <c r="G9" s="639">
        <v>1293.9000000000001</v>
      </c>
      <c r="H9" s="664">
        <v>44359</v>
      </c>
      <c r="I9" s="2036"/>
      <c r="J9" s="2069"/>
      <c r="K9" s="2070"/>
      <c r="L9" s="226"/>
      <c r="M9" s="190"/>
    </row>
    <row r="10" spans="1:13" ht="15">
      <c r="A10" s="664">
        <v>44372</v>
      </c>
      <c r="B10" s="1124" t="s">
        <v>522</v>
      </c>
      <c r="C10" s="1124" t="s">
        <v>3679</v>
      </c>
      <c r="D10" s="621" t="s">
        <v>1469</v>
      </c>
      <c r="E10" s="613">
        <v>476.61</v>
      </c>
      <c r="F10" s="633">
        <v>0</v>
      </c>
      <c r="G10" s="639">
        <v>476.61</v>
      </c>
      <c r="H10" s="664">
        <v>44372</v>
      </c>
      <c r="I10" s="2036"/>
      <c r="J10" s="2069"/>
      <c r="K10" s="2070"/>
      <c r="L10" s="226"/>
      <c r="M10" s="190"/>
    </row>
    <row r="11" spans="1:13" ht="15">
      <c r="A11" s="664">
        <v>44372</v>
      </c>
      <c r="B11" s="1124" t="s">
        <v>522</v>
      </c>
      <c r="C11" s="1124" t="s">
        <v>3679</v>
      </c>
      <c r="D11" s="621" t="s">
        <v>1470</v>
      </c>
      <c r="E11" s="613">
        <v>3824.2</v>
      </c>
      <c r="F11" s="633">
        <v>0</v>
      </c>
      <c r="G11" s="639">
        <v>3824.2</v>
      </c>
      <c r="H11" s="664">
        <v>44372</v>
      </c>
      <c r="I11" s="2036"/>
      <c r="J11" s="2069"/>
      <c r="K11" s="2070"/>
      <c r="L11" s="226"/>
      <c r="M11" s="190"/>
    </row>
    <row r="12" spans="1:13" ht="15">
      <c r="A12" s="647"/>
      <c r="B12" s="1124"/>
      <c r="C12" s="1124"/>
      <c r="D12" s="647"/>
      <c r="E12" s="613"/>
      <c r="F12" s="633" t="s">
        <v>3098</v>
      </c>
      <c r="G12" s="639">
        <f>SUM(G6:G11)-I6-I7-I8</f>
        <v>919.29999999999973</v>
      </c>
      <c r="H12" s="664"/>
      <c r="I12" s="2036">
        <v>3701.29</v>
      </c>
      <c r="J12" s="2069" t="s">
        <v>640</v>
      </c>
      <c r="K12" s="2070" t="s">
        <v>544</v>
      </c>
      <c r="L12" s="226"/>
      <c r="M12" s="190"/>
    </row>
    <row r="13" spans="1:13" ht="15">
      <c r="A13" s="664">
        <v>44379</v>
      </c>
      <c r="B13" s="1124" t="s">
        <v>522</v>
      </c>
      <c r="C13" s="1124" t="s">
        <v>3679</v>
      </c>
      <c r="D13" s="621" t="s">
        <v>1471</v>
      </c>
      <c r="E13" s="613">
        <v>394.5</v>
      </c>
      <c r="F13" s="633">
        <v>0</v>
      </c>
      <c r="G13" s="639">
        <v>394.5</v>
      </c>
      <c r="H13" s="664">
        <v>44379</v>
      </c>
      <c r="I13" s="2036"/>
      <c r="J13" s="2069"/>
      <c r="K13" s="2070"/>
      <c r="L13" s="226"/>
      <c r="M13" s="190"/>
    </row>
    <row r="14" spans="1:13" ht="15">
      <c r="A14" s="664">
        <v>44382</v>
      </c>
      <c r="B14" s="1124" t="s">
        <v>522</v>
      </c>
      <c r="C14" s="1124" t="s">
        <v>3679</v>
      </c>
      <c r="D14" s="621" t="s">
        <v>1472</v>
      </c>
      <c r="E14" s="613">
        <v>3915.41</v>
      </c>
      <c r="F14" s="633">
        <v>0</v>
      </c>
      <c r="G14" s="639">
        <v>3915.41</v>
      </c>
      <c r="H14" s="664">
        <v>44382</v>
      </c>
      <c r="I14" s="2036"/>
      <c r="J14" s="2069"/>
      <c r="K14" s="2070"/>
      <c r="L14" s="226"/>
      <c r="M14" s="190"/>
    </row>
    <row r="15" spans="1:13" ht="15">
      <c r="A15" s="647"/>
      <c r="B15" s="1124"/>
      <c r="C15" s="1124"/>
      <c r="D15" s="647"/>
      <c r="E15" s="613"/>
      <c r="F15" s="633" t="s">
        <v>3098</v>
      </c>
      <c r="G15" s="639">
        <f>SUM(G12:G14)-I12</f>
        <v>1527.9199999999992</v>
      </c>
      <c r="H15" s="664"/>
      <c r="I15" s="2036">
        <v>10000</v>
      </c>
      <c r="J15" s="2069" t="s">
        <v>1150</v>
      </c>
      <c r="K15" s="2070" t="s">
        <v>544</v>
      </c>
      <c r="L15" s="226"/>
      <c r="M15" s="190"/>
    </row>
    <row r="16" spans="1:13" ht="15">
      <c r="A16" s="664">
        <v>44382</v>
      </c>
      <c r="B16" s="1124" t="s">
        <v>522</v>
      </c>
      <c r="C16" s="1124" t="s">
        <v>3679</v>
      </c>
      <c r="D16" s="621" t="s">
        <v>1473</v>
      </c>
      <c r="E16" s="613">
        <v>168</v>
      </c>
      <c r="F16" s="633">
        <v>0</v>
      </c>
      <c r="G16" s="639">
        <v>168</v>
      </c>
      <c r="H16" s="664">
        <v>44382</v>
      </c>
      <c r="I16" s="2036"/>
      <c r="J16" s="2069"/>
      <c r="K16" s="2070"/>
      <c r="L16" s="226"/>
      <c r="M16" s="190"/>
    </row>
    <row r="17" spans="1:13" ht="15">
      <c r="A17" s="664">
        <v>44383</v>
      </c>
      <c r="B17" s="1124" t="s">
        <v>522</v>
      </c>
      <c r="C17" s="1124" t="s">
        <v>3679</v>
      </c>
      <c r="D17" s="621" t="s">
        <v>1474</v>
      </c>
      <c r="E17" s="613">
        <v>588</v>
      </c>
      <c r="F17" s="633">
        <v>0</v>
      </c>
      <c r="G17" s="639">
        <v>588</v>
      </c>
      <c r="H17" s="664">
        <v>44383</v>
      </c>
      <c r="I17" s="2036"/>
      <c r="J17" s="2069"/>
      <c r="K17" s="2070"/>
      <c r="L17" s="226"/>
      <c r="M17" s="190"/>
    </row>
    <row r="18" spans="1:13" ht="15">
      <c r="A18" s="664">
        <v>44398</v>
      </c>
      <c r="B18" s="1124" t="s">
        <v>522</v>
      </c>
      <c r="C18" s="1124" t="s">
        <v>3679</v>
      </c>
      <c r="D18" s="621" t="s">
        <v>1475</v>
      </c>
      <c r="E18" s="613">
        <v>6212.68</v>
      </c>
      <c r="F18" s="633">
        <v>0</v>
      </c>
      <c r="G18" s="639">
        <v>6212.68</v>
      </c>
      <c r="H18" s="664">
        <v>44398</v>
      </c>
      <c r="I18" s="2036"/>
      <c r="J18" s="2069"/>
      <c r="K18" s="2070"/>
      <c r="L18" s="226"/>
      <c r="M18" s="190"/>
    </row>
    <row r="19" spans="1:13" ht="15">
      <c r="A19" s="664">
        <v>44402.999490740738</v>
      </c>
      <c r="B19" s="1124" t="s">
        <v>522</v>
      </c>
      <c r="C19" s="1124" t="s">
        <v>3679</v>
      </c>
      <c r="D19" s="621" t="s">
        <v>1476</v>
      </c>
      <c r="E19" s="613">
        <v>2782.36</v>
      </c>
      <c r="F19" s="633">
        <v>0</v>
      </c>
      <c r="G19" s="639">
        <v>2782.36</v>
      </c>
      <c r="H19" s="664">
        <v>44403</v>
      </c>
      <c r="I19" s="2036"/>
      <c r="J19" s="2069"/>
      <c r="K19" s="2070"/>
      <c r="L19" s="226"/>
      <c r="M19" s="190"/>
    </row>
    <row r="20" spans="1:13" ht="15">
      <c r="A20" s="647"/>
      <c r="B20" s="1124"/>
      <c r="C20" s="1124"/>
      <c r="D20" s="647"/>
      <c r="E20" s="613"/>
      <c r="F20" s="633" t="s">
        <v>3098</v>
      </c>
      <c r="G20" s="639">
        <f>SUM(G15:G19)-I15</f>
        <v>1278.9599999999991</v>
      </c>
      <c r="H20" s="664"/>
      <c r="I20" s="2036">
        <v>10000</v>
      </c>
      <c r="J20" s="2069" t="s">
        <v>832</v>
      </c>
      <c r="K20" s="2070" t="s">
        <v>544</v>
      </c>
      <c r="L20" s="226"/>
      <c r="M20" s="190"/>
    </row>
    <row r="21" spans="1:13" ht="15">
      <c r="A21" s="664">
        <v>44402.999490740738</v>
      </c>
      <c r="B21" s="1124" t="s">
        <v>522</v>
      </c>
      <c r="C21" s="1124" t="s">
        <v>3679</v>
      </c>
      <c r="D21" s="621" t="s">
        <v>1477</v>
      </c>
      <c r="E21" s="613">
        <v>3102.25</v>
      </c>
      <c r="F21" s="633">
        <v>0</v>
      </c>
      <c r="G21" s="639">
        <v>3102.25</v>
      </c>
      <c r="H21" s="664">
        <v>44403</v>
      </c>
      <c r="I21" s="2036"/>
      <c r="J21" s="2069"/>
      <c r="K21" s="2070"/>
      <c r="L21" s="226"/>
      <c r="M21" s="190"/>
    </row>
    <row r="22" spans="1:13" ht="15">
      <c r="A22" s="664">
        <v>44402.999490740738</v>
      </c>
      <c r="B22" s="1124" t="s">
        <v>522</v>
      </c>
      <c r="C22" s="1124" t="s">
        <v>3679</v>
      </c>
      <c r="D22" s="621" t="s">
        <v>1478</v>
      </c>
      <c r="E22" s="613">
        <v>599.04</v>
      </c>
      <c r="F22" s="633">
        <v>0</v>
      </c>
      <c r="G22" s="639">
        <v>599.04</v>
      </c>
      <c r="H22" s="664">
        <v>44403</v>
      </c>
      <c r="I22" s="2036"/>
      <c r="J22" s="2069"/>
      <c r="K22" s="2070"/>
      <c r="L22" s="226"/>
      <c r="M22" s="190"/>
    </row>
    <row r="23" spans="1:13" ht="15">
      <c r="A23" s="664">
        <v>44404.999490740738</v>
      </c>
      <c r="B23" s="1124" t="s">
        <v>522</v>
      </c>
      <c r="C23" s="1124" t="s">
        <v>3679</v>
      </c>
      <c r="D23" s="621" t="s">
        <v>1479</v>
      </c>
      <c r="E23" s="613">
        <v>-3871.49</v>
      </c>
      <c r="F23" s="633">
        <v>0</v>
      </c>
      <c r="G23" s="639">
        <v>-3871.49</v>
      </c>
      <c r="H23" s="664" t="s">
        <v>1529</v>
      </c>
      <c r="I23" s="2036"/>
      <c r="J23" s="2069"/>
      <c r="K23" s="2070"/>
      <c r="L23" s="226"/>
      <c r="M23" s="190"/>
    </row>
    <row r="24" spans="1:13" ht="15">
      <c r="A24" s="664">
        <v>44404.999490740738</v>
      </c>
      <c r="B24" s="1124" t="s">
        <v>522</v>
      </c>
      <c r="C24" s="1124" t="s">
        <v>3679</v>
      </c>
      <c r="D24" s="621" t="s">
        <v>1480</v>
      </c>
      <c r="E24" s="613">
        <v>-3.92</v>
      </c>
      <c r="F24" s="633">
        <v>0</v>
      </c>
      <c r="G24" s="639">
        <v>-3.92</v>
      </c>
      <c r="H24" s="664" t="s">
        <v>1529</v>
      </c>
      <c r="I24" s="2036"/>
      <c r="J24" s="2069"/>
      <c r="K24" s="2070"/>
      <c r="L24" s="226"/>
      <c r="M24" s="190"/>
    </row>
    <row r="25" spans="1:13" ht="15">
      <c r="A25" s="664">
        <v>44410</v>
      </c>
      <c r="B25" s="1124" t="s">
        <v>522</v>
      </c>
      <c r="C25" s="1124" t="s">
        <v>3679</v>
      </c>
      <c r="D25" s="621" t="s">
        <v>1481</v>
      </c>
      <c r="E25" s="613">
        <v>3232.57</v>
      </c>
      <c r="F25" s="633">
        <v>0</v>
      </c>
      <c r="G25" s="639">
        <v>3232.57</v>
      </c>
      <c r="H25" s="664">
        <v>44410</v>
      </c>
      <c r="I25" s="2036"/>
      <c r="J25" s="2069"/>
      <c r="K25" s="2070"/>
      <c r="L25" s="226"/>
      <c r="M25" s="190"/>
    </row>
    <row r="26" spans="1:13" ht="15">
      <c r="A26" s="664">
        <v>44412</v>
      </c>
      <c r="B26" s="1124" t="s">
        <v>522</v>
      </c>
      <c r="C26" s="1124" t="s">
        <v>3679</v>
      </c>
      <c r="D26" s="621" t="s">
        <v>1482</v>
      </c>
      <c r="E26" s="613">
        <v>3091.33</v>
      </c>
      <c r="F26" s="633">
        <v>0</v>
      </c>
      <c r="G26" s="639">
        <v>3091.33</v>
      </c>
      <c r="H26" s="664">
        <v>44412</v>
      </c>
      <c r="I26" s="2036"/>
      <c r="J26" s="2069"/>
      <c r="K26" s="2070"/>
      <c r="L26" s="226"/>
      <c r="M26" s="190"/>
    </row>
    <row r="27" spans="1:13" ht="15">
      <c r="A27" s="664">
        <v>44415</v>
      </c>
      <c r="B27" s="1124" t="s">
        <v>522</v>
      </c>
      <c r="C27" s="1124" t="s">
        <v>3679</v>
      </c>
      <c r="D27" s="621" t="s">
        <v>1483</v>
      </c>
      <c r="E27" s="613">
        <v>1240.56</v>
      </c>
      <c r="F27" s="633">
        <v>0</v>
      </c>
      <c r="G27" s="639">
        <v>1240.56</v>
      </c>
      <c r="H27" s="664">
        <v>44415</v>
      </c>
      <c r="I27" s="2036"/>
      <c r="J27" s="2069"/>
      <c r="K27" s="2070"/>
      <c r="L27" s="226"/>
      <c r="M27" s="190"/>
    </row>
    <row r="28" spans="1:13" ht="15">
      <c r="A28" s="664">
        <v>44417</v>
      </c>
      <c r="B28" s="1124" t="s">
        <v>522</v>
      </c>
      <c r="C28" s="1124" t="s">
        <v>3679</v>
      </c>
      <c r="D28" s="621" t="s">
        <v>1484</v>
      </c>
      <c r="E28" s="613">
        <v>1762.58</v>
      </c>
      <c r="F28" s="633">
        <v>0</v>
      </c>
      <c r="G28" s="639">
        <v>1762.58</v>
      </c>
      <c r="H28" s="664">
        <v>44417</v>
      </c>
      <c r="I28" s="2036"/>
      <c r="J28" s="2069"/>
      <c r="K28" s="2070"/>
      <c r="L28" s="226"/>
      <c r="M28" s="190"/>
    </row>
    <row r="29" spans="1:13" ht="15">
      <c r="A29" s="664">
        <v>44421</v>
      </c>
      <c r="B29" s="1124" t="s">
        <v>522</v>
      </c>
      <c r="C29" s="1124" t="s">
        <v>3679</v>
      </c>
      <c r="D29" s="621" t="s">
        <v>1485</v>
      </c>
      <c r="E29" s="613">
        <v>-40</v>
      </c>
      <c r="F29" s="633">
        <v>0</v>
      </c>
      <c r="G29" s="639">
        <v>-40</v>
      </c>
      <c r="H29" s="664">
        <v>44421</v>
      </c>
      <c r="I29" s="2036"/>
      <c r="J29" s="2069"/>
      <c r="K29" s="2070"/>
      <c r="L29" s="226"/>
      <c r="M29" s="190"/>
    </row>
    <row r="30" spans="1:13" ht="15">
      <c r="A30" s="647"/>
      <c r="B30" s="1124"/>
      <c r="C30" s="1124"/>
      <c r="D30" s="647"/>
      <c r="E30" s="613"/>
      <c r="F30" s="633" t="s">
        <v>3098</v>
      </c>
      <c r="G30" s="639">
        <f>SUM(G20:G29)-I20</f>
        <v>391.8799999999992</v>
      </c>
      <c r="H30" s="664"/>
      <c r="I30" s="2036">
        <v>10000</v>
      </c>
      <c r="J30" s="2069" t="s">
        <v>877</v>
      </c>
      <c r="K30" s="2070" t="s">
        <v>544</v>
      </c>
      <c r="L30" s="226"/>
      <c r="M30" s="190"/>
    </row>
    <row r="31" spans="1:13" ht="15">
      <c r="A31" s="664">
        <v>44436</v>
      </c>
      <c r="B31" s="1124" t="s">
        <v>522</v>
      </c>
      <c r="C31" s="1124" t="s">
        <v>3679</v>
      </c>
      <c r="D31" s="621" t="s">
        <v>1486</v>
      </c>
      <c r="E31" s="613">
        <v>1691.4</v>
      </c>
      <c r="F31" s="633">
        <v>0</v>
      </c>
      <c r="G31" s="639">
        <v>1691.4</v>
      </c>
      <c r="H31" s="664">
        <v>44436</v>
      </c>
      <c r="I31" s="2036"/>
      <c r="J31" s="2069"/>
      <c r="K31" s="2070"/>
      <c r="L31" s="226"/>
      <c r="M31" s="190"/>
    </row>
    <row r="32" spans="1:13" ht="15">
      <c r="A32" s="664">
        <v>44436</v>
      </c>
      <c r="B32" s="1124" t="s">
        <v>522</v>
      </c>
      <c r="C32" s="1124" t="s">
        <v>3679</v>
      </c>
      <c r="D32" s="621" t="s">
        <v>1487</v>
      </c>
      <c r="E32" s="613">
        <v>2344.69</v>
      </c>
      <c r="F32" s="633">
        <v>0</v>
      </c>
      <c r="G32" s="639">
        <v>2344.69</v>
      </c>
      <c r="H32" s="664">
        <v>44436</v>
      </c>
      <c r="I32" s="2036"/>
      <c r="J32" s="2069"/>
      <c r="K32" s="2070"/>
      <c r="L32" s="226"/>
      <c r="M32" s="190"/>
    </row>
    <row r="33" spans="1:13" ht="15">
      <c r="A33" s="664" t="s">
        <v>1488</v>
      </c>
      <c r="B33" s="1124" t="s">
        <v>522</v>
      </c>
      <c r="C33" s="1124" t="s">
        <v>3679</v>
      </c>
      <c r="D33" s="621" t="s">
        <v>1489</v>
      </c>
      <c r="E33" s="613">
        <v>240</v>
      </c>
      <c r="F33" s="633">
        <v>0</v>
      </c>
      <c r="G33" s="639">
        <v>240</v>
      </c>
      <c r="H33" s="664">
        <v>44438</v>
      </c>
      <c r="I33" s="2036"/>
      <c r="J33" s="2069"/>
      <c r="K33" s="2070"/>
      <c r="L33" s="226"/>
      <c r="M33" s="190"/>
    </row>
    <row r="34" spans="1:13" ht="15">
      <c r="A34" s="664" t="s">
        <v>1488</v>
      </c>
      <c r="B34" s="1124" t="s">
        <v>522</v>
      </c>
      <c r="C34" s="1124" t="s">
        <v>3679</v>
      </c>
      <c r="D34" s="621" t="s">
        <v>1490</v>
      </c>
      <c r="E34" s="613">
        <v>47.6</v>
      </c>
      <c r="F34" s="633">
        <v>0</v>
      </c>
      <c r="G34" s="639">
        <v>47.6</v>
      </c>
      <c r="H34" s="664">
        <v>44438</v>
      </c>
      <c r="I34" s="2036"/>
      <c r="J34" s="2069"/>
      <c r="K34" s="2070"/>
      <c r="L34" s="226"/>
      <c r="M34" s="190"/>
    </row>
    <row r="35" spans="1:13" ht="15">
      <c r="A35" s="664" t="s">
        <v>1491</v>
      </c>
      <c r="B35" s="1124" t="s">
        <v>522</v>
      </c>
      <c r="C35" s="1124" t="s">
        <v>3679</v>
      </c>
      <c r="D35" s="621" t="s">
        <v>1492</v>
      </c>
      <c r="E35" s="613">
        <v>1706.03</v>
      </c>
      <c r="F35" s="633">
        <v>0</v>
      </c>
      <c r="G35" s="639">
        <v>1706.03</v>
      </c>
      <c r="H35" s="664">
        <v>44439</v>
      </c>
      <c r="I35" s="2036"/>
      <c r="J35" s="2069"/>
      <c r="K35" s="2070"/>
      <c r="L35" s="226"/>
      <c r="M35" s="190"/>
    </row>
    <row r="36" spans="1:13" ht="15">
      <c r="A36" s="664" t="s">
        <v>1493</v>
      </c>
      <c r="B36" s="1124" t="s">
        <v>522</v>
      </c>
      <c r="C36" s="1124" t="s">
        <v>3679</v>
      </c>
      <c r="D36" s="621" t="s">
        <v>1494</v>
      </c>
      <c r="E36" s="613">
        <v>-1.33</v>
      </c>
      <c r="F36" s="633">
        <v>0</v>
      </c>
      <c r="G36" s="639">
        <v>-1.33</v>
      </c>
      <c r="H36" s="664" t="s">
        <v>1529</v>
      </c>
      <c r="I36" s="2036"/>
      <c r="J36" s="2069"/>
      <c r="K36" s="2070"/>
      <c r="L36" s="226"/>
      <c r="M36" s="190"/>
    </row>
    <row r="37" spans="1:13" ht="15">
      <c r="A37" s="664" t="s">
        <v>1495</v>
      </c>
      <c r="B37" s="1124" t="s">
        <v>522</v>
      </c>
      <c r="C37" s="1124" t="s">
        <v>3679</v>
      </c>
      <c r="D37" s="621" t="s">
        <v>1496</v>
      </c>
      <c r="E37" s="613">
        <v>0.04</v>
      </c>
      <c r="F37" s="633">
        <v>0</v>
      </c>
      <c r="G37" s="639">
        <v>0.04</v>
      </c>
      <c r="H37" s="664">
        <v>44442</v>
      </c>
      <c r="I37" s="2036"/>
      <c r="J37" s="2069"/>
      <c r="K37" s="2070"/>
      <c r="L37" s="226"/>
      <c r="M37" s="190"/>
    </row>
    <row r="38" spans="1:13" ht="15">
      <c r="A38" s="664" t="s">
        <v>1497</v>
      </c>
      <c r="B38" s="1124" t="s">
        <v>522</v>
      </c>
      <c r="C38" s="1124" t="s">
        <v>3679</v>
      </c>
      <c r="D38" s="621" t="s">
        <v>1498</v>
      </c>
      <c r="E38" s="613">
        <v>7412.97</v>
      </c>
      <c r="F38" s="633">
        <v>0</v>
      </c>
      <c r="G38" s="639">
        <v>7412.97</v>
      </c>
      <c r="H38" s="664">
        <v>44443</v>
      </c>
      <c r="I38" s="2036"/>
      <c r="J38" s="2069"/>
      <c r="K38" s="2070"/>
      <c r="L38" s="226"/>
      <c r="M38" s="190"/>
    </row>
    <row r="39" spans="1:13" ht="15">
      <c r="A39" s="647"/>
      <c r="B39" s="1124"/>
      <c r="C39" s="1124"/>
      <c r="D39" s="647"/>
      <c r="E39" s="613"/>
      <c r="F39" s="633" t="s">
        <v>3098</v>
      </c>
      <c r="G39" s="639">
        <f>SUM(G30:G38)-I30</f>
        <v>3833.2799999999988</v>
      </c>
      <c r="H39" s="664"/>
      <c r="I39" s="2036">
        <v>5000</v>
      </c>
      <c r="J39" s="2069" t="s">
        <v>647</v>
      </c>
      <c r="K39" s="2070" t="s">
        <v>550</v>
      </c>
      <c r="L39" s="226"/>
      <c r="M39" s="190"/>
    </row>
    <row r="40" spans="1:13" ht="15">
      <c r="A40" s="664">
        <v>44445</v>
      </c>
      <c r="B40" s="1124" t="s">
        <v>522</v>
      </c>
      <c r="C40" s="1124" t="s">
        <v>3679</v>
      </c>
      <c r="D40" s="621" t="s">
        <v>1499</v>
      </c>
      <c r="E40" s="613">
        <v>233</v>
      </c>
      <c r="F40" s="633">
        <v>0</v>
      </c>
      <c r="G40" s="639">
        <v>233</v>
      </c>
      <c r="H40" s="664">
        <v>44445</v>
      </c>
      <c r="I40" s="2036"/>
      <c r="J40" s="2069"/>
      <c r="K40" s="2070"/>
      <c r="L40" s="226"/>
      <c r="M40" s="190"/>
    </row>
    <row r="41" spans="1:13" ht="15">
      <c r="A41" s="664" t="s">
        <v>1500</v>
      </c>
      <c r="B41" s="1124" t="s">
        <v>522</v>
      </c>
      <c r="C41" s="1124" t="s">
        <v>3679</v>
      </c>
      <c r="D41" s="621" t="s">
        <v>1501</v>
      </c>
      <c r="E41" s="613">
        <v>759.24</v>
      </c>
      <c r="F41" s="633">
        <v>0</v>
      </c>
      <c r="G41" s="639">
        <v>759.24</v>
      </c>
      <c r="H41" s="664">
        <v>44448</v>
      </c>
      <c r="I41" s="2036"/>
      <c r="J41" s="2069"/>
      <c r="K41" s="2070"/>
      <c r="L41" s="226"/>
      <c r="M41" s="190"/>
    </row>
    <row r="42" spans="1:13" ht="15">
      <c r="A42" s="664" t="s">
        <v>1502</v>
      </c>
      <c r="B42" s="1124" t="s">
        <v>522</v>
      </c>
      <c r="C42" s="1124" t="s">
        <v>3679</v>
      </c>
      <c r="D42" s="621" t="s">
        <v>1503</v>
      </c>
      <c r="E42" s="613">
        <v>1551.78</v>
      </c>
      <c r="F42" s="633">
        <v>0</v>
      </c>
      <c r="G42" s="639">
        <v>1551.78</v>
      </c>
      <c r="H42" s="664">
        <v>44454</v>
      </c>
      <c r="I42" s="2036"/>
      <c r="J42" s="2069" t="s">
        <v>3120</v>
      </c>
      <c r="K42" s="2070"/>
      <c r="L42" s="226"/>
      <c r="M42" s="190"/>
    </row>
    <row r="43" spans="1:13" ht="15">
      <c r="A43" s="647"/>
      <c r="B43" s="1124"/>
      <c r="C43" s="1124"/>
      <c r="D43" s="647"/>
      <c r="E43" s="613"/>
      <c r="F43" s="633" t="s">
        <v>3098</v>
      </c>
      <c r="G43" s="639">
        <f>SUM(G39:G42)-I39</f>
        <v>1377.2999999999984</v>
      </c>
      <c r="H43" s="664"/>
      <c r="I43" s="2036">
        <v>4197.33</v>
      </c>
      <c r="J43" s="2069" t="s">
        <v>594</v>
      </c>
      <c r="K43" s="2070" t="s">
        <v>544</v>
      </c>
      <c r="L43" s="226"/>
      <c r="M43" s="190"/>
    </row>
    <row r="44" spans="1:13" ht="15">
      <c r="A44" s="664" t="s">
        <v>1502</v>
      </c>
      <c r="B44" s="1124" t="s">
        <v>522</v>
      </c>
      <c r="C44" s="1124" t="s">
        <v>3679</v>
      </c>
      <c r="D44" s="621" t="s">
        <v>1504</v>
      </c>
      <c r="E44" s="613">
        <v>4866.96</v>
      </c>
      <c r="F44" s="633">
        <v>0</v>
      </c>
      <c r="G44" s="639">
        <v>4866.96</v>
      </c>
      <c r="H44" s="664">
        <v>44454</v>
      </c>
      <c r="I44" s="2036"/>
      <c r="J44" s="2069"/>
      <c r="K44" s="2070"/>
      <c r="L44" s="226" t="s">
        <v>1505</v>
      </c>
      <c r="M44" s="190"/>
    </row>
    <row r="45" spans="1:13" ht="15">
      <c r="A45" s="647"/>
      <c r="B45" s="1124"/>
      <c r="C45" s="1124"/>
      <c r="D45" s="647"/>
      <c r="E45" s="613"/>
      <c r="F45" s="633" t="s">
        <v>3098</v>
      </c>
      <c r="G45" s="639">
        <f>SUM(G43:G44)-I43</f>
        <v>2046.9299999999985</v>
      </c>
      <c r="H45" s="664"/>
      <c r="I45" s="2036">
        <v>10000</v>
      </c>
      <c r="J45" s="2350" t="s">
        <v>3121</v>
      </c>
      <c r="K45" s="2349" t="s">
        <v>1506</v>
      </c>
      <c r="L45" s="226"/>
      <c r="M45" s="190"/>
    </row>
    <row r="46" spans="1:13" ht="15">
      <c r="A46" s="664" t="s">
        <v>1500</v>
      </c>
      <c r="B46" s="1124" t="s">
        <v>522</v>
      </c>
      <c r="C46" s="1124" t="s">
        <v>3679</v>
      </c>
      <c r="D46" s="621" t="s">
        <v>1507</v>
      </c>
      <c r="E46" s="613">
        <v>1449.3</v>
      </c>
      <c r="F46" s="633">
        <v>0</v>
      </c>
      <c r="G46" s="639">
        <v>1449.3</v>
      </c>
      <c r="H46" s="664">
        <v>44449</v>
      </c>
      <c r="I46" s="2036"/>
      <c r="J46" s="2351"/>
      <c r="K46" s="2349"/>
      <c r="L46" s="226" t="s">
        <v>1505</v>
      </c>
      <c r="M46" s="190"/>
    </row>
    <row r="47" spans="1:13" ht="15">
      <c r="A47" s="664" t="s">
        <v>1500</v>
      </c>
      <c r="B47" s="1124" t="s">
        <v>522</v>
      </c>
      <c r="C47" s="1124" t="s">
        <v>3679</v>
      </c>
      <c r="D47" s="621" t="s">
        <v>1508</v>
      </c>
      <c r="E47" s="613">
        <v>625.08000000000004</v>
      </c>
      <c r="F47" s="633">
        <v>0</v>
      </c>
      <c r="G47" s="639">
        <v>625.08000000000004</v>
      </c>
      <c r="H47" s="664">
        <v>44449</v>
      </c>
      <c r="I47" s="2036"/>
      <c r="J47" s="2351"/>
      <c r="K47" s="2349"/>
      <c r="L47" s="226" t="s">
        <v>1509</v>
      </c>
      <c r="M47" s="190"/>
    </row>
    <row r="48" spans="1:13" ht="16.149999999999999" customHeight="1">
      <c r="A48" s="664" t="s">
        <v>1502</v>
      </c>
      <c r="B48" s="1124" t="s">
        <v>522</v>
      </c>
      <c r="C48" s="1124" t="s">
        <v>3679</v>
      </c>
      <c r="D48" s="621" t="s">
        <v>1510</v>
      </c>
      <c r="E48" s="613">
        <v>423.3</v>
      </c>
      <c r="F48" s="633">
        <v>0</v>
      </c>
      <c r="G48" s="639">
        <v>423.3</v>
      </c>
      <c r="H48" s="664">
        <v>44454</v>
      </c>
      <c r="I48" s="2036"/>
      <c r="J48" s="2351"/>
      <c r="K48" s="2349"/>
      <c r="L48" s="226" t="s">
        <v>1511</v>
      </c>
      <c r="M48" s="190"/>
    </row>
    <row r="49" spans="1:13" ht="15">
      <c r="A49" s="664" t="s">
        <v>1500</v>
      </c>
      <c r="B49" s="1124" t="s">
        <v>522</v>
      </c>
      <c r="C49" s="1124" t="s">
        <v>3679</v>
      </c>
      <c r="D49" s="621" t="s">
        <v>1512</v>
      </c>
      <c r="E49" s="613">
        <v>486</v>
      </c>
      <c r="F49" s="633">
        <v>0</v>
      </c>
      <c r="G49" s="639">
        <v>486</v>
      </c>
      <c r="H49" s="664">
        <v>44449</v>
      </c>
      <c r="I49" s="2036"/>
      <c r="J49" s="2351"/>
      <c r="K49" s="2349"/>
      <c r="L49" s="226" t="s">
        <v>1513</v>
      </c>
      <c r="M49" s="190"/>
    </row>
    <row r="50" spans="1:13" ht="15">
      <c r="A50" s="664" t="s">
        <v>1500</v>
      </c>
      <c r="B50" s="1124" t="s">
        <v>522</v>
      </c>
      <c r="C50" s="1124" t="s">
        <v>3679</v>
      </c>
      <c r="D50" s="621" t="s">
        <v>1514</v>
      </c>
      <c r="E50" s="613">
        <v>0.02</v>
      </c>
      <c r="F50" s="633">
        <v>0</v>
      </c>
      <c r="G50" s="639">
        <v>0.02</v>
      </c>
      <c r="H50" s="664">
        <v>44449</v>
      </c>
      <c r="I50" s="2036"/>
      <c r="J50" s="2351"/>
      <c r="K50" s="2349"/>
      <c r="L50" s="226" t="s">
        <v>1515</v>
      </c>
      <c r="M50" s="190"/>
    </row>
    <row r="51" spans="1:13" ht="15">
      <c r="A51" s="664">
        <v>44461</v>
      </c>
      <c r="B51" s="1124" t="s">
        <v>522</v>
      </c>
      <c r="C51" s="1124" t="s">
        <v>3679</v>
      </c>
      <c r="D51" s="621" t="s">
        <v>1516</v>
      </c>
      <c r="E51" s="613">
        <v>2005.69</v>
      </c>
      <c r="F51" s="633">
        <v>0</v>
      </c>
      <c r="G51" s="639">
        <v>2005.69</v>
      </c>
      <c r="H51" s="664">
        <v>44461</v>
      </c>
      <c r="I51" s="2036"/>
      <c r="J51" s="2351"/>
      <c r="K51" s="2349"/>
      <c r="L51" s="226"/>
      <c r="M51" s="190"/>
    </row>
    <row r="52" spans="1:13" ht="15">
      <c r="A52" s="664">
        <v>44461</v>
      </c>
      <c r="B52" s="1124" t="s">
        <v>522</v>
      </c>
      <c r="C52" s="1124" t="s">
        <v>3679</v>
      </c>
      <c r="D52" s="621" t="s">
        <v>1517</v>
      </c>
      <c r="E52" s="613">
        <v>289.8</v>
      </c>
      <c r="F52" s="633">
        <v>0</v>
      </c>
      <c r="G52" s="639">
        <v>289.8</v>
      </c>
      <c r="H52" s="664">
        <v>44468</v>
      </c>
      <c r="I52" s="2036"/>
      <c r="J52" s="2351"/>
      <c r="K52" s="2349"/>
      <c r="L52" s="226"/>
      <c r="M52" s="190"/>
    </row>
    <row r="53" spans="1:13" ht="15">
      <c r="A53" s="664">
        <v>44468</v>
      </c>
      <c r="B53" s="1124" t="s">
        <v>522</v>
      </c>
      <c r="C53" s="1124" t="s">
        <v>3679</v>
      </c>
      <c r="D53" s="621" t="s">
        <v>1518</v>
      </c>
      <c r="E53" s="613">
        <v>1826.8</v>
      </c>
      <c r="F53" s="633">
        <v>0</v>
      </c>
      <c r="G53" s="639">
        <v>1826.8</v>
      </c>
      <c r="H53" s="664">
        <v>44468</v>
      </c>
      <c r="I53" s="2036"/>
      <c r="J53" s="2351"/>
      <c r="K53" s="2349"/>
      <c r="L53" s="226"/>
      <c r="M53" s="190"/>
    </row>
    <row r="54" spans="1:13" ht="15">
      <c r="A54" s="664">
        <v>44469</v>
      </c>
      <c r="B54" s="1124" t="s">
        <v>522</v>
      </c>
      <c r="C54" s="1124" t="s">
        <v>3679</v>
      </c>
      <c r="D54" s="621" t="s">
        <v>1519</v>
      </c>
      <c r="E54" s="613">
        <v>1690.35</v>
      </c>
      <c r="F54" s="633">
        <v>0</v>
      </c>
      <c r="G54" s="639">
        <v>1690.35</v>
      </c>
      <c r="H54" s="664">
        <v>44469</v>
      </c>
      <c r="I54" s="2036"/>
      <c r="J54" s="2352"/>
      <c r="K54" s="2349"/>
      <c r="L54" s="226" t="s">
        <v>1505</v>
      </c>
      <c r="M54" s="190"/>
    </row>
    <row r="55" spans="1:13" ht="15">
      <c r="A55" s="647"/>
      <c r="B55" s="1124"/>
      <c r="C55" s="1124"/>
      <c r="D55" s="647"/>
      <c r="E55" s="613"/>
      <c r="F55" s="633" t="s">
        <v>3098</v>
      </c>
      <c r="G55" s="639">
        <f>SUM(G45:G54)-I45</f>
        <v>843.27000000000044</v>
      </c>
      <c r="H55" s="664"/>
      <c r="I55" s="2036">
        <v>6575.09</v>
      </c>
      <c r="J55" s="2069" t="s">
        <v>3122</v>
      </c>
      <c r="K55" s="2070" t="s">
        <v>1506</v>
      </c>
      <c r="L55" s="226"/>
      <c r="M55" s="190"/>
    </row>
    <row r="56" spans="1:13" ht="15">
      <c r="A56" s="664">
        <v>44473</v>
      </c>
      <c r="B56" s="1124" t="s">
        <v>522</v>
      </c>
      <c r="C56" s="1124" t="s">
        <v>3679</v>
      </c>
      <c r="D56" s="621" t="s">
        <v>1520</v>
      </c>
      <c r="E56" s="613">
        <v>1549.7</v>
      </c>
      <c r="F56" s="633">
        <v>0</v>
      </c>
      <c r="G56" s="639">
        <v>1549.7</v>
      </c>
      <c r="H56" s="664">
        <v>44473</v>
      </c>
      <c r="I56" s="2036"/>
      <c r="J56" s="2069"/>
      <c r="K56" s="2070"/>
      <c r="L56" s="226" t="s">
        <v>1505</v>
      </c>
      <c r="M56" s="190"/>
    </row>
    <row r="57" spans="1:13" ht="15">
      <c r="A57" s="664" t="s">
        <v>1521</v>
      </c>
      <c r="B57" s="1124" t="s">
        <v>522</v>
      </c>
      <c r="C57" s="1124" t="s">
        <v>3679</v>
      </c>
      <c r="D57" s="621" t="s">
        <v>1522</v>
      </c>
      <c r="E57" s="613">
        <v>1900.17</v>
      </c>
      <c r="F57" s="633">
        <v>0</v>
      </c>
      <c r="G57" s="639">
        <v>1900.74</v>
      </c>
      <c r="H57" s="664">
        <v>44477</v>
      </c>
      <c r="I57" s="2036"/>
      <c r="J57" s="2069"/>
      <c r="K57" s="2070"/>
      <c r="L57" s="226" t="s">
        <v>1505</v>
      </c>
      <c r="M57" s="190"/>
    </row>
    <row r="58" spans="1:13" ht="15">
      <c r="A58" s="664" t="s">
        <v>1521</v>
      </c>
      <c r="B58" s="1124" t="s">
        <v>522</v>
      </c>
      <c r="C58" s="1124" t="s">
        <v>3679</v>
      </c>
      <c r="D58" s="621" t="s">
        <v>1523</v>
      </c>
      <c r="E58" s="613">
        <v>-23.94</v>
      </c>
      <c r="F58" s="633">
        <v>0</v>
      </c>
      <c r="G58" s="639">
        <v>-23.94</v>
      </c>
      <c r="H58" s="664" t="s">
        <v>1529</v>
      </c>
      <c r="I58" s="2036"/>
      <c r="J58" s="2069"/>
      <c r="K58" s="2070"/>
      <c r="L58" s="226"/>
      <c r="M58" s="190"/>
    </row>
    <row r="59" spans="1:13" ht="15">
      <c r="A59" s="664" t="s">
        <v>1524</v>
      </c>
      <c r="B59" s="1124" t="s">
        <v>522</v>
      </c>
      <c r="C59" s="1124" t="s">
        <v>3679</v>
      </c>
      <c r="D59" s="621" t="s">
        <v>1525</v>
      </c>
      <c r="E59" s="613">
        <v>2606.9</v>
      </c>
      <c r="F59" s="633">
        <v>0</v>
      </c>
      <c r="G59" s="639">
        <v>2606.9</v>
      </c>
      <c r="H59" s="664">
        <v>44482</v>
      </c>
      <c r="I59" s="2036"/>
      <c r="J59" s="2069"/>
      <c r="K59" s="2070"/>
      <c r="L59" s="226" t="s">
        <v>1526</v>
      </c>
      <c r="M59" s="190"/>
    </row>
    <row r="60" spans="1:13" ht="15">
      <c r="A60" s="647"/>
      <c r="B60" s="1124"/>
      <c r="C60" s="1124"/>
      <c r="D60" s="647"/>
      <c r="E60" s="613"/>
      <c r="F60" s="633" t="s">
        <v>3098</v>
      </c>
      <c r="G60" s="639">
        <f>SUM(G55:G59)-I55</f>
        <v>301.57999999999993</v>
      </c>
      <c r="H60" s="664"/>
      <c r="I60" s="2036">
        <v>10000</v>
      </c>
      <c r="J60" s="2069" t="s">
        <v>601</v>
      </c>
      <c r="K60" s="2070" t="s">
        <v>544</v>
      </c>
      <c r="L60" s="226"/>
      <c r="M60" s="190"/>
    </row>
    <row r="61" spans="1:13" ht="15">
      <c r="A61" s="664" t="s">
        <v>1527</v>
      </c>
      <c r="B61" s="1124" t="s">
        <v>522</v>
      </c>
      <c r="C61" s="1124" t="s">
        <v>3679</v>
      </c>
      <c r="D61" s="621" t="s">
        <v>1528</v>
      </c>
      <c r="E61" s="613">
        <v>1694.69</v>
      </c>
      <c r="F61" s="633">
        <v>0</v>
      </c>
      <c r="G61" s="639">
        <v>1694.69</v>
      </c>
      <c r="H61" s="664">
        <v>44483</v>
      </c>
      <c r="I61" s="2036"/>
      <c r="J61" s="2069"/>
      <c r="K61" s="2070"/>
      <c r="L61" s="226" t="s">
        <v>1530</v>
      </c>
      <c r="M61" s="190"/>
    </row>
    <row r="62" spans="1:13" ht="15">
      <c r="A62" s="664" t="s">
        <v>1527</v>
      </c>
      <c r="B62" s="1124" t="s">
        <v>522</v>
      </c>
      <c r="C62" s="1124" t="s">
        <v>3679</v>
      </c>
      <c r="D62" s="621" t="s">
        <v>1531</v>
      </c>
      <c r="E62" s="613">
        <v>693.7</v>
      </c>
      <c r="F62" s="633">
        <v>0</v>
      </c>
      <c r="G62" s="639">
        <v>693.7</v>
      </c>
      <c r="H62" s="664">
        <v>44483</v>
      </c>
      <c r="I62" s="2036"/>
      <c r="J62" s="2069"/>
      <c r="K62" s="2070"/>
      <c r="L62" s="226" t="s">
        <v>1532</v>
      </c>
      <c r="M62" s="190"/>
    </row>
    <row r="63" spans="1:13" ht="15">
      <c r="A63" s="664" t="s">
        <v>1533</v>
      </c>
      <c r="B63" s="1124" t="s">
        <v>522</v>
      </c>
      <c r="C63" s="1124" t="s">
        <v>3679</v>
      </c>
      <c r="D63" s="621" t="s">
        <v>1534</v>
      </c>
      <c r="E63" s="613">
        <v>2310.4699999999998</v>
      </c>
      <c r="F63" s="633">
        <v>0</v>
      </c>
      <c r="G63" s="639">
        <v>2310.4699999999998</v>
      </c>
      <c r="H63" s="664">
        <v>44488</v>
      </c>
      <c r="I63" s="2036"/>
      <c r="J63" s="2069"/>
      <c r="K63" s="2070"/>
      <c r="L63" s="226" t="s">
        <v>1535</v>
      </c>
      <c r="M63" s="190"/>
    </row>
    <row r="64" spans="1:13" ht="15">
      <c r="A64" s="664">
        <v>44495</v>
      </c>
      <c r="B64" s="1124" t="s">
        <v>522</v>
      </c>
      <c r="C64" s="1124" t="s">
        <v>3679</v>
      </c>
      <c r="D64" s="621" t="s">
        <v>1536</v>
      </c>
      <c r="E64" s="613">
        <v>6072.35</v>
      </c>
      <c r="F64" s="633">
        <v>0</v>
      </c>
      <c r="G64" s="639">
        <v>6072.35</v>
      </c>
      <c r="H64" s="664">
        <v>44495</v>
      </c>
      <c r="I64" s="2036"/>
      <c r="J64" s="2069"/>
      <c r="K64" s="2070"/>
      <c r="L64" s="226" t="s">
        <v>1535</v>
      </c>
      <c r="M64" s="190"/>
    </row>
    <row r="65" spans="1:13" ht="15">
      <c r="A65" s="647"/>
      <c r="B65" s="1124"/>
      <c r="C65" s="1124"/>
      <c r="D65" s="647"/>
      <c r="E65" s="613"/>
      <c r="F65" s="633" t="s">
        <v>3098</v>
      </c>
      <c r="G65" s="639">
        <f>SUM(G60:G64)-I60</f>
        <v>1072.7900000000009</v>
      </c>
      <c r="H65" s="664"/>
      <c r="I65" s="1915">
        <v>5000.17</v>
      </c>
      <c r="J65" s="1948">
        <v>44638</v>
      </c>
      <c r="K65" s="1879" t="s">
        <v>1752</v>
      </c>
      <c r="L65" s="226"/>
      <c r="M65" s="190"/>
    </row>
    <row r="66" spans="1:13" s="173" customFormat="1" ht="15">
      <c r="A66" s="664">
        <v>44503</v>
      </c>
      <c r="B66" s="1124" t="s">
        <v>522</v>
      </c>
      <c r="C66" s="1124" t="s">
        <v>3679</v>
      </c>
      <c r="D66" s="621" t="s">
        <v>1537</v>
      </c>
      <c r="E66" s="613">
        <v>1436.6</v>
      </c>
      <c r="F66" s="633">
        <v>0</v>
      </c>
      <c r="G66" s="639">
        <v>1456.4</v>
      </c>
      <c r="H66" s="664">
        <v>44503</v>
      </c>
      <c r="I66" s="1916"/>
      <c r="J66" s="1948"/>
      <c r="K66" s="1879"/>
      <c r="L66" s="226" t="s">
        <v>1535</v>
      </c>
      <c r="M66" s="190"/>
    </row>
    <row r="67" spans="1:13" s="173" customFormat="1" ht="15">
      <c r="A67" s="664">
        <v>44510</v>
      </c>
      <c r="B67" s="1124" t="s">
        <v>522</v>
      </c>
      <c r="C67" s="1124" t="s">
        <v>3679</v>
      </c>
      <c r="D67" s="621" t="s">
        <v>1538</v>
      </c>
      <c r="E67" s="613">
        <v>536.41999999999996</v>
      </c>
      <c r="F67" s="633">
        <v>0</v>
      </c>
      <c r="G67" s="639">
        <v>536.41999999999996</v>
      </c>
      <c r="H67" s="664">
        <v>44510</v>
      </c>
      <c r="I67" s="1916"/>
      <c r="J67" s="1948"/>
      <c r="K67" s="1879"/>
      <c r="L67" s="226"/>
      <c r="M67" s="190"/>
    </row>
    <row r="68" spans="1:13" s="173" customFormat="1" ht="15">
      <c r="A68" s="664">
        <v>44517</v>
      </c>
      <c r="B68" s="1124" t="s">
        <v>522</v>
      </c>
      <c r="C68" s="1124" t="s">
        <v>3679</v>
      </c>
      <c r="D68" s="621" t="s">
        <v>1539</v>
      </c>
      <c r="E68" s="613">
        <v>4312.72</v>
      </c>
      <c r="F68" s="633">
        <v>0</v>
      </c>
      <c r="G68" s="639">
        <v>4312.72</v>
      </c>
      <c r="H68" s="664">
        <v>44517</v>
      </c>
      <c r="I68" s="1917"/>
      <c r="J68" s="1948"/>
      <c r="K68" s="1879"/>
      <c r="L68" s="226"/>
      <c r="M68" s="190"/>
    </row>
    <row r="69" spans="1:13" s="173" customFormat="1" ht="15">
      <c r="A69" s="664"/>
      <c r="B69" s="1124"/>
      <c r="C69" s="1124"/>
      <c r="D69" s="647"/>
      <c r="E69" s="613"/>
      <c r="F69" s="633" t="s">
        <v>3098</v>
      </c>
      <c r="G69" s="639">
        <f>SUM(G65:G68)-I65</f>
        <v>2378.1600000000017</v>
      </c>
      <c r="H69" s="664"/>
      <c r="I69" s="1915">
        <v>7508.94</v>
      </c>
      <c r="J69" s="1948">
        <v>44657</v>
      </c>
      <c r="K69" s="1956" t="s">
        <v>1872</v>
      </c>
      <c r="L69" s="1968"/>
      <c r="M69" s="190"/>
    </row>
    <row r="70" spans="1:13" s="173" customFormat="1" ht="15">
      <c r="A70" s="664">
        <v>44520</v>
      </c>
      <c r="B70" s="1124" t="s">
        <v>522</v>
      </c>
      <c r="C70" s="1124" t="s">
        <v>3679</v>
      </c>
      <c r="D70" s="621" t="s">
        <v>1540</v>
      </c>
      <c r="E70" s="613">
        <v>4063.2</v>
      </c>
      <c r="F70" s="633">
        <v>0</v>
      </c>
      <c r="G70" s="639">
        <v>4063.2</v>
      </c>
      <c r="H70" s="664">
        <v>44520</v>
      </c>
      <c r="I70" s="1916"/>
      <c r="J70" s="1948"/>
      <c r="K70" s="2028"/>
      <c r="L70" s="1962"/>
      <c r="M70" s="190"/>
    </row>
    <row r="71" spans="1:13" s="173" customFormat="1" ht="15">
      <c r="A71" s="664">
        <v>44523</v>
      </c>
      <c r="B71" s="1124" t="s">
        <v>522</v>
      </c>
      <c r="C71" s="1124" t="s">
        <v>3679</v>
      </c>
      <c r="D71" s="621" t="s">
        <v>1541</v>
      </c>
      <c r="E71" s="613">
        <v>3406.95</v>
      </c>
      <c r="F71" s="633">
        <v>0</v>
      </c>
      <c r="G71" s="639">
        <v>3406.95</v>
      </c>
      <c r="H71" s="664">
        <v>44523</v>
      </c>
      <c r="I71" s="1917"/>
      <c r="J71" s="1948"/>
      <c r="K71" s="2029"/>
      <c r="L71" s="1957"/>
      <c r="M71" s="190"/>
    </row>
    <row r="72" spans="1:13" s="173" customFormat="1" ht="15">
      <c r="A72" s="664"/>
      <c r="B72" s="1124"/>
      <c r="C72" s="1124"/>
      <c r="D72" s="647"/>
      <c r="E72" s="613"/>
      <c r="F72" s="633" t="s">
        <v>3098</v>
      </c>
      <c r="G72" s="639">
        <f>SUM(G69:G71)-I69</f>
        <v>2339.3700000000017</v>
      </c>
      <c r="H72" s="664"/>
      <c r="I72" s="1915">
        <v>5000</v>
      </c>
      <c r="J72" s="1918">
        <v>44669</v>
      </c>
      <c r="K72" s="1956" t="s">
        <v>2109</v>
      </c>
      <c r="L72" s="2004"/>
      <c r="M72" s="190"/>
    </row>
    <row r="73" spans="1:13" s="173" customFormat="1" ht="15">
      <c r="A73" s="664">
        <v>44524</v>
      </c>
      <c r="B73" s="1124" t="s">
        <v>522</v>
      </c>
      <c r="C73" s="1124" t="s">
        <v>3679</v>
      </c>
      <c r="D73" s="621" t="s">
        <v>1542</v>
      </c>
      <c r="E73" s="613">
        <v>1442.16</v>
      </c>
      <c r="F73" s="633">
        <v>0</v>
      </c>
      <c r="G73" s="639">
        <v>1442.16</v>
      </c>
      <c r="H73" s="664">
        <v>44524</v>
      </c>
      <c r="I73" s="1916"/>
      <c r="J73" s="1919"/>
      <c r="K73" s="2028"/>
      <c r="L73" s="2005"/>
      <c r="M73" s="190"/>
    </row>
    <row r="74" spans="1:13" s="173" customFormat="1" ht="15">
      <c r="A74" s="664">
        <v>44529</v>
      </c>
      <c r="B74" s="1124" t="s">
        <v>522</v>
      </c>
      <c r="C74" s="1124" t="s">
        <v>3679</v>
      </c>
      <c r="D74" s="621" t="s">
        <v>1543</v>
      </c>
      <c r="E74" s="613">
        <v>705.04</v>
      </c>
      <c r="F74" s="633">
        <v>0</v>
      </c>
      <c r="G74" s="639">
        <v>705.04</v>
      </c>
      <c r="H74" s="664">
        <v>44529</v>
      </c>
      <c r="I74" s="1916"/>
      <c r="J74" s="1919"/>
      <c r="K74" s="2028"/>
      <c r="L74" s="2005"/>
      <c r="M74" s="190"/>
    </row>
    <row r="75" spans="1:13" s="173" customFormat="1" ht="15">
      <c r="A75" s="664">
        <v>44530</v>
      </c>
      <c r="B75" s="1124" t="s">
        <v>522</v>
      </c>
      <c r="C75" s="1124" t="s">
        <v>3679</v>
      </c>
      <c r="D75" s="621" t="s">
        <v>1544</v>
      </c>
      <c r="E75" s="613">
        <v>-7.56</v>
      </c>
      <c r="F75" s="633">
        <v>0</v>
      </c>
      <c r="G75" s="639">
        <v>-7.56</v>
      </c>
      <c r="H75" s="664" t="s">
        <v>1529</v>
      </c>
      <c r="I75" s="1916"/>
      <c r="J75" s="1919"/>
      <c r="K75" s="2028"/>
      <c r="L75" s="2005"/>
      <c r="M75" s="190"/>
    </row>
    <row r="76" spans="1:13" s="173" customFormat="1" ht="15">
      <c r="A76" s="664">
        <v>44530</v>
      </c>
      <c r="B76" s="1124" t="s">
        <v>522</v>
      </c>
      <c r="C76" s="1124" t="s">
        <v>3679</v>
      </c>
      <c r="D76" s="621" t="s">
        <v>1545</v>
      </c>
      <c r="E76" s="613">
        <v>-8.19</v>
      </c>
      <c r="F76" s="633">
        <v>0</v>
      </c>
      <c r="G76" s="639">
        <v>-8.19</v>
      </c>
      <c r="H76" s="664" t="s">
        <v>1529</v>
      </c>
      <c r="I76" s="1916"/>
      <c r="J76" s="1919"/>
      <c r="K76" s="2028"/>
      <c r="L76" s="2005"/>
      <c r="M76" s="190"/>
    </row>
    <row r="77" spans="1:13" s="173" customFormat="1" ht="15">
      <c r="A77" s="664">
        <v>44531</v>
      </c>
      <c r="B77" s="1124" t="s">
        <v>522</v>
      </c>
      <c r="C77" s="1124" t="s">
        <v>3679</v>
      </c>
      <c r="D77" s="621" t="s">
        <v>1546</v>
      </c>
      <c r="E77" s="613">
        <v>-103.39</v>
      </c>
      <c r="F77" s="633">
        <v>0</v>
      </c>
      <c r="G77" s="639">
        <v>-103.39</v>
      </c>
      <c r="H77" s="664" t="s">
        <v>1529</v>
      </c>
      <c r="I77" s="1916"/>
      <c r="J77" s="1919"/>
      <c r="K77" s="2028"/>
      <c r="L77" s="2005"/>
      <c r="M77" s="190"/>
    </row>
    <row r="78" spans="1:13" s="173" customFormat="1" ht="15">
      <c r="A78" s="664">
        <v>44531</v>
      </c>
      <c r="B78" s="1124" t="s">
        <v>522</v>
      </c>
      <c r="C78" s="1124" t="s">
        <v>3679</v>
      </c>
      <c r="D78" s="621" t="s">
        <v>1547</v>
      </c>
      <c r="E78" s="613">
        <v>-50.4</v>
      </c>
      <c r="F78" s="633">
        <v>0</v>
      </c>
      <c r="G78" s="639">
        <v>-50.4</v>
      </c>
      <c r="H78" s="664">
        <v>44531</v>
      </c>
      <c r="I78" s="1916"/>
      <c r="J78" s="1919"/>
      <c r="K78" s="2028"/>
      <c r="L78" s="2005"/>
      <c r="M78" s="190"/>
    </row>
    <row r="79" spans="1:13" s="173" customFormat="1" ht="15">
      <c r="A79" s="664">
        <v>44537</v>
      </c>
      <c r="B79" s="1124" t="s">
        <v>522</v>
      </c>
      <c r="C79" s="1124" t="s">
        <v>3679</v>
      </c>
      <c r="D79" s="621" t="s">
        <v>1548</v>
      </c>
      <c r="E79" s="613">
        <v>2776.43</v>
      </c>
      <c r="F79" s="633">
        <v>0</v>
      </c>
      <c r="G79" s="639">
        <v>2776.43</v>
      </c>
      <c r="H79" s="664">
        <v>44537</v>
      </c>
      <c r="I79" s="1916"/>
      <c r="J79" s="1919"/>
      <c r="K79" s="2028"/>
      <c r="L79" s="2005"/>
      <c r="M79" s="190"/>
    </row>
    <row r="80" spans="1:13" s="173" customFormat="1" ht="15">
      <c r="A80" s="664">
        <v>44544</v>
      </c>
      <c r="B80" s="1124" t="s">
        <v>522</v>
      </c>
      <c r="C80" s="1124" t="s">
        <v>3679</v>
      </c>
      <c r="D80" s="621" t="s">
        <v>1549</v>
      </c>
      <c r="E80" s="613">
        <v>1791.24</v>
      </c>
      <c r="F80" s="633">
        <v>0</v>
      </c>
      <c r="G80" s="639">
        <v>1791.24</v>
      </c>
      <c r="H80" s="664">
        <v>44544</v>
      </c>
      <c r="I80" s="1916"/>
      <c r="J80" s="1919"/>
      <c r="K80" s="2028"/>
      <c r="L80" s="2005"/>
      <c r="M80" s="190"/>
    </row>
    <row r="81" spans="1:13" s="173" customFormat="1" ht="15">
      <c r="A81" s="664">
        <v>44544</v>
      </c>
      <c r="B81" s="1124" t="s">
        <v>522</v>
      </c>
      <c r="C81" s="1124" t="s">
        <v>3679</v>
      </c>
      <c r="D81" s="621" t="s">
        <v>1550</v>
      </c>
      <c r="E81" s="613">
        <v>-68.040000000000006</v>
      </c>
      <c r="F81" s="633">
        <v>0</v>
      </c>
      <c r="G81" s="639">
        <v>-68.040000000000006</v>
      </c>
      <c r="H81" s="664" t="s">
        <v>1529</v>
      </c>
      <c r="I81" s="1916"/>
      <c r="J81" s="1919"/>
      <c r="K81" s="2028"/>
      <c r="L81" s="2005"/>
      <c r="M81" s="190"/>
    </row>
    <row r="82" spans="1:13" s="173" customFormat="1" ht="15">
      <c r="A82" s="664">
        <v>44544</v>
      </c>
      <c r="B82" s="1124" t="s">
        <v>522</v>
      </c>
      <c r="C82" s="1124" t="s">
        <v>3679</v>
      </c>
      <c r="D82" s="621" t="s">
        <v>1551</v>
      </c>
      <c r="E82" s="613">
        <v>-1.54</v>
      </c>
      <c r="F82" s="633">
        <v>0</v>
      </c>
      <c r="G82" s="639">
        <v>-1.54</v>
      </c>
      <c r="H82" s="664" t="s">
        <v>1529</v>
      </c>
      <c r="I82" s="1917"/>
      <c r="J82" s="1920"/>
      <c r="K82" s="2029"/>
      <c r="L82" s="2006"/>
      <c r="M82" s="190"/>
    </row>
    <row r="83" spans="1:13" s="173" customFormat="1" ht="15">
      <c r="A83" s="664"/>
      <c r="B83" s="1124"/>
      <c r="C83" s="1124"/>
      <c r="D83" s="647"/>
      <c r="E83" s="613"/>
      <c r="F83" s="633" t="s">
        <v>3098</v>
      </c>
      <c r="G83" s="639">
        <f>SUM(G72:G82)-I72</f>
        <v>3815.119999999999</v>
      </c>
      <c r="H83" s="664"/>
      <c r="I83" s="1915">
        <v>5000</v>
      </c>
      <c r="J83" s="2008">
        <v>44670</v>
      </c>
      <c r="K83" s="1956" t="s">
        <v>1944</v>
      </c>
      <c r="L83" s="2004"/>
      <c r="M83" s="190"/>
    </row>
    <row r="84" spans="1:13" s="173" customFormat="1" ht="15">
      <c r="A84" s="664">
        <v>44551</v>
      </c>
      <c r="B84" s="1124" t="s">
        <v>522</v>
      </c>
      <c r="C84" s="1124" t="s">
        <v>3679</v>
      </c>
      <c r="D84" s="621" t="s">
        <v>1552</v>
      </c>
      <c r="E84" s="613">
        <v>3647.16</v>
      </c>
      <c r="F84" s="633">
        <v>0</v>
      </c>
      <c r="G84" s="639">
        <v>3647.16</v>
      </c>
      <c r="H84" s="664">
        <v>44551</v>
      </c>
      <c r="I84" s="1917"/>
      <c r="J84" s="2010"/>
      <c r="K84" s="2029"/>
      <c r="L84" s="2006"/>
      <c r="M84" s="190"/>
    </row>
    <row r="85" spans="1:13" s="173" customFormat="1" ht="15">
      <c r="A85" s="664"/>
      <c r="B85" s="1124"/>
      <c r="C85" s="1124"/>
      <c r="D85" s="647"/>
      <c r="E85" s="613"/>
      <c r="F85" s="633" t="s">
        <v>3098</v>
      </c>
      <c r="G85" s="639">
        <f>SUM(G83:G84)-I83</f>
        <v>2462.2799999999988</v>
      </c>
      <c r="H85" s="664"/>
      <c r="I85" s="1915">
        <v>7412.97</v>
      </c>
      <c r="J85" s="2008" t="s">
        <v>3123</v>
      </c>
      <c r="K85" s="1956" t="s">
        <v>2173</v>
      </c>
      <c r="L85" s="2004" t="s">
        <v>2195</v>
      </c>
      <c r="M85" s="190"/>
    </row>
    <row r="86" spans="1:13" s="173" customFormat="1" ht="15">
      <c r="A86" s="664">
        <v>44557</v>
      </c>
      <c r="B86" s="1124" t="s">
        <v>522</v>
      </c>
      <c r="C86" s="1124" t="s">
        <v>3679</v>
      </c>
      <c r="D86" s="621" t="s">
        <v>1553</v>
      </c>
      <c r="E86" s="613">
        <v>2654.03</v>
      </c>
      <c r="F86" s="633">
        <v>0</v>
      </c>
      <c r="G86" s="639">
        <v>2654.03</v>
      </c>
      <c r="H86" s="664">
        <v>44557</v>
      </c>
      <c r="I86" s="1916"/>
      <c r="J86" s="2009"/>
      <c r="K86" s="2028"/>
      <c r="L86" s="2005"/>
      <c r="M86" s="190"/>
    </row>
    <row r="87" spans="1:13" s="173" customFormat="1" ht="15">
      <c r="A87" s="664">
        <v>44571</v>
      </c>
      <c r="B87" s="1124" t="s">
        <v>522</v>
      </c>
      <c r="C87" s="1124" t="s">
        <v>3679</v>
      </c>
      <c r="D87" s="621" t="s">
        <v>1554</v>
      </c>
      <c r="E87" s="613">
        <v>1349.18</v>
      </c>
      <c r="F87" s="633">
        <v>0</v>
      </c>
      <c r="G87" s="639">
        <v>1349.18</v>
      </c>
      <c r="H87" s="664">
        <v>44571</v>
      </c>
      <c r="I87" s="1916"/>
      <c r="J87" s="2009"/>
      <c r="K87" s="2028"/>
      <c r="L87" s="2005"/>
      <c r="M87" s="190"/>
    </row>
    <row r="88" spans="1:13" s="173" customFormat="1" ht="15">
      <c r="A88" s="664">
        <v>44573</v>
      </c>
      <c r="B88" s="1124" t="s">
        <v>522</v>
      </c>
      <c r="C88" s="1124" t="s">
        <v>3679</v>
      </c>
      <c r="D88" s="621" t="s">
        <v>1555</v>
      </c>
      <c r="E88" s="613">
        <v>313.8</v>
      </c>
      <c r="F88" s="633">
        <v>0</v>
      </c>
      <c r="G88" s="639">
        <v>313.8</v>
      </c>
      <c r="H88" s="664">
        <v>44573</v>
      </c>
      <c r="I88" s="1916"/>
      <c r="J88" s="2009"/>
      <c r="K88" s="2028"/>
      <c r="L88" s="2005"/>
      <c r="M88" s="190"/>
    </row>
    <row r="89" spans="1:13" s="173" customFormat="1" ht="15">
      <c r="A89" s="664">
        <v>44573</v>
      </c>
      <c r="B89" s="1124" t="s">
        <v>522</v>
      </c>
      <c r="C89" s="1124" t="s">
        <v>3679</v>
      </c>
      <c r="D89" s="621" t="s">
        <v>1556</v>
      </c>
      <c r="E89" s="613">
        <v>0.01</v>
      </c>
      <c r="F89" s="633">
        <v>0</v>
      </c>
      <c r="G89" s="639">
        <v>0.01</v>
      </c>
      <c r="H89" s="664">
        <v>44573</v>
      </c>
      <c r="I89" s="1916"/>
      <c r="J89" s="2009"/>
      <c r="K89" s="2028"/>
      <c r="L89" s="2005"/>
      <c r="M89" s="190"/>
    </row>
    <row r="90" spans="1:13" s="173" customFormat="1" ht="15">
      <c r="A90" s="664">
        <v>44573</v>
      </c>
      <c r="B90" s="1124" t="s">
        <v>522</v>
      </c>
      <c r="C90" s="1124" t="s">
        <v>3679</v>
      </c>
      <c r="D90" s="621" t="s">
        <v>1557</v>
      </c>
      <c r="E90" s="613">
        <v>1546.74</v>
      </c>
      <c r="F90" s="633">
        <v>0</v>
      </c>
      <c r="G90" s="639">
        <v>1546.74</v>
      </c>
      <c r="H90" s="664">
        <v>44573</v>
      </c>
      <c r="I90" s="1917"/>
      <c r="J90" s="2010"/>
      <c r="K90" s="2029"/>
      <c r="L90" s="2006"/>
      <c r="M90" s="190"/>
    </row>
    <row r="91" spans="1:13" s="173" customFormat="1" ht="15" customHeight="1">
      <c r="A91" s="664">
        <v>44575</v>
      </c>
      <c r="B91" s="1124" t="s">
        <v>522</v>
      </c>
      <c r="C91" s="1124" t="s">
        <v>3679</v>
      </c>
      <c r="D91" s="621" t="s">
        <v>1558</v>
      </c>
      <c r="E91" s="613">
        <v>549.4</v>
      </c>
      <c r="F91" s="633">
        <v>0</v>
      </c>
      <c r="G91" s="639">
        <v>549.4</v>
      </c>
      <c r="H91" s="664">
        <v>44575</v>
      </c>
      <c r="I91" s="1915">
        <v>5096.2299999999996</v>
      </c>
      <c r="J91" s="2008" t="s">
        <v>3124</v>
      </c>
      <c r="K91" s="1956" t="s">
        <v>2193</v>
      </c>
      <c r="L91" s="2004" t="s">
        <v>2194</v>
      </c>
      <c r="M91" s="190"/>
    </row>
    <row r="92" spans="1:13" s="173" customFormat="1" ht="15">
      <c r="A92" s="664">
        <v>44581</v>
      </c>
      <c r="B92" s="1124" t="s">
        <v>522</v>
      </c>
      <c r="C92" s="1124" t="s">
        <v>3679</v>
      </c>
      <c r="D92" s="621" t="s">
        <v>1559</v>
      </c>
      <c r="E92" s="613">
        <v>950.1</v>
      </c>
      <c r="F92" s="633">
        <v>0</v>
      </c>
      <c r="G92" s="639">
        <v>950.1</v>
      </c>
      <c r="H92" s="664">
        <v>44581</v>
      </c>
      <c r="I92" s="1916"/>
      <c r="J92" s="2009"/>
      <c r="K92" s="2028"/>
      <c r="L92" s="2005"/>
      <c r="M92" s="190"/>
    </row>
    <row r="93" spans="1:13" s="173" customFormat="1" ht="15">
      <c r="A93" s="664">
        <v>44582</v>
      </c>
      <c r="B93" s="1124" t="s">
        <v>522</v>
      </c>
      <c r="C93" s="1124" t="s">
        <v>3679</v>
      </c>
      <c r="D93" s="621" t="s">
        <v>1560</v>
      </c>
      <c r="E93" s="613">
        <v>958.5</v>
      </c>
      <c r="F93" s="633">
        <v>0</v>
      </c>
      <c r="G93" s="639">
        <v>958.5</v>
      </c>
      <c r="H93" s="664">
        <v>44582</v>
      </c>
      <c r="I93" s="1916"/>
      <c r="J93" s="2009"/>
      <c r="K93" s="2028"/>
      <c r="L93" s="2005"/>
      <c r="M93" s="190"/>
    </row>
    <row r="94" spans="1:13" s="173" customFormat="1" ht="15">
      <c r="A94" s="664">
        <v>44587</v>
      </c>
      <c r="B94" s="1124" t="s">
        <v>522</v>
      </c>
      <c r="C94" s="1124" t="s">
        <v>3679</v>
      </c>
      <c r="D94" s="621" t="s">
        <v>1561</v>
      </c>
      <c r="E94" s="613">
        <v>985.42</v>
      </c>
      <c r="F94" s="633">
        <v>0</v>
      </c>
      <c r="G94" s="639">
        <v>985.42</v>
      </c>
      <c r="H94" s="664">
        <v>44587</v>
      </c>
      <c r="I94" s="1916"/>
      <c r="J94" s="2009"/>
      <c r="K94" s="2028"/>
      <c r="L94" s="2005"/>
      <c r="M94" s="190"/>
    </row>
    <row r="95" spans="1:13" s="173" customFormat="1" ht="15">
      <c r="A95" s="664">
        <v>44592</v>
      </c>
      <c r="B95" s="1124" t="s">
        <v>522</v>
      </c>
      <c r="C95" s="1124" t="s">
        <v>3679</v>
      </c>
      <c r="D95" s="621" t="s">
        <v>1562</v>
      </c>
      <c r="E95" s="613">
        <v>2998.7</v>
      </c>
      <c r="F95" s="633">
        <v>0</v>
      </c>
      <c r="G95" s="639">
        <v>2998.7</v>
      </c>
      <c r="H95" s="664">
        <v>44592</v>
      </c>
      <c r="I95" s="1917"/>
      <c r="J95" s="2010"/>
      <c r="K95" s="2029"/>
      <c r="L95" s="2006"/>
      <c r="M95" s="190"/>
    </row>
    <row r="96" spans="1:13" s="173" customFormat="1" ht="15">
      <c r="A96" s="664">
        <v>44593</v>
      </c>
      <c r="B96" s="1124" t="s">
        <v>522</v>
      </c>
      <c r="C96" s="1124" t="s">
        <v>3679</v>
      </c>
      <c r="D96" s="621" t="s">
        <v>1563</v>
      </c>
      <c r="E96" s="613">
        <v>410</v>
      </c>
      <c r="F96" s="633">
        <v>0</v>
      </c>
      <c r="G96" s="639">
        <v>410</v>
      </c>
      <c r="H96" s="664">
        <v>44593</v>
      </c>
      <c r="I96" s="1915">
        <f>5061.63+0.44</f>
        <v>5062.07</v>
      </c>
      <c r="J96" s="2008">
        <v>44693</v>
      </c>
      <c r="K96" s="1956" t="s">
        <v>2084</v>
      </c>
      <c r="L96" s="2004"/>
      <c r="M96" s="190"/>
    </row>
    <row r="97" spans="1:13" s="173" customFormat="1" ht="15">
      <c r="A97" s="664">
        <v>44596</v>
      </c>
      <c r="B97" s="1124" t="s">
        <v>522</v>
      </c>
      <c r="C97" s="1124" t="s">
        <v>3679</v>
      </c>
      <c r="D97" s="621" t="s">
        <v>1564</v>
      </c>
      <c r="E97" s="613">
        <v>582.1</v>
      </c>
      <c r="F97" s="633">
        <v>0</v>
      </c>
      <c r="G97" s="639">
        <v>582.1</v>
      </c>
      <c r="H97" s="664">
        <v>44596</v>
      </c>
      <c r="I97" s="1916"/>
      <c r="J97" s="2009"/>
      <c r="K97" s="2028"/>
      <c r="L97" s="2005"/>
      <c r="M97" s="190"/>
    </row>
    <row r="98" spans="1:13" s="173" customFormat="1" ht="15">
      <c r="A98" s="664">
        <v>44596</v>
      </c>
      <c r="B98" s="1124" t="s">
        <v>522</v>
      </c>
      <c r="C98" s="1124" t="s">
        <v>3679</v>
      </c>
      <c r="D98" s="647" t="s">
        <v>2734</v>
      </c>
      <c r="E98" s="639">
        <v>0.01</v>
      </c>
      <c r="F98" s="633">
        <v>0</v>
      </c>
      <c r="G98" s="639">
        <v>0.01</v>
      </c>
      <c r="H98" s="664"/>
      <c r="I98" s="1916"/>
      <c r="J98" s="2009"/>
      <c r="K98" s="2028"/>
      <c r="L98" s="2005"/>
      <c r="M98" s="190"/>
    </row>
    <row r="99" spans="1:13" s="173" customFormat="1" ht="15">
      <c r="A99" s="664">
        <v>44599</v>
      </c>
      <c r="B99" s="1124" t="s">
        <v>522</v>
      </c>
      <c r="C99" s="1124" t="s">
        <v>3679</v>
      </c>
      <c r="D99" s="621" t="s">
        <v>1565</v>
      </c>
      <c r="E99" s="613">
        <v>-12.57</v>
      </c>
      <c r="F99" s="633">
        <v>0</v>
      </c>
      <c r="G99" s="639">
        <v>-12.57</v>
      </c>
      <c r="H99" s="664" t="s">
        <v>1529</v>
      </c>
      <c r="I99" s="1916"/>
      <c r="J99" s="2009"/>
      <c r="K99" s="2028"/>
      <c r="L99" s="2005"/>
      <c r="M99" s="190"/>
    </row>
    <row r="100" spans="1:13" s="173" customFormat="1" ht="15">
      <c r="A100" s="664">
        <v>44600</v>
      </c>
      <c r="B100" s="1124" t="s">
        <v>522</v>
      </c>
      <c r="C100" s="1124" t="s">
        <v>3679</v>
      </c>
      <c r="D100" s="621" t="s">
        <v>1566</v>
      </c>
      <c r="E100" s="613">
        <v>5398.87</v>
      </c>
      <c r="F100" s="633">
        <v>0</v>
      </c>
      <c r="G100" s="639">
        <v>5398.87</v>
      </c>
      <c r="H100" s="664">
        <v>44600</v>
      </c>
      <c r="I100" s="1917"/>
      <c r="J100" s="2010"/>
      <c r="K100" s="2029"/>
      <c r="L100" s="2006"/>
      <c r="M100" s="190"/>
    </row>
    <row r="101" spans="1:13" s="173" customFormat="1" ht="15">
      <c r="A101" s="664"/>
      <c r="B101" s="1124"/>
      <c r="C101" s="1124"/>
      <c r="D101" s="647"/>
      <c r="E101" s="613"/>
      <c r="F101" s="633" t="s">
        <v>3098</v>
      </c>
      <c r="G101" s="639">
        <f>SUM(G85:G100)-I85-I91-I96</f>
        <v>3575.2999999999993</v>
      </c>
      <c r="H101" s="664"/>
      <c r="I101" s="639">
        <v>2606.9</v>
      </c>
      <c r="J101" s="664">
        <v>44708</v>
      </c>
      <c r="K101" s="376" t="s">
        <v>2173</v>
      </c>
      <c r="L101" s="90" t="s">
        <v>2196</v>
      </c>
      <c r="M101" s="190"/>
    </row>
    <row r="102" spans="1:13" s="173" customFormat="1" ht="15">
      <c r="A102" s="678"/>
      <c r="B102" s="1124"/>
      <c r="C102" s="1124"/>
      <c r="D102" s="648"/>
      <c r="E102" s="613"/>
      <c r="F102" s="633" t="s">
        <v>3098</v>
      </c>
      <c r="G102" s="611">
        <f>G101-I101</f>
        <v>968.39999999999918</v>
      </c>
      <c r="H102" s="678"/>
      <c r="I102" s="1915">
        <v>1012.5</v>
      </c>
      <c r="J102" s="2008">
        <v>44743</v>
      </c>
      <c r="K102" s="1935" t="s">
        <v>2516</v>
      </c>
      <c r="L102" s="90"/>
      <c r="M102" s="190"/>
    </row>
    <row r="103" spans="1:13" s="173" customFormat="1" ht="15">
      <c r="A103" s="678">
        <v>44600</v>
      </c>
      <c r="B103" s="1124" t="s">
        <v>522</v>
      </c>
      <c r="C103" s="1124" t="s">
        <v>3679</v>
      </c>
      <c r="D103" s="615" t="s">
        <v>1567</v>
      </c>
      <c r="E103" s="613">
        <v>44.1</v>
      </c>
      <c r="F103" s="633">
        <v>0</v>
      </c>
      <c r="G103" s="611">
        <v>44.1</v>
      </c>
      <c r="H103" s="678">
        <v>44600</v>
      </c>
      <c r="I103" s="1917"/>
      <c r="J103" s="2010"/>
      <c r="K103" s="1957"/>
      <c r="L103" s="90"/>
      <c r="M103" s="190"/>
    </row>
    <row r="104" spans="1:13" s="173" customFormat="1" ht="15">
      <c r="A104" s="664">
        <v>44606</v>
      </c>
      <c r="B104" s="1124" t="s">
        <v>522</v>
      </c>
      <c r="C104" s="1124" t="s">
        <v>3679</v>
      </c>
      <c r="D104" s="621" t="s">
        <v>1568</v>
      </c>
      <c r="E104" s="613">
        <v>82</v>
      </c>
      <c r="F104" s="633">
        <v>0</v>
      </c>
      <c r="G104" s="639">
        <v>82</v>
      </c>
      <c r="H104" s="664">
        <v>44606</v>
      </c>
      <c r="I104" s="639">
        <v>82</v>
      </c>
      <c r="J104" s="664">
        <v>44718</v>
      </c>
      <c r="K104" s="364" t="s">
        <v>2264</v>
      </c>
      <c r="L104" s="226" t="s">
        <v>2266</v>
      </c>
      <c r="M104" s="190"/>
    </row>
    <row r="105" spans="1:13" s="173" customFormat="1" ht="15">
      <c r="A105" s="678">
        <v>44606</v>
      </c>
      <c r="B105" s="1124" t="s">
        <v>522</v>
      </c>
      <c r="C105" s="1124" t="s">
        <v>3679</v>
      </c>
      <c r="D105" s="615" t="s">
        <v>1569</v>
      </c>
      <c r="E105" s="613">
        <v>-101.64</v>
      </c>
      <c r="F105" s="633">
        <v>0</v>
      </c>
      <c r="G105" s="611">
        <v>-101.64</v>
      </c>
      <c r="H105" s="678" t="s">
        <v>1529</v>
      </c>
      <c r="I105" s="1923">
        <v>1987.5</v>
      </c>
      <c r="J105" s="2057">
        <v>44743</v>
      </c>
      <c r="K105" s="1935" t="s">
        <v>2517</v>
      </c>
      <c r="L105" s="166"/>
      <c r="M105" s="190"/>
    </row>
    <row r="106" spans="1:13" s="173" customFormat="1" ht="15">
      <c r="A106" s="678">
        <v>44606</v>
      </c>
      <c r="B106" s="1124" t="s">
        <v>522</v>
      </c>
      <c r="C106" s="1124" t="s">
        <v>3679</v>
      </c>
      <c r="D106" s="615" t="s">
        <v>1570</v>
      </c>
      <c r="E106" s="613">
        <v>-3.95</v>
      </c>
      <c r="F106" s="633">
        <v>0</v>
      </c>
      <c r="G106" s="611">
        <v>-3.95</v>
      </c>
      <c r="H106" s="678" t="s">
        <v>1529</v>
      </c>
      <c r="I106" s="1961"/>
      <c r="J106" s="2058"/>
      <c r="K106" s="1950"/>
      <c r="L106" s="166"/>
      <c r="M106" s="190"/>
    </row>
    <row r="107" spans="1:13" s="173" customFormat="1" ht="15">
      <c r="A107" s="678">
        <v>44608</v>
      </c>
      <c r="B107" s="1124" t="s">
        <v>522</v>
      </c>
      <c r="C107" s="1124" t="s">
        <v>3679</v>
      </c>
      <c r="D107" s="615" t="s">
        <v>1571</v>
      </c>
      <c r="E107" s="613">
        <v>1006.1</v>
      </c>
      <c r="F107" s="633">
        <v>0</v>
      </c>
      <c r="G107" s="611">
        <v>1006.1</v>
      </c>
      <c r="H107" s="678">
        <v>44608</v>
      </c>
      <c r="I107" s="1961"/>
      <c r="J107" s="2058"/>
      <c r="K107" s="1950"/>
      <c r="L107" s="166"/>
      <c r="M107" s="190"/>
    </row>
    <row r="108" spans="1:13" s="173" customFormat="1" ht="15">
      <c r="A108" s="2057">
        <v>44613</v>
      </c>
      <c r="B108" s="1918" t="s">
        <v>522</v>
      </c>
      <c r="C108" s="1918" t="s">
        <v>3679</v>
      </c>
      <c r="D108" s="1909" t="s">
        <v>1572</v>
      </c>
      <c r="E108" s="1915">
        <v>3648.86</v>
      </c>
      <c r="F108" s="2002">
        <v>0</v>
      </c>
      <c r="G108" s="611">
        <v>1086.99</v>
      </c>
      <c r="H108" s="678">
        <v>44613</v>
      </c>
      <c r="I108" s="1924"/>
      <c r="J108" s="2059"/>
      <c r="K108" s="1947"/>
      <c r="L108" s="166"/>
      <c r="M108" s="190"/>
    </row>
    <row r="109" spans="1:13" s="173" customFormat="1" ht="15">
      <c r="A109" s="2059"/>
      <c r="B109" s="1920"/>
      <c r="C109" s="1920"/>
      <c r="D109" s="1911"/>
      <c r="E109" s="1917"/>
      <c r="F109" s="2003"/>
      <c r="G109" s="611">
        <f>3648.86-1086.99</f>
        <v>2561.87</v>
      </c>
      <c r="H109" s="678">
        <v>44613</v>
      </c>
      <c r="I109" s="1923">
        <v>2594.73</v>
      </c>
      <c r="J109" s="2057">
        <v>44754</v>
      </c>
      <c r="K109" s="1935" t="s">
        <v>2515</v>
      </c>
      <c r="L109" s="166"/>
      <c r="M109" s="190"/>
    </row>
    <row r="110" spans="1:13" s="173" customFormat="1" ht="15">
      <c r="A110" s="2057">
        <v>44623</v>
      </c>
      <c r="B110" s="1918" t="s">
        <v>522</v>
      </c>
      <c r="C110" s="1918" t="s">
        <v>3679</v>
      </c>
      <c r="D110" s="1909" t="s">
        <v>1573</v>
      </c>
      <c r="E110" s="1923">
        <v>341.84</v>
      </c>
      <c r="F110" s="1921">
        <v>0</v>
      </c>
      <c r="G110" s="611">
        <v>32.86</v>
      </c>
      <c r="H110" s="678">
        <v>44623</v>
      </c>
      <c r="I110" s="1924"/>
      <c r="J110" s="2059"/>
      <c r="K110" s="1947"/>
      <c r="L110" s="166"/>
      <c r="M110" s="190"/>
    </row>
    <row r="111" spans="1:13" s="173" customFormat="1" ht="15">
      <c r="A111" s="2059"/>
      <c r="B111" s="1920"/>
      <c r="C111" s="1920"/>
      <c r="D111" s="1911"/>
      <c r="E111" s="1924"/>
      <c r="F111" s="1922"/>
      <c r="G111" s="611">
        <f>341.84-32.86</f>
        <v>308.97999999999996</v>
      </c>
      <c r="H111" s="678">
        <v>44623</v>
      </c>
      <c r="I111" s="1923">
        <v>7928.8</v>
      </c>
      <c r="J111" s="2057">
        <v>44811</v>
      </c>
      <c r="K111" s="1935" t="s">
        <v>2985</v>
      </c>
      <c r="L111" s="166"/>
      <c r="M111" s="190"/>
    </row>
    <row r="112" spans="1:13" s="173" customFormat="1" ht="15">
      <c r="A112" s="678">
        <v>44628</v>
      </c>
      <c r="B112" s="1124" t="s">
        <v>522</v>
      </c>
      <c r="C112" s="1124" t="s">
        <v>3679</v>
      </c>
      <c r="D112" s="615" t="s">
        <v>1574</v>
      </c>
      <c r="E112" s="609">
        <v>2517</v>
      </c>
      <c r="F112" s="649">
        <v>0</v>
      </c>
      <c r="G112" s="611">
        <v>2517</v>
      </c>
      <c r="H112" s="678">
        <v>44628</v>
      </c>
      <c r="I112" s="1961"/>
      <c r="J112" s="2058"/>
      <c r="K112" s="1950"/>
      <c r="L112" s="166"/>
      <c r="M112" s="190"/>
    </row>
    <row r="113" spans="1:13" s="173" customFormat="1" ht="15">
      <c r="A113" s="678">
        <v>44628</v>
      </c>
      <c r="B113" s="1124" t="s">
        <v>522</v>
      </c>
      <c r="C113" s="1124" t="s">
        <v>3679</v>
      </c>
      <c r="D113" s="615" t="s">
        <v>1575</v>
      </c>
      <c r="E113" s="609">
        <v>463.96</v>
      </c>
      <c r="F113" s="649">
        <v>0</v>
      </c>
      <c r="G113" s="611">
        <v>463.96</v>
      </c>
      <c r="H113" s="678">
        <v>44628</v>
      </c>
      <c r="I113" s="1961"/>
      <c r="J113" s="2058"/>
      <c r="K113" s="1950"/>
      <c r="L113" s="166"/>
      <c r="M113" s="190"/>
    </row>
    <row r="114" spans="1:13" s="173" customFormat="1" ht="15">
      <c r="A114" s="678">
        <v>44635</v>
      </c>
      <c r="B114" s="1124" t="s">
        <v>522</v>
      </c>
      <c r="C114" s="1124" t="s">
        <v>3679</v>
      </c>
      <c r="D114" s="615" t="s">
        <v>1754</v>
      </c>
      <c r="E114" s="609">
        <v>3924.86</v>
      </c>
      <c r="F114" s="649">
        <v>0</v>
      </c>
      <c r="G114" s="611">
        <v>3924.86</v>
      </c>
      <c r="H114" s="678">
        <v>44635</v>
      </c>
      <c r="I114" s="1961"/>
      <c r="J114" s="2058"/>
      <c r="K114" s="1950"/>
      <c r="L114" s="166"/>
      <c r="M114" s="190"/>
    </row>
    <row r="115" spans="1:13" s="173" customFormat="1" ht="15">
      <c r="A115" s="678">
        <v>44636</v>
      </c>
      <c r="B115" s="1124" t="s">
        <v>522</v>
      </c>
      <c r="C115" s="1124" t="s">
        <v>3679</v>
      </c>
      <c r="D115" s="615" t="s">
        <v>1755</v>
      </c>
      <c r="E115" s="609">
        <v>714</v>
      </c>
      <c r="F115" s="649">
        <v>0</v>
      </c>
      <c r="G115" s="611">
        <v>714</v>
      </c>
      <c r="H115" s="678">
        <v>44636</v>
      </c>
      <c r="I115" s="1924"/>
      <c r="J115" s="2059"/>
      <c r="K115" s="1947"/>
      <c r="L115" s="166"/>
      <c r="M115" s="190"/>
    </row>
    <row r="116" spans="1:13" s="173" customFormat="1" ht="15">
      <c r="A116" s="2057">
        <v>44655</v>
      </c>
      <c r="B116" s="1918" t="s">
        <v>522</v>
      </c>
      <c r="C116" s="1918" t="s">
        <v>3679</v>
      </c>
      <c r="D116" s="1909" t="s">
        <v>1909</v>
      </c>
      <c r="E116" s="1923">
        <v>5662.95</v>
      </c>
      <c r="F116" s="1927">
        <v>0</v>
      </c>
      <c r="G116" s="611">
        <v>2024.4</v>
      </c>
      <c r="H116" s="678">
        <v>44655</v>
      </c>
      <c r="I116" s="609">
        <v>2024.4</v>
      </c>
      <c r="J116" s="678">
        <v>44802</v>
      </c>
      <c r="K116" s="439" t="s">
        <v>2945</v>
      </c>
      <c r="L116" s="166"/>
      <c r="M116" s="190"/>
    </row>
    <row r="117" spans="1:13" s="173" customFormat="1" ht="15">
      <c r="A117" s="2059"/>
      <c r="B117" s="1920"/>
      <c r="C117" s="1920"/>
      <c r="D117" s="1911"/>
      <c r="E117" s="1924"/>
      <c r="F117" s="1928"/>
      <c r="G117" s="611">
        <f>5662.95-2024.4</f>
        <v>3638.5499999999997</v>
      </c>
      <c r="H117" s="678"/>
      <c r="I117" s="1923">
        <v>7195.58</v>
      </c>
      <c r="J117" s="2057">
        <v>44811</v>
      </c>
      <c r="K117" s="1935" t="s">
        <v>2984</v>
      </c>
      <c r="L117" s="166"/>
      <c r="M117" s="190"/>
    </row>
    <row r="118" spans="1:13" s="173" customFormat="1" ht="15">
      <c r="A118" s="2057">
        <v>44656</v>
      </c>
      <c r="B118" s="1918" t="s">
        <v>522</v>
      </c>
      <c r="C118" s="1918" t="s">
        <v>3679</v>
      </c>
      <c r="D118" s="1909" t="s">
        <v>1910</v>
      </c>
      <c r="E118" s="1923">
        <v>5687.58</v>
      </c>
      <c r="F118" s="1927">
        <v>0</v>
      </c>
      <c r="G118" s="611">
        <f>5687.58-2130.55</f>
        <v>3557.0299999999997</v>
      </c>
      <c r="H118" s="678">
        <v>44656</v>
      </c>
      <c r="I118" s="1924"/>
      <c r="J118" s="2059"/>
      <c r="K118" s="1947"/>
      <c r="L118" s="166"/>
      <c r="M118" s="109"/>
    </row>
    <row r="119" spans="1:13" s="173" customFormat="1" ht="15">
      <c r="A119" s="2059"/>
      <c r="B119" s="1920"/>
      <c r="C119" s="1920"/>
      <c r="D119" s="1911"/>
      <c r="E119" s="1924"/>
      <c r="F119" s="1928"/>
      <c r="G119" s="611">
        <v>2130.5500000000002</v>
      </c>
      <c r="H119" s="678">
        <v>44656</v>
      </c>
      <c r="I119" s="1923">
        <v>4980</v>
      </c>
      <c r="J119" s="2057">
        <v>44845</v>
      </c>
      <c r="K119" s="1935" t="s">
        <v>3278</v>
      </c>
      <c r="L119" s="166"/>
      <c r="M119" s="109"/>
    </row>
    <row r="120" spans="1:13" s="173" customFormat="1" ht="15">
      <c r="A120" s="678">
        <v>44662</v>
      </c>
      <c r="B120" s="1124" t="s">
        <v>522</v>
      </c>
      <c r="C120" s="1124" t="s">
        <v>3679</v>
      </c>
      <c r="D120" s="842" t="s">
        <v>1936</v>
      </c>
      <c r="E120" s="843">
        <v>2718.96</v>
      </c>
      <c r="F120" s="649">
        <v>0</v>
      </c>
      <c r="G120" s="611">
        <v>2718.96</v>
      </c>
      <c r="H120" s="678">
        <v>44662</v>
      </c>
      <c r="I120" s="1961"/>
      <c r="J120" s="2058"/>
      <c r="K120" s="1950"/>
      <c r="L120" s="166"/>
      <c r="M120" s="109"/>
    </row>
    <row r="121" spans="1:13" s="173" customFormat="1" ht="15">
      <c r="A121" s="2057">
        <v>44670.000497685185</v>
      </c>
      <c r="B121" s="1918" t="s">
        <v>522</v>
      </c>
      <c r="C121" s="1918" t="s">
        <v>3679</v>
      </c>
      <c r="D121" s="1909" t="s">
        <v>1977</v>
      </c>
      <c r="E121" s="1923">
        <v>8333.41</v>
      </c>
      <c r="F121" s="1927">
        <v>0</v>
      </c>
      <c r="G121" s="611">
        <v>130.49</v>
      </c>
      <c r="H121" s="678">
        <v>44670.000497685185</v>
      </c>
      <c r="I121" s="1924"/>
      <c r="J121" s="2059"/>
      <c r="K121" s="1947"/>
      <c r="L121" s="166"/>
      <c r="M121" s="109"/>
    </row>
    <row r="122" spans="1:13" s="173" customFormat="1" ht="15">
      <c r="A122" s="2059"/>
      <c r="B122" s="1920"/>
      <c r="C122" s="1920"/>
      <c r="D122" s="1911"/>
      <c r="E122" s="1924"/>
      <c r="F122" s="1928"/>
      <c r="G122" s="611">
        <f>8333.41-130.49</f>
        <v>8202.92</v>
      </c>
      <c r="H122" s="678">
        <v>44670.000497685185</v>
      </c>
      <c r="I122" s="1923">
        <v>8699.9500000000007</v>
      </c>
      <c r="J122" s="2057">
        <v>44846</v>
      </c>
      <c r="K122" s="1935" t="s">
        <v>3278</v>
      </c>
      <c r="L122" s="166"/>
      <c r="M122" s="109"/>
    </row>
    <row r="123" spans="1:13" s="173" customFormat="1" ht="15">
      <c r="A123" s="678">
        <v>44670.000497685185</v>
      </c>
      <c r="B123" s="1124" t="s">
        <v>522</v>
      </c>
      <c r="C123" s="1124" t="s">
        <v>3679</v>
      </c>
      <c r="D123" s="842" t="s">
        <v>1979</v>
      </c>
      <c r="E123" s="843">
        <v>-86.28</v>
      </c>
      <c r="F123" s="649">
        <v>0</v>
      </c>
      <c r="G123" s="611">
        <v>-86.28</v>
      </c>
      <c r="H123" s="678"/>
      <c r="I123" s="1961"/>
      <c r="J123" s="2058"/>
      <c r="K123" s="1950"/>
      <c r="L123" s="166"/>
      <c r="M123" s="109"/>
    </row>
    <row r="124" spans="1:13" s="173" customFormat="1" ht="15">
      <c r="A124" s="678">
        <v>44677</v>
      </c>
      <c r="B124" s="1124" t="s">
        <v>522</v>
      </c>
      <c r="C124" s="1124" t="s">
        <v>3679</v>
      </c>
      <c r="D124" s="842" t="s">
        <v>2014</v>
      </c>
      <c r="E124" s="843">
        <v>1140.33</v>
      </c>
      <c r="F124" s="649">
        <v>0</v>
      </c>
      <c r="G124" s="611">
        <v>1140.33</v>
      </c>
      <c r="H124" s="678">
        <v>44677</v>
      </c>
      <c r="I124" s="1961"/>
      <c r="J124" s="2058"/>
      <c r="K124" s="1950"/>
      <c r="L124" s="166"/>
      <c r="M124" s="109"/>
    </row>
    <row r="125" spans="1:13" s="173" customFormat="1" ht="15">
      <c r="A125" s="678">
        <v>44679</v>
      </c>
      <c r="B125" s="1124" t="s">
        <v>522</v>
      </c>
      <c r="C125" s="1124" t="s">
        <v>3679</v>
      </c>
      <c r="D125" s="842" t="s">
        <v>2015</v>
      </c>
      <c r="E125" s="843">
        <v>-33.81</v>
      </c>
      <c r="F125" s="649">
        <v>0</v>
      </c>
      <c r="G125" s="611">
        <v>-33.81</v>
      </c>
      <c r="H125" s="678"/>
      <c r="I125" s="1961"/>
      <c r="J125" s="2058"/>
      <c r="K125" s="1950"/>
      <c r="L125" s="166"/>
      <c r="M125" s="109"/>
    </row>
    <row r="126" spans="1:13" s="173" customFormat="1" ht="15">
      <c r="A126" s="678">
        <v>44684.000497685185</v>
      </c>
      <c r="B126" s="1124" t="s">
        <v>522</v>
      </c>
      <c r="C126" s="1124" t="s">
        <v>3679</v>
      </c>
      <c r="D126" s="842" t="s">
        <v>2064</v>
      </c>
      <c r="E126" s="843">
        <v>-186.1</v>
      </c>
      <c r="F126" s="649">
        <v>0</v>
      </c>
      <c r="G126" s="611">
        <v>-186.1</v>
      </c>
      <c r="H126" s="678"/>
      <c r="I126" s="1961"/>
      <c r="J126" s="2058"/>
      <c r="K126" s="1950"/>
      <c r="L126" s="166"/>
      <c r="M126" s="109"/>
    </row>
    <row r="127" spans="1:13" s="173" customFormat="1" ht="15">
      <c r="A127" s="678">
        <v>44684.000497685185</v>
      </c>
      <c r="B127" s="1124" t="s">
        <v>522</v>
      </c>
      <c r="C127" s="1124" t="s">
        <v>3679</v>
      </c>
      <c r="D127" s="842" t="s">
        <v>2065</v>
      </c>
      <c r="E127" s="843">
        <v>-5127.5</v>
      </c>
      <c r="F127" s="649">
        <v>0</v>
      </c>
      <c r="G127" s="611">
        <v>-5127.5</v>
      </c>
      <c r="H127" s="678"/>
      <c r="I127" s="1961"/>
      <c r="J127" s="2058"/>
      <c r="K127" s="1950"/>
      <c r="L127" s="166"/>
      <c r="M127" s="109"/>
    </row>
    <row r="128" spans="1:13" s="173" customFormat="1" ht="15">
      <c r="A128" s="678">
        <v>44685.000497685185</v>
      </c>
      <c r="B128" s="1124" t="s">
        <v>522</v>
      </c>
      <c r="C128" s="1124" t="s">
        <v>3679</v>
      </c>
      <c r="D128" s="842" t="s">
        <v>2066</v>
      </c>
      <c r="E128" s="843">
        <v>2372.15</v>
      </c>
      <c r="F128" s="649">
        <v>0</v>
      </c>
      <c r="G128" s="611">
        <v>2372.15</v>
      </c>
      <c r="H128" s="678">
        <v>44685.000497685185</v>
      </c>
      <c r="I128" s="1961"/>
      <c r="J128" s="2058"/>
      <c r="K128" s="1950"/>
      <c r="L128" s="166"/>
      <c r="M128" s="109"/>
    </row>
    <row r="129" spans="1:13" s="173" customFormat="1" ht="15">
      <c r="A129" s="678">
        <v>44690</v>
      </c>
      <c r="B129" s="1124" t="s">
        <v>522</v>
      </c>
      <c r="C129" s="1124" t="s">
        <v>3679</v>
      </c>
      <c r="D129" s="842" t="s">
        <v>2107</v>
      </c>
      <c r="E129" s="843">
        <v>710.5</v>
      </c>
      <c r="F129" s="649">
        <v>0</v>
      </c>
      <c r="G129" s="611">
        <v>710.5</v>
      </c>
      <c r="H129" s="678">
        <v>44750</v>
      </c>
      <c r="I129" s="1961"/>
      <c r="J129" s="2058"/>
      <c r="K129" s="1950"/>
      <c r="L129" s="166"/>
      <c r="M129" s="109"/>
    </row>
    <row r="130" spans="1:13" s="173" customFormat="1" ht="15">
      <c r="A130" s="678">
        <v>44694</v>
      </c>
      <c r="B130" s="1124" t="s">
        <v>522</v>
      </c>
      <c r="C130" s="1124" t="s">
        <v>3679</v>
      </c>
      <c r="D130" s="842" t="s">
        <v>2108</v>
      </c>
      <c r="E130" s="843">
        <v>1421.74</v>
      </c>
      <c r="F130" s="649">
        <v>0</v>
      </c>
      <c r="G130" s="611">
        <v>1421.74</v>
      </c>
      <c r="H130" s="678">
        <v>44694</v>
      </c>
      <c r="I130" s="1961"/>
      <c r="J130" s="2058"/>
      <c r="K130" s="1950"/>
      <c r="L130" s="166"/>
      <c r="M130" s="109"/>
    </row>
    <row r="131" spans="1:13" s="173" customFormat="1" ht="15">
      <c r="A131" s="2057">
        <v>44698</v>
      </c>
      <c r="B131" s="1918" t="s">
        <v>522</v>
      </c>
      <c r="C131" s="1918" t="s">
        <v>3679</v>
      </c>
      <c r="D131" s="1909" t="s">
        <v>2152</v>
      </c>
      <c r="E131" s="1923">
        <v>4673.71</v>
      </c>
      <c r="F131" s="1927">
        <v>0</v>
      </c>
      <c r="G131" s="611">
        <v>286</v>
      </c>
      <c r="H131" s="678">
        <v>44788</v>
      </c>
      <c r="I131" s="1924"/>
      <c r="J131" s="2059"/>
      <c r="K131" s="1947"/>
      <c r="L131" s="166"/>
      <c r="M131" s="109"/>
    </row>
    <row r="132" spans="1:13" s="173" customFormat="1" ht="15">
      <c r="A132" s="2058"/>
      <c r="B132" s="1919"/>
      <c r="C132" s="1919"/>
      <c r="D132" s="1910"/>
      <c r="E132" s="1961"/>
      <c r="F132" s="1960"/>
      <c r="G132" s="611">
        <v>3520.02</v>
      </c>
      <c r="H132" s="678">
        <v>44788</v>
      </c>
      <c r="I132" s="611">
        <v>3520.02</v>
      </c>
      <c r="J132" s="678">
        <v>44872</v>
      </c>
      <c r="K132" s="839" t="s">
        <v>3470</v>
      </c>
      <c r="L132" s="166"/>
      <c r="M132" s="109"/>
    </row>
    <row r="133" spans="1:13" s="173" customFormat="1" ht="15">
      <c r="A133" s="2059"/>
      <c r="B133" s="1920"/>
      <c r="C133" s="1920"/>
      <c r="D133" s="1911"/>
      <c r="E133" s="1924"/>
      <c r="F133" s="1928"/>
      <c r="G133" s="611">
        <f>4673.71-286-G132</f>
        <v>867.69</v>
      </c>
      <c r="H133" s="678">
        <v>44788</v>
      </c>
      <c r="I133" s="1923">
        <v>1799.4</v>
      </c>
      <c r="J133" s="2057">
        <v>44872</v>
      </c>
      <c r="K133" s="1935" t="s">
        <v>3470</v>
      </c>
      <c r="L133" s="166"/>
      <c r="M133" s="109"/>
    </row>
    <row r="134" spans="1:13" s="173" customFormat="1" ht="15">
      <c r="A134" s="678">
        <v>44701</v>
      </c>
      <c r="B134" s="1124" t="s">
        <v>522</v>
      </c>
      <c r="C134" s="1124" t="s">
        <v>3679</v>
      </c>
      <c r="D134" s="898" t="s">
        <v>2153</v>
      </c>
      <c r="E134" s="900">
        <v>644.84</v>
      </c>
      <c r="F134" s="649">
        <v>0</v>
      </c>
      <c r="G134" s="611">
        <v>644.84</v>
      </c>
      <c r="H134" s="678">
        <v>44701</v>
      </c>
      <c r="I134" s="1961"/>
      <c r="J134" s="2058"/>
      <c r="K134" s="1950"/>
      <c r="L134" s="166"/>
      <c r="M134" s="109"/>
    </row>
    <row r="135" spans="1:13" s="173" customFormat="1" ht="15">
      <c r="A135" s="2057">
        <v>44715</v>
      </c>
      <c r="B135" s="1918" t="s">
        <v>522</v>
      </c>
      <c r="C135" s="1918" t="s">
        <v>3679</v>
      </c>
      <c r="D135" s="1909" t="s">
        <v>2252</v>
      </c>
      <c r="E135" s="1923">
        <v>828.96</v>
      </c>
      <c r="F135" s="1927">
        <v>0</v>
      </c>
      <c r="G135" s="611">
        <v>286.87</v>
      </c>
      <c r="H135" s="678">
        <v>44715</v>
      </c>
      <c r="I135" s="1924"/>
      <c r="J135" s="2059"/>
      <c r="K135" s="1947"/>
      <c r="L135" s="166"/>
      <c r="M135" s="109"/>
    </row>
    <row r="136" spans="1:13" s="173" customFormat="1" ht="15">
      <c r="A136" s="2059"/>
      <c r="B136" s="1920"/>
      <c r="C136" s="1920"/>
      <c r="D136" s="1911"/>
      <c r="E136" s="1924"/>
      <c r="F136" s="1928"/>
      <c r="G136" s="611">
        <f>828.96-G135</f>
        <v>542.09</v>
      </c>
      <c r="H136" s="678">
        <v>44715</v>
      </c>
      <c r="I136" s="1923">
        <v>4523.3100000000004</v>
      </c>
      <c r="J136" s="2057">
        <v>44872</v>
      </c>
      <c r="K136" s="1935" t="s">
        <v>3471</v>
      </c>
      <c r="L136" s="166"/>
      <c r="M136" s="109"/>
    </row>
    <row r="137" spans="1:13" s="173" customFormat="1" ht="15">
      <c r="A137" s="678">
        <v>44756.000497685185</v>
      </c>
      <c r="B137" s="1124" t="s">
        <v>522</v>
      </c>
      <c r="C137" s="1124" t="s">
        <v>3679</v>
      </c>
      <c r="D137" s="898" t="s">
        <v>2439</v>
      </c>
      <c r="E137" s="900">
        <v>0.01</v>
      </c>
      <c r="F137" s="649">
        <v>0</v>
      </c>
      <c r="G137" s="611">
        <v>0.01</v>
      </c>
      <c r="H137" s="678">
        <v>44756.000497685185</v>
      </c>
      <c r="I137" s="1961"/>
      <c r="J137" s="2058"/>
      <c r="K137" s="1950"/>
      <c r="L137" s="166" t="s">
        <v>2397</v>
      </c>
      <c r="M137" s="109"/>
    </row>
    <row r="138" spans="1:13" s="369" customFormat="1" ht="15">
      <c r="A138" s="678">
        <v>44781.000497685185</v>
      </c>
      <c r="B138" s="1124" t="s">
        <v>522</v>
      </c>
      <c r="C138" s="1124" t="s">
        <v>3679</v>
      </c>
      <c r="D138" s="898" t="s">
        <v>2708</v>
      </c>
      <c r="E138" s="900">
        <v>-120.16</v>
      </c>
      <c r="F138" s="649">
        <v>0</v>
      </c>
      <c r="G138" s="611">
        <v>-120.16</v>
      </c>
      <c r="H138" s="678"/>
      <c r="I138" s="1961"/>
      <c r="J138" s="2058"/>
      <c r="K138" s="1950"/>
      <c r="L138" s="166"/>
      <c r="M138" s="904"/>
    </row>
    <row r="139" spans="1:13" s="369" customFormat="1" ht="15">
      <c r="A139" s="678">
        <v>44789.000497685185</v>
      </c>
      <c r="B139" s="1124" t="s">
        <v>522</v>
      </c>
      <c r="C139" s="1124" t="s">
        <v>3679</v>
      </c>
      <c r="D139" s="898" t="s">
        <v>2819</v>
      </c>
      <c r="E139" s="900">
        <v>1431.25</v>
      </c>
      <c r="F139" s="649">
        <v>0</v>
      </c>
      <c r="G139" s="611">
        <v>1431.25</v>
      </c>
      <c r="H139" s="678">
        <v>44790.000497685185</v>
      </c>
      <c r="I139" s="1961"/>
      <c r="J139" s="2058"/>
      <c r="K139" s="1950"/>
      <c r="L139" s="166"/>
      <c r="M139" s="904"/>
    </row>
    <row r="140" spans="1:13" s="369" customFormat="1" ht="15">
      <c r="A140" s="678">
        <v>44799</v>
      </c>
      <c r="B140" s="1124" t="s">
        <v>522</v>
      </c>
      <c r="C140" s="1124" t="s">
        <v>3679</v>
      </c>
      <c r="D140" s="898" t="s">
        <v>2878</v>
      </c>
      <c r="E140" s="900">
        <v>201.5</v>
      </c>
      <c r="F140" s="649">
        <v>0</v>
      </c>
      <c r="G140" s="611">
        <v>201.5</v>
      </c>
      <c r="H140" s="678">
        <v>44888</v>
      </c>
      <c r="I140" s="1961"/>
      <c r="J140" s="2058"/>
      <c r="K140" s="1950"/>
      <c r="L140" s="166"/>
      <c r="M140" s="904"/>
    </row>
    <row r="141" spans="1:13" s="369" customFormat="1" ht="15">
      <c r="A141" s="678">
        <v>44799</v>
      </c>
      <c r="B141" s="1124" t="s">
        <v>522</v>
      </c>
      <c r="C141" s="1124" t="s">
        <v>3679</v>
      </c>
      <c r="D141" s="898" t="s">
        <v>2879</v>
      </c>
      <c r="E141" s="900">
        <v>1106.45</v>
      </c>
      <c r="F141" s="649">
        <v>0</v>
      </c>
      <c r="G141" s="611">
        <v>1106.45</v>
      </c>
      <c r="H141" s="678">
        <v>44888</v>
      </c>
      <c r="I141" s="1961"/>
      <c r="J141" s="2058"/>
      <c r="K141" s="1950"/>
      <c r="L141" s="166"/>
      <c r="M141" s="904"/>
    </row>
    <row r="142" spans="1:13" s="369" customFormat="1" ht="15">
      <c r="A142" s="2057">
        <v>44799</v>
      </c>
      <c r="B142" s="1918" t="s">
        <v>522</v>
      </c>
      <c r="C142" s="1918" t="s">
        <v>3679</v>
      </c>
      <c r="D142" s="1909" t="s">
        <v>2880</v>
      </c>
      <c r="E142" s="1923">
        <v>5723.44</v>
      </c>
      <c r="F142" s="1927">
        <v>0</v>
      </c>
      <c r="G142" s="611">
        <v>1362.17</v>
      </c>
      <c r="H142" s="678">
        <v>44888</v>
      </c>
      <c r="I142" s="1924"/>
      <c r="J142" s="2059"/>
      <c r="K142" s="1947"/>
      <c r="L142" s="166"/>
      <c r="M142" s="904"/>
    </row>
    <row r="143" spans="1:13" s="369" customFormat="1" ht="15">
      <c r="A143" s="2058"/>
      <c r="B143" s="1919"/>
      <c r="C143" s="1919"/>
      <c r="D143" s="1910"/>
      <c r="E143" s="1961"/>
      <c r="F143" s="1960"/>
      <c r="G143" s="611">
        <v>3212</v>
      </c>
      <c r="H143" s="678">
        <v>44888</v>
      </c>
      <c r="I143" s="611">
        <v>3212</v>
      </c>
      <c r="J143" s="678">
        <v>44876</v>
      </c>
      <c r="K143" s="894" t="s">
        <v>3470</v>
      </c>
      <c r="L143" s="166"/>
      <c r="M143" s="904"/>
    </row>
    <row r="144" spans="1:13" s="369" customFormat="1" ht="15">
      <c r="A144" s="2059"/>
      <c r="B144" s="1920"/>
      <c r="C144" s="1920"/>
      <c r="D144" s="1911"/>
      <c r="E144" s="1924"/>
      <c r="F144" s="1928"/>
      <c r="G144" s="611">
        <f>5723.44-G142-G143</f>
        <v>1149.2699999999995</v>
      </c>
      <c r="H144" s="678">
        <v>44888</v>
      </c>
      <c r="I144" s="686">
        <v>1149.2699999999995</v>
      </c>
      <c r="J144" s="897">
        <v>44879</v>
      </c>
      <c r="K144" s="893" t="s">
        <v>3514</v>
      </c>
      <c r="L144" s="166"/>
      <c r="M144" s="904"/>
    </row>
    <row r="145" spans="1:13" s="173" customFormat="1" ht="15">
      <c r="A145" s="678">
        <v>44670.000497685185</v>
      </c>
      <c r="B145" s="1124" t="s">
        <v>522</v>
      </c>
      <c r="C145" s="1124" t="s">
        <v>3679</v>
      </c>
      <c r="D145" s="842" t="s">
        <v>1978</v>
      </c>
      <c r="E145" s="843">
        <v>-61.88</v>
      </c>
      <c r="F145" s="649">
        <v>0</v>
      </c>
      <c r="G145" s="611">
        <v>-61.88</v>
      </c>
      <c r="H145" s="678"/>
      <c r="I145" s="1923">
        <v>-98.11</v>
      </c>
      <c r="J145" s="2057">
        <v>44846</v>
      </c>
      <c r="K145" s="1935" t="s">
        <v>3278</v>
      </c>
      <c r="L145" s="166"/>
      <c r="M145" s="109"/>
    </row>
    <row r="146" spans="1:13" s="173" customFormat="1" ht="15">
      <c r="A146" s="678">
        <v>44670.000497685185</v>
      </c>
      <c r="B146" s="1124" t="s">
        <v>522</v>
      </c>
      <c r="C146" s="1124" t="s">
        <v>3679</v>
      </c>
      <c r="D146" s="842" t="s">
        <v>1980</v>
      </c>
      <c r="E146" s="843">
        <v>-4.83</v>
      </c>
      <c r="F146" s="649">
        <v>0</v>
      </c>
      <c r="G146" s="611">
        <v>-4.83</v>
      </c>
      <c r="H146" s="678"/>
      <c r="I146" s="1961"/>
      <c r="J146" s="2058"/>
      <c r="K146" s="1950"/>
      <c r="L146" s="166"/>
      <c r="M146" s="109"/>
    </row>
    <row r="147" spans="1:13" s="173" customFormat="1" ht="15">
      <c r="A147" s="678">
        <v>44684.000497685185</v>
      </c>
      <c r="B147" s="1124" t="s">
        <v>522</v>
      </c>
      <c r="C147" s="1124" t="s">
        <v>3679</v>
      </c>
      <c r="D147" s="842" t="s">
        <v>2063</v>
      </c>
      <c r="E147" s="843">
        <v>-31.4</v>
      </c>
      <c r="F147" s="649">
        <v>0</v>
      </c>
      <c r="G147" s="611">
        <v>-31.4</v>
      </c>
      <c r="H147" s="678"/>
      <c r="I147" s="1924"/>
      <c r="J147" s="2059"/>
      <c r="K147" s="1947"/>
      <c r="L147" s="166"/>
      <c r="M147" s="109"/>
    </row>
    <row r="148" spans="1:13" s="173" customFormat="1" ht="15">
      <c r="A148" s="678">
        <v>44707</v>
      </c>
      <c r="B148" s="1124" t="s">
        <v>522</v>
      </c>
      <c r="C148" s="1124" t="s">
        <v>3679</v>
      </c>
      <c r="D148" s="615" t="s">
        <v>2512</v>
      </c>
      <c r="E148" s="613">
        <v>1909.65</v>
      </c>
      <c r="F148" s="633">
        <v>0</v>
      </c>
      <c r="G148" s="611">
        <v>1909.65</v>
      </c>
      <c r="H148" s="678">
        <v>44707</v>
      </c>
      <c r="I148" s="1921">
        <v>0</v>
      </c>
      <c r="J148" s="2057">
        <v>44779</v>
      </c>
      <c r="K148" s="1935" t="s">
        <v>2632</v>
      </c>
      <c r="L148" s="166"/>
      <c r="M148" s="190"/>
    </row>
    <row r="149" spans="1:13" s="173" customFormat="1" ht="15">
      <c r="A149" s="678">
        <v>44707</v>
      </c>
      <c r="B149" s="1124" t="s">
        <v>522</v>
      </c>
      <c r="C149" s="1124" t="s">
        <v>3679</v>
      </c>
      <c r="D149" s="615" t="s">
        <v>2513</v>
      </c>
      <c r="E149" s="613">
        <v>-1909.65</v>
      </c>
      <c r="F149" s="633">
        <v>0</v>
      </c>
      <c r="G149" s="611">
        <v>-1909.65</v>
      </c>
      <c r="H149" s="678"/>
      <c r="I149" s="1922"/>
      <c r="J149" s="2059"/>
      <c r="K149" s="1947"/>
      <c r="L149" s="166" t="s">
        <v>2514</v>
      </c>
      <c r="M149" s="190"/>
    </row>
    <row r="150" spans="1:13" s="173" customFormat="1" ht="15">
      <c r="A150" s="678">
        <v>44715</v>
      </c>
      <c r="B150" s="1124" t="s">
        <v>522</v>
      </c>
      <c r="C150" s="1124" t="s">
        <v>3679</v>
      </c>
      <c r="D150" s="615" t="s">
        <v>2251</v>
      </c>
      <c r="E150" s="613">
        <v>974.31</v>
      </c>
      <c r="F150" s="633">
        <v>224.09</v>
      </c>
      <c r="G150" s="611">
        <v>1198.4000000000001</v>
      </c>
      <c r="H150" s="678">
        <v>44715</v>
      </c>
      <c r="I150" s="611">
        <v>1198.4000000000001</v>
      </c>
      <c r="J150" s="678">
        <v>44719</v>
      </c>
      <c r="K150" s="439" t="s">
        <v>2272</v>
      </c>
      <c r="L150" s="166"/>
      <c r="M150" s="190"/>
    </row>
    <row r="151" spans="1:13" s="173" customFormat="1" ht="15">
      <c r="A151" s="678">
        <v>44715</v>
      </c>
      <c r="B151" s="1124" t="s">
        <v>522</v>
      </c>
      <c r="C151" s="1124" t="s">
        <v>3679</v>
      </c>
      <c r="D151" s="615" t="s">
        <v>2253</v>
      </c>
      <c r="E151" s="613">
        <v>0.22</v>
      </c>
      <c r="F151" s="633">
        <v>0</v>
      </c>
      <c r="G151" s="611">
        <v>0.22</v>
      </c>
      <c r="H151" s="678">
        <v>44715</v>
      </c>
      <c r="I151" s="611">
        <v>0.22</v>
      </c>
      <c r="J151" s="678">
        <v>44722</v>
      </c>
      <c r="K151" s="439" t="s">
        <v>809</v>
      </c>
      <c r="L151" s="166" t="s">
        <v>2265</v>
      </c>
      <c r="M151" s="190"/>
    </row>
    <row r="152" spans="1:13" s="173" customFormat="1" ht="15">
      <c r="A152" s="2057">
        <v>44718</v>
      </c>
      <c r="B152" s="1918" t="s">
        <v>522</v>
      </c>
      <c r="C152" s="1918" t="s">
        <v>3679</v>
      </c>
      <c r="D152" s="1909" t="s">
        <v>2271</v>
      </c>
      <c r="E152" s="1915">
        <v>302.44</v>
      </c>
      <c r="F152" s="2002">
        <v>69.56</v>
      </c>
      <c r="G152" s="1927">
        <v>372</v>
      </c>
      <c r="H152" s="2057">
        <v>44718</v>
      </c>
      <c r="I152" s="611">
        <v>327</v>
      </c>
      <c r="J152" s="678">
        <v>44719</v>
      </c>
      <c r="K152" s="439" t="s">
        <v>1817</v>
      </c>
      <c r="L152" s="166"/>
      <c r="M152" s="190"/>
    </row>
    <row r="153" spans="1:13" s="173" customFormat="1" ht="15">
      <c r="A153" s="2059"/>
      <c r="B153" s="1920"/>
      <c r="C153" s="1920"/>
      <c r="D153" s="1911"/>
      <c r="E153" s="1917"/>
      <c r="F153" s="2003"/>
      <c r="G153" s="1928"/>
      <c r="H153" s="2059"/>
      <c r="I153" s="611">
        <v>45</v>
      </c>
      <c r="J153" s="678">
        <v>44727</v>
      </c>
      <c r="K153" s="439" t="s">
        <v>1817</v>
      </c>
      <c r="L153" s="166"/>
      <c r="M153" s="190"/>
    </row>
    <row r="154" spans="1:13" s="173" customFormat="1" ht="15">
      <c r="A154" s="678">
        <v>44728</v>
      </c>
      <c r="B154" s="1124" t="s">
        <v>522</v>
      </c>
      <c r="C154" s="1124" t="s">
        <v>3679</v>
      </c>
      <c r="D154" s="615" t="s">
        <v>2511</v>
      </c>
      <c r="E154" s="613">
        <v>0.15</v>
      </c>
      <c r="F154" s="633">
        <v>0</v>
      </c>
      <c r="G154" s="611">
        <v>0.15</v>
      </c>
      <c r="H154" s="678">
        <v>44728</v>
      </c>
      <c r="I154" s="1927">
        <v>0</v>
      </c>
      <c r="J154" s="2057">
        <v>44841</v>
      </c>
      <c r="K154" s="1935" t="s">
        <v>3472</v>
      </c>
      <c r="L154" s="166" t="s">
        <v>2305</v>
      </c>
      <c r="M154" s="109"/>
    </row>
    <row r="155" spans="1:13" s="173" customFormat="1" ht="15">
      <c r="A155" s="678">
        <v>44728</v>
      </c>
      <c r="B155" s="1124" t="s">
        <v>522</v>
      </c>
      <c r="C155" s="1124" t="s">
        <v>3679</v>
      </c>
      <c r="D155" s="615" t="s">
        <v>2304</v>
      </c>
      <c r="E155" s="613">
        <v>-0.15</v>
      </c>
      <c r="F155" s="633">
        <v>0</v>
      </c>
      <c r="G155" s="611">
        <v>-0.15</v>
      </c>
      <c r="H155" s="678"/>
      <c r="I155" s="1928"/>
      <c r="J155" s="2059"/>
      <c r="K155" s="1947"/>
      <c r="L155" s="166" t="s">
        <v>2306</v>
      </c>
      <c r="M155" s="109"/>
    </row>
    <row r="156" spans="1:13" s="173" customFormat="1" ht="15">
      <c r="A156" s="678">
        <v>44735</v>
      </c>
      <c r="B156" s="1124" t="s">
        <v>522</v>
      </c>
      <c r="C156" s="1124" t="s">
        <v>3679</v>
      </c>
      <c r="D156" s="615" t="s">
        <v>2345</v>
      </c>
      <c r="E156" s="613">
        <v>5042.67</v>
      </c>
      <c r="F156" s="633">
        <v>1159.81</v>
      </c>
      <c r="G156" s="611">
        <v>6202.48</v>
      </c>
      <c r="H156" s="678">
        <v>44735</v>
      </c>
      <c r="I156" s="611">
        <v>6202.48</v>
      </c>
      <c r="J156" s="678">
        <v>44743</v>
      </c>
      <c r="K156" s="439" t="s">
        <v>2424</v>
      </c>
      <c r="L156" s="166"/>
      <c r="M156" s="190"/>
    </row>
    <row r="157" spans="1:13" s="173" customFormat="1" ht="15">
      <c r="A157" s="678">
        <v>44742</v>
      </c>
      <c r="B157" s="1124" t="s">
        <v>522</v>
      </c>
      <c r="C157" s="1124" t="s">
        <v>3679</v>
      </c>
      <c r="D157" s="615" t="s">
        <v>2384</v>
      </c>
      <c r="E157" s="613">
        <v>0.01</v>
      </c>
      <c r="F157" s="633">
        <v>0</v>
      </c>
      <c r="G157" s="611">
        <v>0.01</v>
      </c>
      <c r="H157" s="678">
        <v>44742</v>
      </c>
      <c r="I157" s="611">
        <v>0.01</v>
      </c>
      <c r="J157" s="678">
        <v>44749</v>
      </c>
      <c r="K157" s="439" t="s">
        <v>809</v>
      </c>
      <c r="L157" s="166" t="s">
        <v>2385</v>
      </c>
      <c r="M157" s="190"/>
    </row>
    <row r="158" spans="1:13" s="173" customFormat="1" ht="15">
      <c r="A158" s="678">
        <v>44748.000497685185</v>
      </c>
      <c r="B158" s="1124" t="s">
        <v>522</v>
      </c>
      <c r="C158" s="1124" t="s">
        <v>3679</v>
      </c>
      <c r="D158" s="615" t="s">
        <v>2396</v>
      </c>
      <c r="E158" s="613">
        <v>0.01</v>
      </c>
      <c r="F158" s="633">
        <v>0</v>
      </c>
      <c r="G158" s="611">
        <v>0.01</v>
      </c>
      <c r="H158" s="678">
        <v>44748.000497685185</v>
      </c>
      <c r="I158" s="611">
        <v>0.01</v>
      </c>
      <c r="J158" s="678">
        <v>44749</v>
      </c>
      <c r="K158" s="444" t="s">
        <v>809</v>
      </c>
      <c r="L158" s="166" t="s">
        <v>2397</v>
      </c>
      <c r="M158" s="190"/>
    </row>
    <row r="159" spans="1:13" s="173" customFormat="1" ht="15">
      <c r="A159" s="678">
        <v>44749.000497685185</v>
      </c>
      <c r="B159" s="1124" t="s">
        <v>522</v>
      </c>
      <c r="C159" s="1124" t="s">
        <v>3679</v>
      </c>
      <c r="D159" s="615" t="s">
        <v>2398</v>
      </c>
      <c r="E159" s="613">
        <v>0.01</v>
      </c>
      <c r="F159" s="633">
        <v>0</v>
      </c>
      <c r="G159" s="611">
        <v>0.01</v>
      </c>
      <c r="H159" s="678">
        <v>44749.000497685185</v>
      </c>
      <c r="I159" s="611">
        <v>0.01</v>
      </c>
      <c r="J159" s="678">
        <v>44749</v>
      </c>
      <c r="K159" s="444" t="s">
        <v>809</v>
      </c>
      <c r="L159" s="166" t="s">
        <v>2399</v>
      </c>
      <c r="M159" s="190"/>
    </row>
    <row r="160" spans="1:13" s="173" customFormat="1" ht="15">
      <c r="A160" s="678">
        <v>44754.000497685185</v>
      </c>
      <c r="B160" s="1124" t="s">
        <v>522</v>
      </c>
      <c r="C160" s="1124" t="s">
        <v>3679</v>
      </c>
      <c r="D160" s="615" t="s">
        <v>2440</v>
      </c>
      <c r="E160" s="613">
        <v>1383.58</v>
      </c>
      <c r="F160" s="633">
        <v>318.22000000000003</v>
      </c>
      <c r="G160" s="611">
        <v>1701.8</v>
      </c>
      <c r="H160" s="678">
        <v>44754.000497685185</v>
      </c>
      <c r="I160" s="611">
        <v>1701.8</v>
      </c>
      <c r="J160" s="678">
        <v>44757</v>
      </c>
      <c r="K160" s="481" t="s">
        <v>2515</v>
      </c>
      <c r="L160" s="166"/>
      <c r="M160" s="190"/>
    </row>
    <row r="161" spans="1:13" s="173" customFormat="1" ht="15">
      <c r="A161" s="678">
        <v>44767</v>
      </c>
      <c r="B161" s="1124" t="s">
        <v>522</v>
      </c>
      <c r="C161" s="1124" t="s">
        <v>3679</v>
      </c>
      <c r="D161" s="615" t="s">
        <v>2588</v>
      </c>
      <c r="E161" s="613">
        <v>5466.39</v>
      </c>
      <c r="F161" s="633">
        <v>1257.27</v>
      </c>
      <c r="G161" s="611">
        <v>6723.66</v>
      </c>
      <c r="H161" s="678">
        <v>44767</v>
      </c>
      <c r="I161" s="611">
        <v>6723.66</v>
      </c>
      <c r="J161" s="678">
        <v>44777</v>
      </c>
      <c r="K161" s="490" t="s">
        <v>1817</v>
      </c>
      <c r="L161" s="166"/>
      <c r="M161" s="190"/>
    </row>
    <row r="162" spans="1:13" s="173" customFormat="1" ht="15">
      <c r="A162" s="678">
        <v>44771</v>
      </c>
      <c r="B162" s="1124" t="s">
        <v>522</v>
      </c>
      <c r="C162" s="1124" t="s">
        <v>3679</v>
      </c>
      <c r="D162" s="615" t="s">
        <v>2589</v>
      </c>
      <c r="E162" s="609">
        <v>2380.6799999999998</v>
      </c>
      <c r="F162" s="649">
        <v>547.55999999999995</v>
      </c>
      <c r="G162" s="611">
        <v>2928.24</v>
      </c>
      <c r="H162" s="678">
        <v>44771</v>
      </c>
      <c r="I162" s="611">
        <v>2928.24</v>
      </c>
      <c r="J162" s="678">
        <v>44785</v>
      </c>
      <c r="K162" s="498" t="s">
        <v>1817</v>
      </c>
      <c r="L162" s="166"/>
      <c r="M162" s="190"/>
    </row>
    <row r="163" spans="1:13" s="173" customFormat="1" ht="15">
      <c r="A163" s="678">
        <v>44771</v>
      </c>
      <c r="B163" s="1124" t="s">
        <v>522</v>
      </c>
      <c r="C163" s="1124" t="s">
        <v>3679</v>
      </c>
      <c r="D163" s="615" t="s">
        <v>2590</v>
      </c>
      <c r="E163" s="609">
        <v>583.74</v>
      </c>
      <c r="F163" s="649">
        <v>134.26</v>
      </c>
      <c r="G163" s="611">
        <v>718</v>
      </c>
      <c r="H163" s="678">
        <v>44771</v>
      </c>
      <c r="I163" s="611">
        <v>718</v>
      </c>
      <c r="J163" s="678">
        <v>44785</v>
      </c>
      <c r="K163" s="498" t="s">
        <v>1817</v>
      </c>
      <c r="L163" s="166"/>
      <c r="M163" s="190"/>
    </row>
    <row r="164" spans="1:13" s="173" customFormat="1" ht="15">
      <c r="A164" s="1224">
        <v>44781.000497685185</v>
      </c>
      <c r="B164" s="1215" t="s">
        <v>522</v>
      </c>
      <c r="C164" s="1215" t="s">
        <v>3679</v>
      </c>
      <c r="D164" s="1216" t="s">
        <v>2706</v>
      </c>
      <c r="E164" s="1220">
        <v>-10.19</v>
      </c>
      <c r="F164" s="649">
        <v>0</v>
      </c>
      <c r="G164" s="611">
        <v>-10.19</v>
      </c>
      <c r="H164" s="1224"/>
      <c r="I164" s="1923">
        <v>-123.31</v>
      </c>
      <c r="J164" s="2057">
        <v>44872</v>
      </c>
      <c r="K164" s="1935" t="s">
        <v>3470</v>
      </c>
      <c r="L164" s="166"/>
      <c r="M164" s="109"/>
    </row>
    <row r="165" spans="1:13" s="173" customFormat="1" ht="15">
      <c r="A165" s="1224">
        <v>44781.000497685185</v>
      </c>
      <c r="B165" s="1215" t="s">
        <v>522</v>
      </c>
      <c r="C165" s="1215" t="s">
        <v>3679</v>
      </c>
      <c r="D165" s="1216" t="s">
        <v>2707</v>
      </c>
      <c r="E165" s="1220">
        <v>-113.12</v>
      </c>
      <c r="F165" s="649">
        <v>0</v>
      </c>
      <c r="G165" s="611">
        <v>-113.12</v>
      </c>
      <c r="H165" s="1224"/>
      <c r="I165" s="1924"/>
      <c r="J165" s="2059"/>
      <c r="K165" s="1947"/>
      <c r="L165" s="166"/>
      <c r="M165" s="109"/>
    </row>
    <row r="166" spans="1:13" s="173" customFormat="1" ht="15">
      <c r="A166" s="1224">
        <v>44781.000497685185</v>
      </c>
      <c r="B166" s="1215" t="s">
        <v>522</v>
      </c>
      <c r="C166" s="1215" t="s">
        <v>3679</v>
      </c>
      <c r="D166" s="1216" t="s">
        <v>2710</v>
      </c>
      <c r="E166" s="1220">
        <v>-0.84</v>
      </c>
      <c r="F166" s="649">
        <v>-0.18</v>
      </c>
      <c r="G166" s="611">
        <v>-1.02</v>
      </c>
      <c r="H166" s="1224"/>
      <c r="I166" s="1927">
        <v>0</v>
      </c>
      <c r="J166" s="2057">
        <v>44831</v>
      </c>
      <c r="K166" s="1935" t="s">
        <v>3472</v>
      </c>
      <c r="L166" s="166"/>
      <c r="M166" s="109"/>
    </row>
    <row r="167" spans="1:13" s="173" customFormat="1" ht="15">
      <c r="A167" s="1224">
        <v>44831.000497685185</v>
      </c>
      <c r="B167" s="1215" t="s">
        <v>522</v>
      </c>
      <c r="C167" s="1215" t="s">
        <v>3679</v>
      </c>
      <c r="D167" s="1216" t="s">
        <v>3132</v>
      </c>
      <c r="E167" s="1220">
        <v>0.84</v>
      </c>
      <c r="F167" s="649">
        <v>0.18</v>
      </c>
      <c r="G167" s="611">
        <v>1.02</v>
      </c>
      <c r="H167" s="1224">
        <v>44832</v>
      </c>
      <c r="I167" s="1928"/>
      <c r="J167" s="2059"/>
      <c r="K167" s="1947"/>
      <c r="L167" s="166" t="s">
        <v>3137</v>
      </c>
      <c r="M167" s="109"/>
    </row>
    <row r="168" spans="1:13" s="173" customFormat="1" ht="15">
      <c r="A168" s="1224">
        <v>44781.000497685185</v>
      </c>
      <c r="B168" s="1215" t="s">
        <v>522</v>
      </c>
      <c r="C168" s="1215" t="s">
        <v>3679</v>
      </c>
      <c r="D168" s="1216" t="s">
        <v>2709</v>
      </c>
      <c r="E168" s="1220">
        <v>-36.04</v>
      </c>
      <c r="F168" s="649">
        <v>-8.2899999999999991</v>
      </c>
      <c r="G168" s="611">
        <v>-44.32</v>
      </c>
      <c r="H168" s="1224"/>
      <c r="I168" s="611">
        <v>-44.32</v>
      </c>
      <c r="J168" s="1224">
        <v>44992</v>
      </c>
      <c r="K168" s="1214" t="s">
        <v>4475</v>
      </c>
      <c r="L168" s="166"/>
      <c r="M168" s="109"/>
    </row>
    <row r="169" spans="1:13" s="173" customFormat="1" ht="15">
      <c r="A169" s="1224">
        <v>44806</v>
      </c>
      <c r="B169" s="1215" t="s">
        <v>522</v>
      </c>
      <c r="C169" s="1215" t="s">
        <v>3679</v>
      </c>
      <c r="D169" s="1216" t="s">
        <v>2936</v>
      </c>
      <c r="E169" s="1220">
        <v>696.96</v>
      </c>
      <c r="F169" s="649">
        <v>0</v>
      </c>
      <c r="G169" s="611">
        <v>696.96</v>
      </c>
      <c r="H169" s="1224">
        <v>44895</v>
      </c>
      <c r="I169" s="2143">
        <f>SUM(G169:G171)</f>
        <v>7755.56</v>
      </c>
      <c r="J169" s="2057">
        <v>44879</v>
      </c>
      <c r="K169" s="1935" t="s">
        <v>3513</v>
      </c>
      <c r="L169" s="166"/>
      <c r="M169" s="109"/>
    </row>
    <row r="170" spans="1:13" s="173" customFormat="1" ht="15">
      <c r="A170" s="1224">
        <v>44817</v>
      </c>
      <c r="B170" s="1215" t="s">
        <v>522</v>
      </c>
      <c r="C170" s="1215" t="s">
        <v>3679</v>
      </c>
      <c r="D170" s="1216" t="s">
        <v>3031</v>
      </c>
      <c r="E170" s="1220">
        <v>-141</v>
      </c>
      <c r="F170" s="649">
        <v>0</v>
      </c>
      <c r="G170" s="611">
        <v>-141</v>
      </c>
      <c r="H170" s="1224">
        <v>44818</v>
      </c>
      <c r="I170" s="2145"/>
      <c r="J170" s="2058"/>
      <c r="K170" s="1950"/>
      <c r="L170" s="166" t="s">
        <v>3033</v>
      </c>
      <c r="M170" s="109"/>
    </row>
    <row r="171" spans="1:13" s="173" customFormat="1" ht="15">
      <c r="A171" s="2057">
        <v>44820</v>
      </c>
      <c r="B171" s="1903" t="s">
        <v>522</v>
      </c>
      <c r="C171" s="1903" t="s">
        <v>3679</v>
      </c>
      <c r="D171" s="1909" t="s">
        <v>3032</v>
      </c>
      <c r="E171" s="1923">
        <v>10360.4</v>
      </c>
      <c r="F171" s="1927">
        <v>0</v>
      </c>
      <c r="G171" s="611">
        <v>7199.6</v>
      </c>
      <c r="H171" s="1224">
        <v>44909</v>
      </c>
      <c r="I171" s="2144"/>
      <c r="J171" s="2059"/>
      <c r="K171" s="1947"/>
      <c r="L171" s="166"/>
      <c r="M171" s="109"/>
    </row>
    <row r="172" spans="1:13" s="173" customFormat="1" ht="15">
      <c r="A172" s="2059"/>
      <c r="B172" s="1905"/>
      <c r="C172" s="1905"/>
      <c r="D172" s="1911"/>
      <c r="E172" s="1924"/>
      <c r="F172" s="1928"/>
      <c r="G172" s="611">
        <f>10360.4-G171</f>
        <v>3160.7999999999993</v>
      </c>
      <c r="H172" s="1224">
        <v>44909</v>
      </c>
      <c r="I172" s="2143">
        <v>4600</v>
      </c>
      <c r="J172" s="2057">
        <v>44893</v>
      </c>
      <c r="K172" s="1935" t="s">
        <v>3652</v>
      </c>
      <c r="L172" s="166"/>
      <c r="M172" s="109"/>
    </row>
    <row r="173" spans="1:13" s="173" customFormat="1" ht="15">
      <c r="A173" s="1224">
        <v>44823</v>
      </c>
      <c r="B173" s="1215" t="s">
        <v>522</v>
      </c>
      <c r="C173" s="1215" t="s">
        <v>3679</v>
      </c>
      <c r="D173" s="1216" t="s">
        <v>3077</v>
      </c>
      <c r="E173" s="1220">
        <v>857.4</v>
      </c>
      <c r="F173" s="649">
        <v>0</v>
      </c>
      <c r="G173" s="611">
        <v>857.4</v>
      </c>
      <c r="H173" s="1224">
        <v>44824</v>
      </c>
      <c r="I173" s="2145"/>
      <c r="J173" s="2058"/>
      <c r="K173" s="1950"/>
      <c r="L173" s="166"/>
      <c r="M173" s="109"/>
    </row>
    <row r="174" spans="1:13" s="173" customFormat="1" ht="15">
      <c r="A174" s="2057">
        <v>44830.000497685185</v>
      </c>
      <c r="B174" s="1903" t="s">
        <v>522</v>
      </c>
      <c r="C174" s="1903" t="s">
        <v>3679</v>
      </c>
      <c r="D174" s="1909" t="s">
        <v>3131</v>
      </c>
      <c r="E174" s="1923">
        <v>5072.96</v>
      </c>
      <c r="F174" s="1927">
        <v>0</v>
      </c>
      <c r="G174" s="611">
        <v>581.79999999999995</v>
      </c>
      <c r="H174" s="1224">
        <v>44919</v>
      </c>
      <c r="I174" s="2144"/>
      <c r="J174" s="2059"/>
      <c r="K174" s="1947"/>
      <c r="L174" s="166"/>
      <c r="M174" s="109"/>
    </row>
    <row r="175" spans="1:13" s="173" customFormat="1" ht="15">
      <c r="A175" s="2058"/>
      <c r="B175" s="1904"/>
      <c r="C175" s="1904"/>
      <c r="D175" s="1910"/>
      <c r="E175" s="1961"/>
      <c r="F175" s="1960"/>
      <c r="G175" s="611">
        <v>525.34</v>
      </c>
      <c r="H175" s="1224">
        <v>44919</v>
      </c>
      <c r="I175" s="718">
        <v>525.34</v>
      </c>
      <c r="J175" s="1224">
        <v>44930</v>
      </c>
      <c r="K175" s="1214" t="s">
        <v>3872</v>
      </c>
      <c r="L175" s="166"/>
      <c r="M175" s="109"/>
    </row>
    <row r="176" spans="1:13" s="173" customFormat="1" ht="15">
      <c r="A176" s="2059"/>
      <c r="B176" s="1905"/>
      <c r="C176" s="1905"/>
      <c r="D176" s="1911"/>
      <c r="E176" s="1924"/>
      <c r="F176" s="1928"/>
      <c r="G176" s="611">
        <f>5072.96-581.8-525.34</f>
        <v>3965.8199999999997</v>
      </c>
      <c r="H176" s="1224">
        <v>44919</v>
      </c>
      <c r="I176" s="718">
        <v>3965.8199999999997</v>
      </c>
      <c r="J176" s="1224">
        <v>44950</v>
      </c>
      <c r="K176" s="1214" t="s">
        <v>1817</v>
      </c>
      <c r="L176" s="166"/>
      <c r="M176" s="109"/>
    </row>
    <row r="177" spans="1:13" s="173" customFormat="1" ht="15">
      <c r="A177" s="1224">
        <v>44831.000497685185</v>
      </c>
      <c r="B177" s="1215" t="s">
        <v>522</v>
      </c>
      <c r="C177" s="1215" t="s">
        <v>3679</v>
      </c>
      <c r="D177" s="1216" t="s">
        <v>3133</v>
      </c>
      <c r="E177" s="1220">
        <v>-1.02</v>
      </c>
      <c r="F177" s="649">
        <v>0</v>
      </c>
      <c r="G177" s="611">
        <v>-1.02</v>
      </c>
      <c r="H177" s="1224">
        <v>44832</v>
      </c>
      <c r="I177" s="718">
        <v>-1.02</v>
      </c>
      <c r="J177" s="1224">
        <v>44992</v>
      </c>
      <c r="K177" s="1214" t="s">
        <v>4475</v>
      </c>
      <c r="L177" s="166" t="s">
        <v>3135</v>
      </c>
      <c r="M177" s="109"/>
    </row>
    <row r="178" spans="1:13" s="369" customFormat="1" ht="15">
      <c r="A178" s="1224">
        <v>44832.000497685185</v>
      </c>
      <c r="B178" s="1215" t="s">
        <v>522</v>
      </c>
      <c r="C178" s="1215" t="s">
        <v>3679</v>
      </c>
      <c r="D178" s="1216" t="s">
        <v>3134</v>
      </c>
      <c r="E178" s="1220">
        <v>1230.19</v>
      </c>
      <c r="F178" s="649">
        <v>0</v>
      </c>
      <c r="G178" s="611">
        <v>1230.19</v>
      </c>
      <c r="H178" s="1224">
        <v>44833</v>
      </c>
      <c r="I178" s="718">
        <v>1230.19</v>
      </c>
      <c r="J178" s="1224">
        <v>44930</v>
      </c>
      <c r="K178" s="1214" t="s">
        <v>3873</v>
      </c>
      <c r="L178" s="166" t="s">
        <v>3136</v>
      </c>
      <c r="M178" s="904"/>
    </row>
    <row r="179" spans="1:13" s="173" customFormat="1" ht="15">
      <c r="A179" s="1224">
        <v>44851.000497685185</v>
      </c>
      <c r="B179" s="1215" t="s">
        <v>522</v>
      </c>
      <c r="C179" s="1215" t="s">
        <v>3679</v>
      </c>
      <c r="D179" s="1216" t="s">
        <v>3315</v>
      </c>
      <c r="E179" s="1220">
        <v>0.18</v>
      </c>
      <c r="F179" s="649">
        <v>0</v>
      </c>
      <c r="G179" s="611">
        <v>0.18</v>
      </c>
      <c r="H179" s="1224">
        <v>44852.000497685185</v>
      </c>
      <c r="I179" s="2143">
        <v>2.4300000000000002</v>
      </c>
      <c r="J179" s="2057">
        <v>44855</v>
      </c>
      <c r="K179" s="1935" t="s">
        <v>3332</v>
      </c>
      <c r="L179" s="2051" t="s">
        <v>3328</v>
      </c>
      <c r="M179" s="109"/>
    </row>
    <row r="180" spans="1:13" s="173" customFormat="1" ht="15">
      <c r="A180" s="1224">
        <v>44851.000497685185</v>
      </c>
      <c r="B180" s="1215" t="s">
        <v>522</v>
      </c>
      <c r="C180" s="1215" t="s">
        <v>3679</v>
      </c>
      <c r="D180" s="1216" t="s">
        <v>3316</v>
      </c>
      <c r="E180" s="1220">
        <v>0.2</v>
      </c>
      <c r="F180" s="649">
        <v>0</v>
      </c>
      <c r="G180" s="611">
        <v>0.2</v>
      </c>
      <c r="H180" s="1224">
        <v>44852.000497685185</v>
      </c>
      <c r="I180" s="2145"/>
      <c r="J180" s="2058"/>
      <c r="K180" s="1950"/>
      <c r="L180" s="2052"/>
      <c r="M180" s="190"/>
    </row>
    <row r="181" spans="1:13" s="173" customFormat="1" ht="15">
      <c r="A181" s="1224">
        <v>44852.000497685185</v>
      </c>
      <c r="B181" s="1215" t="s">
        <v>522</v>
      </c>
      <c r="C181" s="1215" t="s">
        <v>3679</v>
      </c>
      <c r="D181" s="1216" t="s">
        <v>3317</v>
      </c>
      <c r="E181" s="1220">
        <v>0.2</v>
      </c>
      <c r="F181" s="649">
        <v>0</v>
      </c>
      <c r="G181" s="611">
        <v>0.2</v>
      </c>
      <c r="H181" s="1224">
        <v>44853.000497685185</v>
      </c>
      <c r="I181" s="2145"/>
      <c r="J181" s="2058"/>
      <c r="K181" s="1950"/>
      <c r="L181" s="2052"/>
      <c r="M181" s="190"/>
    </row>
    <row r="182" spans="1:13" s="173" customFormat="1" ht="15">
      <c r="A182" s="1224">
        <v>44852.000497685185</v>
      </c>
      <c r="B182" s="1215" t="s">
        <v>522</v>
      </c>
      <c r="C182" s="1215" t="s">
        <v>3679</v>
      </c>
      <c r="D182" s="1216" t="s">
        <v>3318</v>
      </c>
      <c r="E182" s="1220">
        <v>0.2</v>
      </c>
      <c r="F182" s="649">
        <v>0</v>
      </c>
      <c r="G182" s="611">
        <v>0.2</v>
      </c>
      <c r="H182" s="1224">
        <v>44853.000497685185</v>
      </c>
      <c r="I182" s="2145"/>
      <c r="J182" s="2058"/>
      <c r="K182" s="1950"/>
      <c r="L182" s="2052"/>
      <c r="M182" s="190"/>
    </row>
    <row r="183" spans="1:13" s="173" customFormat="1" ht="15">
      <c r="A183" s="1224">
        <v>44852.000497685185</v>
      </c>
      <c r="B183" s="1215" t="s">
        <v>522</v>
      </c>
      <c r="C183" s="1215" t="s">
        <v>3679</v>
      </c>
      <c r="D183" s="1216" t="s">
        <v>3319</v>
      </c>
      <c r="E183" s="1220">
        <v>0.26</v>
      </c>
      <c r="F183" s="649">
        <v>0</v>
      </c>
      <c r="G183" s="611">
        <v>0.26</v>
      </c>
      <c r="H183" s="1224">
        <v>44853.000497685185</v>
      </c>
      <c r="I183" s="2145"/>
      <c r="J183" s="2058"/>
      <c r="K183" s="1950"/>
      <c r="L183" s="2052"/>
      <c r="M183" s="190"/>
    </row>
    <row r="184" spans="1:13" s="173" customFormat="1" ht="15">
      <c r="A184" s="1224">
        <v>44852.000497685185</v>
      </c>
      <c r="B184" s="1215" t="s">
        <v>522</v>
      </c>
      <c r="C184" s="1215" t="s">
        <v>3679</v>
      </c>
      <c r="D184" s="1216" t="s">
        <v>3320</v>
      </c>
      <c r="E184" s="1220">
        <v>0.19</v>
      </c>
      <c r="F184" s="649">
        <v>0</v>
      </c>
      <c r="G184" s="611">
        <v>0.19</v>
      </c>
      <c r="H184" s="1224">
        <v>44853.000497685185</v>
      </c>
      <c r="I184" s="2145"/>
      <c r="J184" s="2058"/>
      <c r="K184" s="1950"/>
      <c r="L184" s="2052"/>
      <c r="M184" s="190"/>
    </row>
    <row r="185" spans="1:13" s="173" customFormat="1" ht="15">
      <c r="A185" s="1224">
        <v>44852.000497685185</v>
      </c>
      <c r="B185" s="1215" t="s">
        <v>522</v>
      </c>
      <c r="C185" s="1215" t="s">
        <v>3679</v>
      </c>
      <c r="D185" s="1216" t="s">
        <v>3321</v>
      </c>
      <c r="E185" s="1220">
        <v>0.2</v>
      </c>
      <c r="F185" s="649">
        <v>0</v>
      </c>
      <c r="G185" s="611">
        <v>0.2</v>
      </c>
      <c r="H185" s="1224">
        <v>44853.000497685185</v>
      </c>
      <c r="I185" s="2145"/>
      <c r="J185" s="2058"/>
      <c r="K185" s="1950"/>
      <c r="L185" s="2052"/>
      <c r="M185" s="190"/>
    </row>
    <row r="186" spans="1:13" s="173" customFormat="1" ht="15">
      <c r="A186" s="1224">
        <v>44852.000497685185</v>
      </c>
      <c r="B186" s="1215" t="s">
        <v>522</v>
      </c>
      <c r="C186" s="1215" t="s">
        <v>3679</v>
      </c>
      <c r="D186" s="1216" t="s">
        <v>3322</v>
      </c>
      <c r="E186" s="1220">
        <v>0.2</v>
      </c>
      <c r="F186" s="649">
        <v>0</v>
      </c>
      <c r="G186" s="611">
        <v>0.2</v>
      </c>
      <c r="H186" s="1224">
        <v>44853.000497685185</v>
      </c>
      <c r="I186" s="2145"/>
      <c r="J186" s="2058"/>
      <c r="K186" s="1950"/>
      <c r="L186" s="2052"/>
      <c r="M186" s="190"/>
    </row>
    <row r="187" spans="1:13" s="173" customFormat="1" ht="15">
      <c r="A187" s="1224">
        <v>44852.000497685185</v>
      </c>
      <c r="B187" s="1215" t="s">
        <v>522</v>
      </c>
      <c r="C187" s="1215" t="s">
        <v>3679</v>
      </c>
      <c r="D187" s="1216" t="s">
        <v>3323</v>
      </c>
      <c r="E187" s="1220">
        <v>0.16</v>
      </c>
      <c r="F187" s="649">
        <v>0</v>
      </c>
      <c r="G187" s="611">
        <v>0.16</v>
      </c>
      <c r="H187" s="1224">
        <v>44853.000497685185</v>
      </c>
      <c r="I187" s="2145"/>
      <c r="J187" s="2058"/>
      <c r="K187" s="1950"/>
      <c r="L187" s="2052"/>
      <c r="M187" s="190"/>
    </row>
    <row r="188" spans="1:13" s="173" customFormat="1" ht="15">
      <c r="A188" s="1224">
        <v>44852.000497685185</v>
      </c>
      <c r="B188" s="1215" t="s">
        <v>522</v>
      </c>
      <c r="C188" s="1215" t="s">
        <v>3679</v>
      </c>
      <c r="D188" s="1216" t="s">
        <v>3324</v>
      </c>
      <c r="E188" s="1220">
        <v>0.26</v>
      </c>
      <c r="F188" s="649">
        <v>0</v>
      </c>
      <c r="G188" s="611">
        <v>0.26</v>
      </c>
      <c r="H188" s="1224">
        <v>44853.000497685185</v>
      </c>
      <c r="I188" s="2145"/>
      <c r="J188" s="2058"/>
      <c r="K188" s="1950"/>
      <c r="L188" s="2052"/>
      <c r="M188" s="190"/>
    </row>
    <row r="189" spans="1:13" s="173" customFormat="1" ht="15">
      <c r="A189" s="1224">
        <v>44852.000497685185</v>
      </c>
      <c r="B189" s="1215" t="s">
        <v>522</v>
      </c>
      <c r="C189" s="1215" t="s">
        <v>3679</v>
      </c>
      <c r="D189" s="1216" t="s">
        <v>3326</v>
      </c>
      <c r="E189" s="1220">
        <v>0.19</v>
      </c>
      <c r="F189" s="649">
        <v>0</v>
      </c>
      <c r="G189" s="611">
        <v>0.19</v>
      </c>
      <c r="H189" s="1224">
        <v>44853.000497685185</v>
      </c>
      <c r="I189" s="2145"/>
      <c r="J189" s="2058"/>
      <c r="K189" s="1950"/>
      <c r="L189" s="2052"/>
      <c r="M189" s="190"/>
    </row>
    <row r="190" spans="1:13" s="173" customFormat="1" ht="15">
      <c r="A190" s="1224">
        <v>44852.000497685185</v>
      </c>
      <c r="B190" s="1215" t="s">
        <v>522</v>
      </c>
      <c r="C190" s="1215" t="s">
        <v>3679</v>
      </c>
      <c r="D190" s="1216" t="s">
        <v>3327</v>
      </c>
      <c r="E190" s="1220">
        <v>0.19</v>
      </c>
      <c r="F190" s="649">
        <v>0</v>
      </c>
      <c r="G190" s="611">
        <v>0.19</v>
      </c>
      <c r="H190" s="1224">
        <v>44853.000497685185</v>
      </c>
      <c r="I190" s="2144"/>
      <c r="J190" s="2059"/>
      <c r="K190" s="1947"/>
      <c r="L190" s="2053"/>
      <c r="M190" s="190"/>
    </row>
    <row r="191" spans="1:13" s="173" customFormat="1" ht="15">
      <c r="A191" s="1164">
        <v>44840</v>
      </c>
      <c r="B191" s="1152" t="s">
        <v>522</v>
      </c>
      <c r="C191" s="1152" t="s">
        <v>3679</v>
      </c>
      <c r="D191" s="1154" t="s">
        <v>3241</v>
      </c>
      <c r="E191" s="1159">
        <v>5088.88</v>
      </c>
      <c r="F191" s="649">
        <v>0</v>
      </c>
      <c r="G191" s="611">
        <v>5088.88</v>
      </c>
      <c r="H191" s="1164">
        <v>44841</v>
      </c>
      <c r="I191" s="2143">
        <v>12464.9</v>
      </c>
      <c r="J191" s="2057">
        <v>44971</v>
      </c>
      <c r="K191" s="1935" t="s">
        <v>4198</v>
      </c>
      <c r="L191" s="166"/>
      <c r="M191" s="109"/>
    </row>
    <row r="192" spans="1:13" s="173" customFormat="1" ht="15">
      <c r="A192" s="1164">
        <v>44851.000497685185</v>
      </c>
      <c r="B192" s="1152" t="s">
        <v>522</v>
      </c>
      <c r="C192" s="1152" t="s">
        <v>3679</v>
      </c>
      <c r="D192" s="1154" t="s">
        <v>3314</v>
      </c>
      <c r="E192" s="1159">
        <v>1274.58</v>
      </c>
      <c r="F192" s="649">
        <v>0</v>
      </c>
      <c r="G192" s="611">
        <v>1274.58</v>
      </c>
      <c r="H192" s="1164">
        <v>44852.000497685185</v>
      </c>
      <c r="I192" s="2145"/>
      <c r="J192" s="2058"/>
      <c r="K192" s="1950"/>
      <c r="L192" s="166"/>
      <c r="M192" s="109"/>
    </row>
    <row r="193" spans="1:14" s="173" customFormat="1" ht="15">
      <c r="A193" s="1164">
        <v>44852.000497685185</v>
      </c>
      <c r="B193" s="1152" t="s">
        <v>522</v>
      </c>
      <c r="C193" s="1152" t="s">
        <v>3679</v>
      </c>
      <c r="D193" s="1154" t="s">
        <v>3325</v>
      </c>
      <c r="E193" s="1159">
        <v>6101.44</v>
      </c>
      <c r="F193" s="649">
        <v>0</v>
      </c>
      <c r="G193" s="611">
        <v>6101.44</v>
      </c>
      <c r="H193" s="1164">
        <v>44853.000497685185</v>
      </c>
      <c r="I193" s="2144"/>
      <c r="J193" s="2059"/>
      <c r="K193" s="1947"/>
      <c r="L193" s="166"/>
      <c r="M193" s="190"/>
    </row>
    <row r="194" spans="1:14" s="173" customFormat="1" ht="15">
      <c r="A194" s="2057">
        <v>44869.000497685185</v>
      </c>
      <c r="B194" s="1903" t="s">
        <v>522</v>
      </c>
      <c r="C194" s="1903" t="s">
        <v>3679</v>
      </c>
      <c r="D194" s="1909" t="s">
        <v>3417</v>
      </c>
      <c r="E194" s="1923">
        <v>13684.52</v>
      </c>
      <c r="F194" s="1927">
        <v>0</v>
      </c>
      <c r="G194" s="611">
        <v>4990</v>
      </c>
      <c r="H194" s="1224">
        <v>44870.000497685185</v>
      </c>
      <c r="I194" s="718">
        <v>4990</v>
      </c>
      <c r="J194" s="1224">
        <v>44971</v>
      </c>
      <c r="K194" s="1214" t="s">
        <v>4198</v>
      </c>
      <c r="L194" s="166"/>
      <c r="M194" s="190"/>
    </row>
    <row r="195" spans="1:14" s="173" customFormat="1" ht="15">
      <c r="A195" s="2059"/>
      <c r="B195" s="1905"/>
      <c r="C195" s="1905"/>
      <c r="D195" s="1911"/>
      <c r="E195" s="1924"/>
      <c r="F195" s="1928"/>
      <c r="G195" s="611">
        <f>13684.52-4990</f>
        <v>8694.52</v>
      </c>
      <c r="H195" s="1224">
        <v>44870.000497685185</v>
      </c>
      <c r="I195" s="2143">
        <v>9232.64</v>
      </c>
      <c r="J195" s="2057">
        <v>44993</v>
      </c>
      <c r="K195" s="1935" t="s">
        <v>4757</v>
      </c>
      <c r="L195" s="166"/>
      <c r="M195" s="190"/>
    </row>
    <row r="196" spans="1:14" s="173" customFormat="1" ht="15">
      <c r="A196" s="1224">
        <v>44873</v>
      </c>
      <c r="B196" s="1215" t="s">
        <v>522</v>
      </c>
      <c r="C196" s="1215" t="s">
        <v>3679</v>
      </c>
      <c r="D196" s="1216" t="s">
        <v>3463</v>
      </c>
      <c r="E196" s="1220">
        <v>643.16</v>
      </c>
      <c r="F196" s="649">
        <v>0</v>
      </c>
      <c r="G196" s="611">
        <v>643.16</v>
      </c>
      <c r="H196" s="1224">
        <v>44874</v>
      </c>
      <c r="I196" s="2145"/>
      <c r="J196" s="2058"/>
      <c r="K196" s="1950"/>
      <c r="L196" s="166"/>
      <c r="M196" s="190"/>
    </row>
    <row r="197" spans="1:14" s="173" customFormat="1" ht="15">
      <c r="A197" s="1224">
        <v>44887</v>
      </c>
      <c r="B197" s="1215" t="s">
        <v>522</v>
      </c>
      <c r="C197" s="1215" t="s">
        <v>3679</v>
      </c>
      <c r="D197" s="1216" t="s">
        <v>3554</v>
      </c>
      <c r="E197" s="1220">
        <v>-105.04</v>
      </c>
      <c r="F197" s="649">
        <v>0</v>
      </c>
      <c r="G197" s="611">
        <v>-105.04</v>
      </c>
      <c r="H197" s="1224"/>
      <c r="I197" s="2144"/>
      <c r="J197" s="2059"/>
      <c r="K197" s="1947"/>
      <c r="L197" s="166"/>
      <c r="M197" s="190"/>
      <c r="N197" s="190"/>
    </row>
    <row r="198" spans="1:14" s="369" customFormat="1" ht="15">
      <c r="A198" s="678">
        <v>44876</v>
      </c>
      <c r="B198" s="1124" t="s">
        <v>522</v>
      </c>
      <c r="C198" s="1124" t="s">
        <v>3679</v>
      </c>
      <c r="D198" s="1022" t="s">
        <v>3462</v>
      </c>
      <c r="E198" s="1023">
        <v>-18.8</v>
      </c>
      <c r="F198" s="649">
        <v>0</v>
      </c>
      <c r="G198" s="611">
        <v>-18.8</v>
      </c>
      <c r="H198" s="678"/>
      <c r="I198" s="1923">
        <v>-92.53</v>
      </c>
      <c r="J198" s="678">
        <v>44930</v>
      </c>
      <c r="K198" s="1020" t="s">
        <v>3873</v>
      </c>
      <c r="L198" s="166"/>
      <c r="M198" s="904"/>
    </row>
    <row r="199" spans="1:14" s="369" customFormat="1" ht="15">
      <c r="A199" s="678">
        <v>44887</v>
      </c>
      <c r="B199" s="1124" t="s">
        <v>522</v>
      </c>
      <c r="C199" s="1124" t="s">
        <v>3679</v>
      </c>
      <c r="D199" s="1022" t="s">
        <v>3553</v>
      </c>
      <c r="E199" s="1023">
        <v>-73.73</v>
      </c>
      <c r="F199" s="649">
        <v>0</v>
      </c>
      <c r="G199" s="611">
        <v>-73.73</v>
      </c>
      <c r="H199" s="678"/>
      <c r="I199" s="1924"/>
      <c r="J199" s="678">
        <v>44930</v>
      </c>
      <c r="K199" s="1020" t="s">
        <v>3873</v>
      </c>
      <c r="L199" s="166"/>
      <c r="M199" s="904"/>
    </row>
    <row r="200" spans="1:14" s="173" customFormat="1" ht="15">
      <c r="A200" s="1302">
        <v>44897</v>
      </c>
      <c r="B200" s="1294" t="s">
        <v>522</v>
      </c>
      <c r="C200" s="1294" t="s">
        <v>3679</v>
      </c>
      <c r="D200" s="1297" t="s">
        <v>3632</v>
      </c>
      <c r="E200" s="1301">
        <v>1176.0999999999999</v>
      </c>
      <c r="F200" s="649">
        <v>0</v>
      </c>
      <c r="G200" s="611">
        <v>1176.0999999999999</v>
      </c>
      <c r="H200" s="1302">
        <v>44898</v>
      </c>
      <c r="I200" s="2143">
        <v>14390.66</v>
      </c>
      <c r="J200" s="2057">
        <v>45027</v>
      </c>
      <c r="K200" s="1935" t="s">
        <v>4758</v>
      </c>
      <c r="L200" s="166"/>
      <c r="M200" s="190"/>
    </row>
    <row r="201" spans="1:14" s="173" customFormat="1" ht="15">
      <c r="A201" s="1302">
        <v>44908</v>
      </c>
      <c r="B201" s="1294" t="s">
        <v>522</v>
      </c>
      <c r="C201" s="1294" t="s">
        <v>3679</v>
      </c>
      <c r="D201" s="1297" t="s">
        <v>3717</v>
      </c>
      <c r="E201" s="1301">
        <v>12368.07</v>
      </c>
      <c r="F201" s="649">
        <v>0</v>
      </c>
      <c r="G201" s="611">
        <v>12368.07</v>
      </c>
      <c r="H201" s="1302">
        <v>44909</v>
      </c>
      <c r="I201" s="2145"/>
      <c r="J201" s="2058"/>
      <c r="K201" s="1950"/>
      <c r="L201" s="166"/>
      <c r="M201" s="190"/>
    </row>
    <row r="202" spans="1:14" s="173" customFormat="1" ht="15">
      <c r="A202" s="1302">
        <v>44917</v>
      </c>
      <c r="B202" s="1294" t="s">
        <v>522</v>
      </c>
      <c r="C202" s="1294" t="s">
        <v>3679</v>
      </c>
      <c r="D202" s="1297" t="s">
        <v>3803</v>
      </c>
      <c r="E202" s="1301">
        <v>509.86</v>
      </c>
      <c r="F202" s="649">
        <v>0</v>
      </c>
      <c r="G202" s="611">
        <v>509.86</v>
      </c>
      <c r="H202" s="1302">
        <v>45007</v>
      </c>
      <c r="I202" s="2145"/>
      <c r="J202" s="2058"/>
      <c r="K202" s="1950"/>
      <c r="L202" s="166"/>
      <c r="M202" s="190"/>
    </row>
    <row r="203" spans="1:14" s="173" customFormat="1" ht="15">
      <c r="A203" s="1302">
        <v>44925</v>
      </c>
      <c r="B203" s="1294" t="s">
        <v>522</v>
      </c>
      <c r="C203" s="1294" t="s">
        <v>3679</v>
      </c>
      <c r="D203" s="1297" t="s">
        <v>3846</v>
      </c>
      <c r="E203" s="1301">
        <v>336.63</v>
      </c>
      <c r="F203" s="649">
        <v>0</v>
      </c>
      <c r="G203" s="611">
        <v>336.63</v>
      </c>
      <c r="H203" s="1302">
        <v>44926</v>
      </c>
      <c r="I203" s="2144"/>
      <c r="J203" s="2059"/>
      <c r="K203" s="1947"/>
      <c r="L203" s="166"/>
      <c r="M203" s="190"/>
    </row>
    <row r="204" spans="1:14" s="369" customFormat="1" ht="15">
      <c r="A204" s="1383">
        <v>44931</v>
      </c>
      <c r="B204" s="1377" t="s">
        <v>2644</v>
      </c>
      <c r="C204" s="1377" t="s">
        <v>3679</v>
      </c>
      <c r="D204" s="1380" t="s">
        <v>3869</v>
      </c>
      <c r="E204" s="1382">
        <v>4896.1000000000004</v>
      </c>
      <c r="F204" s="649">
        <v>0</v>
      </c>
      <c r="G204" s="611">
        <v>4896.1000000000004</v>
      </c>
      <c r="H204" s="1383">
        <v>45021</v>
      </c>
      <c r="I204" s="2143">
        <v>13534.53</v>
      </c>
      <c r="J204" s="2057">
        <v>45057</v>
      </c>
      <c r="K204" s="1935" t="s">
        <v>4999</v>
      </c>
      <c r="L204" s="166"/>
      <c r="M204" s="904"/>
    </row>
    <row r="205" spans="1:14" s="369" customFormat="1" ht="15">
      <c r="A205" s="1383">
        <v>44931</v>
      </c>
      <c r="B205" s="1377" t="s">
        <v>2644</v>
      </c>
      <c r="C205" s="1377" t="s">
        <v>3679</v>
      </c>
      <c r="D205" s="1380" t="s">
        <v>3870</v>
      </c>
      <c r="E205" s="1382">
        <v>288.60000000000002</v>
      </c>
      <c r="F205" s="649">
        <v>0</v>
      </c>
      <c r="G205" s="611">
        <v>288.60000000000002</v>
      </c>
      <c r="H205" s="1383">
        <v>45021</v>
      </c>
      <c r="I205" s="2145"/>
      <c r="J205" s="2058"/>
      <c r="K205" s="1950"/>
      <c r="L205" s="166"/>
      <c r="M205" s="904"/>
    </row>
    <row r="206" spans="1:14" s="369" customFormat="1" ht="15">
      <c r="A206" s="1383">
        <v>44944</v>
      </c>
      <c r="B206" s="1377" t="s">
        <v>2644</v>
      </c>
      <c r="C206" s="1377" t="s">
        <v>3679</v>
      </c>
      <c r="D206" s="1380" t="s">
        <v>3994</v>
      </c>
      <c r="E206" s="1382">
        <v>3734.11</v>
      </c>
      <c r="F206" s="649">
        <v>0</v>
      </c>
      <c r="G206" s="611">
        <v>3734.11</v>
      </c>
      <c r="H206" s="1383">
        <v>45034</v>
      </c>
      <c r="I206" s="2145"/>
      <c r="J206" s="2058"/>
      <c r="K206" s="1950"/>
      <c r="L206" s="166"/>
      <c r="M206" s="904"/>
    </row>
    <row r="207" spans="1:14" s="369" customFormat="1" ht="15">
      <c r="A207" s="1383">
        <v>44944</v>
      </c>
      <c r="B207" s="1377" t="s">
        <v>2644</v>
      </c>
      <c r="C207" s="1377" t="s">
        <v>3679</v>
      </c>
      <c r="D207" s="1380" t="s">
        <v>3995</v>
      </c>
      <c r="E207" s="1382">
        <v>4615.72</v>
      </c>
      <c r="F207" s="649">
        <v>0</v>
      </c>
      <c r="G207" s="611">
        <v>4615.72</v>
      </c>
      <c r="H207" s="1383">
        <v>45034</v>
      </c>
      <c r="I207" s="2144"/>
      <c r="J207" s="2059"/>
      <c r="K207" s="1947"/>
      <c r="L207" s="166"/>
      <c r="M207" s="904"/>
    </row>
    <row r="208" spans="1:14" s="173" customFormat="1" ht="15">
      <c r="A208" s="2057">
        <v>44966</v>
      </c>
      <c r="B208" s="1903" t="s">
        <v>2644</v>
      </c>
      <c r="C208" s="1903" t="s">
        <v>3679</v>
      </c>
      <c r="D208" s="1909" t="s">
        <v>5576</v>
      </c>
      <c r="E208" s="1923">
        <v>6656.86</v>
      </c>
      <c r="F208" s="1927">
        <v>0</v>
      </c>
      <c r="G208" s="611">
        <v>6552.2</v>
      </c>
      <c r="H208" s="1519">
        <v>45056</v>
      </c>
      <c r="I208" s="611">
        <v>6552.2</v>
      </c>
      <c r="J208" s="1503">
        <v>45107</v>
      </c>
      <c r="K208" s="1496" t="s">
        <v>5521</v>
      </c>
      <c r="L208" s="166"/>
      <c r="M208" s="190"/>
    </row>
    <row r="209" spans="1:13" s="173" customFormat="1" ht="15">
      <c r="A209" s="2059"/>
      <c r="B209" s="1905"/>
      <c r="C209" s="1905"/>
      <c r="D209" s="1911"/>
      <c r="E209" s="1924"/>
      <c r="F209" s="1928"/>
      <c r="G209" s="611">
        <f>6656.86-6552.2</f>
        <v>104.65999999999985</v>
      </c>
      <c r="H209" s="1519">
        <v>45056</v>
      </c>
      <c r="I209" s="1933">
        <v>0</v>
      </c>
      <c r="J209" s="2057">
        <v>45114</v>
      </c>
      <c r="K209" s="1935" t="s">
        <v>5575</v>
      </c>
      <c r="L209" s="166"/>
      <c r="M209" s="190"/>
    </row>
    <row r="210" spans="1:13" s="173" customFormat="1" ht="15">
      <c r="A210" s="1519">
        <v>45114</v>
      </c>
      <c r="B210" s="1519" t="s">
        <v>4121</v>
      </c>
      <c r="C210" s="1519" t="s">
        <v>3679</v>
      </c>
      <c r="D210" s="1517" t="s">
        <v>5573</v>
      </c>
      <c r="E210" s="1518">
        <v>-104.66</v>
      </c>
      <c r="F210" s="649">
        <v>0</v>
      </c>
      <c r="G210" s="611">
        <v>-104.66</v>
      </c>
      <c r="H210" s="1519"/>
      <c r="I210" s="1934"/>
      <c r="J210" s="2059"/>
      <c r="K210" s="1947"/>
      <c r="L210" s="166"/>
      <c r="M210" s="190"/>
    </row>
    <row r="211" spans="1:13" s="369" customFormat="1" ht="15">
      <c r="A211" s="1706">
        <v>45013</v>
      </c>
      <c r="B211" s="1706" t="s">
        <v>2644</v>
      </c>
      <c r="C211" s="1706" t="s">
        <v>3679</v>
      </c>
      <c r="D211" s="1699" t="s">
        <v>4654</v>
      </c>
      <c r="E211" s="1703">
        <v>-82.01</v>
      </c>
      <c r="F211" s="649">
        <v>0</v>
      </c>
      <c r="G211" s="611">
        <v>-82.01</v>
      </c>
      <c r="H211" s="1706"/>
      <c r="I211" s="1933">
        <v>0</v>
      </c>
      <c r="J211" s="2057">
        <v>45184</v>
      </c>
      <c r="K211" s="1935" t="s">
        <v>6069</v>
      </c>
      <c r="L211" s="166"/>
      <c r="M211" s="904"/>
    </row>
    <row r="212" spans="1:13" s="369" customFormat="1" ht="15">
      <c r="A212" s="1706">
        <v>45184</v>
      </c>
      <c r="B212" s="1706" t="s">
        <v>4121</v>
      </c>
      <c r="C212" s="1706" t="s">
        <v>3679</v>
      </c>
      <c r="D212" s="1699" t="s">
        <v>6058</v>
      </c>
      <c r="E212" s="1703">
        <v>82.01</v>
      </c>
      <c r="F212" s="649">
        <v>0</v>
      </c>
      <c r="G212" s="611">
        <v>82.01</v>
      </c>
      <c r="H212" s="1706">
        <v>45185.000497685185</v>
      </c>
      <c r="I212" s="1934"/>
      <c r="J212" s="2059"/>
      <c r="K212" s="1947"/>
      <c r="L212" s="166" t="s">
        <v>6060</v>
      </c>
      <c r="M212" s="904"/>
    </row>
    <row r="213" spans="1:13" s="173" customFormat="1" ht="15">
      <c r="A213" s="1706">
        <v>44994</v>
      </c>
      <c r="B213" s="1706" t="s">
        <v>2644</v>
      </c>
      <c r="C213" s="1706" t="s">
        <v>3679</v>
      </c>
      <c r="D213" s="1699" t="s">
        <v>4474</v>
      </c>
      <c r="E213" s="1703">
        <v>1491.2</v>
      </c>
      <c r="F213" s="649">
        <v>0</v>
      </c>
      <c r="G213" s="611">
        <v>1491.2</v>
      </c>
      <c r="H213" s="1706">
        <v>44994</v>
      </c>
      <c r="I213" s="1951">
        <v>12021.1</v>
      </c>
      <c r="J213" s="2057">
        <v>45184</v>
      </c>
      <c r="K213" s="1935" t="s">
        <v>6502</v>
      </c>
      <c r="L213" s="166"/>
      <c r="M213" s="190"/>
    </row>
    <row r="214" spans="1:13" s="173" customFormat="1" ht="15">
      <c r="A214" s="1706">
        <v>44998</v>
      </c>
      <c r="B214" s="1706" t="s">
        <v>2644</v>
      </c>
      <c r="C214" s="1706" t="s">
        <v>3679</v>
      </c>
      <c r="D214" s="1699" t="s">
        <v>4518</v>
      </c>
      <c r="E214" s="1703">
        <v>268.44</v>
      </c>
      <c r="F214" s="649">
        <v>0</v>
      </c>
      <c r="G214" s="611">
        <v>268.44</v>
      </c>
      <c r="H214" s="1706">
        <v>45088</v>
      </c>
      <c r="I214" s="1952"/>
      <c r="J214" s="2058"/>
      <c r="K214" s="1950"/>
      <c r="L214" s="166"/>
      <c r="M214" s="190"/>
    </row>
    <row r="215" spans="1:13" s="173" customFormat="1" ht="15">
      <c r="A215" s="1706">
        <v>44998</v>
      </c>
      <c r="B215" s="1706" t="s">
        <v>2644</v>
      </c>
      <c r="C215" s="1706" t="s">
        <v>3679</v>
      </c>
      <c r="D215" s="1699" t="s">
        <v>4519</v>
      </c>
      <c r="E215" s="1703">
        <v>1345</v>
      </c>
      <c r="F215" s="649">
        <v>0</v>
      </c>
      <c r="G215" s="611">
        <v>1345</v>
      </c>
      <c r="H215" s="1706">
        <v>45088</v>
      </c>
      <c r="I215" s="1952"/>
      <c r="J215" s="2058"/>
      <c r="K215" s="1950"/>
      <c r="L215" s="166"/>
      <c r="M215" s="190"/>
    </row>
    <row r="216" spans="1:13" s="173" customFormat="1" ht="15">
      <c r="A216" s="1706">
        <v>44998</v>
      </c>
      <c r="B216" s="1706" t="s">
        <v>2644</v>
      </c>
      <c r="C216" s="1706" t="s">
        <v>3679</v>
      </c>
      <c r="D216" s="1699" t="s">
        <v>4520</v>
      </c>
      <c r="E216" s="1703">
        <v>1299.04</v>
      </c>
      <c r="F216" s="649">
        <v>0</v>
      </c>
      <c r="G216" s="611">
        <v>1299.04</v>
      </c>
      <c r="H216" s="1706">
        <v>45088</v>
      </c>
      <c r="I216" s="1952"/>
      <c r="J216" s="2058"/>
      <c r="K216" s="1950"/>
      <c r="L216" s="166"/>
      <c r="M216" s="190"/>
    </row>
    <row r="217" spans="1:13" s="173" customFormat="1" ht="15">
      <c r="A217" s="1706">
        <v>45007</v>
      </c>
      <c r="B217" s="1706" t="s">
        <v>2644</v>
      </c>
      <c r="C217" s="1706" t="s">
        <v>3679</v>
      </c>
      <c r="D217" s="1699" t="s">
        <v>4576</v>
      </c>
      <c r="E217" s="1703">
        <v>7423.18</v>
      </c>
      <c r="F217" s="649">
        <v>0</v>
      </c>
      <c r="G217" s="611">
        <v>7423.18</v>
      </c>
      <c r="H217" s="1706">
        <v>45097</v>
      </c>
      <c r="I217" s="1952"/>
      <c r="J217" s="2058"/>
      <c r="K217" s="1950"/>
      <c r="L217" s="166"/>
      <c r="M217" s="190"/>
    </row>
    <row r="218" spans="1:13" s="173" customFormat="1" ht="15">
      <c r="A218" s="1706">
        <v>45007</v>
      </c>
      <c r="B218" s="1706" t="s">
        <v>2644</v>
      </c>
      <c r="C218" s="1706" t="s">
        <v>3679</v>
      </c>
      <c r="D218" s="1699" t="s">
        <v>4577</v>
      </c>
      <c r="E218" s="1703">
        <v>334.8</v>
      </c>
      <c r="F218" s="649">
        <v>0</v>
      </c>
      <c r="G218" s="611">
        <v>334.8</v>
      </c>
      <c r="H218" s="1706">
        <v>45097</v>
      </c>
      <c r="I218" s="1952"/>
      <c r="J218" s="2058"/>
      <c r="K218" s="1950"/>
      <c r="L218" s="166"/>
      <c r="M218" s="190"/>
    </row>
    <row r="219" spans="1:13" s="173" customFormat="1" ht="15">
      <c r="A219" s="1706">
        <v>45013</v>
      </c>
      <c r="B219" s="1706" t="s">
        <v>2644</v>
      </c>
      <c r="C219" s="1706" t="s">
        <v>3679</v>
      </c>
      <c r="D219" s="1699" t="s">
        <v>4655</v>
      </c>
      <c r="E219" s="1703">
        <v>-22.89</v>
      </c>
      <c r="F219" s="649">
        <v>0</v>
      </c>
      <c r="G219" s="611">
        <v>-22.89</v>
      </c>
      <c r="H219" s="1706"/>
      <c r="I219" s="1952"/>
      <c r="J219" s="2058"/>
      <c r="K219" s="1950"/>
      <c r="L219" s="166"/>
      <c r="M219" s="190"/>
    </row>
    <row r="220" spans="1:13" s="173" customFormat="1" ht="15">
      <c r="A220" s="1706">
        <v>45013</v>
      </c>
      <c r="B220" s="1706" t="s">
        <v>2644</v>
      </c>
      <c r="C220" s="1706" t="s">
        <v>3679</v>
      </c>
      <c r="D220" s="1699" t="s">
        <v>4656</v>
      </c>
      <c r="E220" s="1703">
        <v>-140.31</v>
      </c>
      <c r="F220" s="649">
        <v>0</v>
      </c>
      <c r="G220" s="611">
        <v>-140.32</v>
      </c>
      <c r="H220" s="1706"/>
      <c r="I220" s="1952"/>
      <c r="J220" s="2058"/>
      <c r="K220" s="1950"/>
      <c r="L220" s="166"/>
      <c r="M220" s="190"/>
    </row>
    <row r="221" spans="1:13" s="173" customFormat="1" ht="15">
      <c r="A221" s="1706">
        <v>45114</v>
      </c>
      <c r="B221" s="1706" t="s">
        <v>4121</v>
      </c>
      <c r="C221" s="1706" t="s">
        <v>3679</v>
      </c>
      <c r="D221" s="1699" t="s">
        <v>5574</v>
      </c>
      <c r="E221" s="1703">
        <v>104.66</v>
      </c>
      <c r="F221" s="649">
        <v>0</v>
      </c>
      <c r="G221" s="611">
        <v>104.66</v>
      </c>
      <c r="H221" s="1706"/>
      <c r="I221" s="1952"/>
      <c r="J221" s="2058"/>
      <c r="K221" s="1950"/>
      <c r="L221" s="166"/>
      <c r="M221" s="190"/>
    </row>
    <row r="222" spans="1:13" s="173" customFormat="1" ht="15">
      <c r="A222" s="1706">
        <v>45184</v>
      </c>
      <c r="B222" s="1706" t="s">
        <v>4121</v>
      </c>
      <c r="C222" s="1706" t="s">
        <v>3679</v>
      </c>
      <c r="D222" s="1699" t="s">
        <v>6059</v>
      </c>
      <c r="E222" s="1703">
        <v>-82.01</v>
      </c>
      <c r="F222" s="649">
        <v>0</v>
      </c>
      <c r="G222" s="611">
        <v>-82.01</v>
      </c>
      <c r="H222" s="1706">
        <v>45185.000497685185</v>
      </c>
      <c r="I222" s="1953"/>
      <c r="J222" s="2059"/>
      <c r="K222" s="1947"/>
      <c r="L222" s="166" t="s">
        <v>6060</v>
      </c>
      <c r="M222" s="190"/>
    </row>
    <row r="223" spans="1:13" s="173" customFormat="1" ht="15">
      <c r="A223" s="1825">
        <v>45021</v>
      </c>
      <c r="B223" s="1825" t="s">
        <v>2644</v>
      </c>
      <c r="C223" s="1825" t="s">
        <v>3679</v>
      </c>
      <c r="D223" s="1821" t="s">
        <v>4690</v>
      </c>
      <c r="E223" s="1823">
        <v>4948.88</v>
      </c>
      <c r="F223" s="649">
        <v>0</v>
      </c>
      <c r="G223" s="611">
        <v>4948.88</v>
      </c>
      <c r="H223" s="1825">
        <v>45111</v>
      </c>
      <c r="I223" s="1951">
        <v>12710.55</v>
      </c>
      <c r="J223" s="2057">
        <v>45231</v>
      </c>
      <c r="K223" s="1935" t="s">
        <v>6503</v>
      </c>
      <c r="L223" s="166"/>
      <c r="M223" s="190"/>
    </row>
    <row r="224" spans="1:13" s="173" customFormat="1" ht="15">
      <c r="A224" s="1825">
        <v>45028.000497685185</v>
      </c>
      <c r="B224" s="1825" t="s">
        <v>2644</v>
      </c>
      <c r="C224" s="1825" t="s">
        <v>3679</v>
      </c>
      <c r="D224" s="1821" t="s">
        <v>4748</v>
      </c>
      <c r="E224" s="1823">
        <v>-31.78</v>
      </c>
      <c r="F224" s="649">
        <v>0</v>
      </c>
      <c r="G224" s="611">
        <v>-31.78</v>
      </c>
      <c r="H224" s="1825"/>
      <c r="I224" s="1952"/>
      <c r="J224" s="2058"/>
      <c r="K224" s="1950"/>
      <c r="L224" s="166"/>
      <c r="M224" s="190"/>
    </row>
    <row r="225" spans="1:13" s="173" customFormat="1" ht="15">
      <c r="A225" s="1825">
        <v>45028.000497685185</v>
      </c>
      <c r="B225" s="1825" t="s">
        <v>2644</v>
      </c>
      <c r="C225" s="1825" t="s">
        <v>3679</v>
      </c>
      <c r="D225" s="1821" t="s">
        <v>4749</v>
      </c>
      <c r="E225" s="1823">
        <v>1765.48</v>
      </c>
      <c r="F225" s="649">
        <v>0</v>
      </c>
      <c r="G225" s="611">
        <v>1765.48</v>
      </c>
      <c r="H225" s="1825">
        <v>45118</v>
      </c>
      <c r="I225" s="1952"/>
      <c r="J225" s="2058"/>
      <c r="K225" s="1950"/>
      <c r="L225" s="166"/>
      <c r="M225" s="190"/>
    </row>
    <row r="226" spans="1:13" s="173" customFormat="1" ht="15">
      <c r="A226" s="1825">
        <v>45028.000497685185</v>
      </c>
      <c r="B226" s="1825" t="s">
        <v>2644</v>
      </c>
      <c r="C226" s="1825" t="s">
        <v>3679</v>
      </c>
      <c r="D226" s="1821" t="s">
        <v>4750</v>
      </c>
      <c r="E226" s="1823">
        <v>-182.91</v>
      </c>
      <c r="F226" s="649">
        <v>0</v>
      </c>
      <c r="G226" s="611">
        <v>-182.91</v>
      </c>
      <c r="H226" s="1825"/>
      <c r="I226" s="1952"/>
      <c r="J226" s="2058"/>
      <c r="K226" s="1950"/>
      <c r="L226" s="166"/>
      <c r="M226" s="190"/>
    </row>
    <row r="227" spans="1:13" s="173" customFormat="1" ht="15">
      <c r="A227" s="1825">
        <v>45028.000497685185</v>
      </c>
      <c r="B227" s="1825" t="s">
        <v>2644</v>
      </c>
      <c r="C227" s="1825" t="s">
        <v>3679</v>
      </c>
      <c r="D227" s="1821" t="s">
        <v>4751</v>
      </c>
      <c r="E227" s="1823">
        <v>-23.98</v>
      </c>
      <c r="F227" s="649">
        <v>0</v>
      </c>
      <c r="G227" s="611">
        <v>-23.98</v>
      </c>
      <c r="H227" s="1825"/>
      <c r="I227" s="1952"/>
      <c r="J227" s="2058"/>
      <c r="K227" s="1950"/>
      <c r="L227" s="166"/>
      <c r="M227" s="190"/>
    </row>
    <row r="228" spans="1:13" s="173" customFormat="1" ht="15">
      <c r="A228" s="1825">
        <v>45044</v>
      </c>
      <c r="B228" s="1825" t="s">
        <v>2644</v>
      </c>
      <c r="C228" s="1825" t="s">
        <v>3679</v>
      </c>
      <c r="D228" s="1821" t="s">
        <v>4893</v>
      </c>
      <c r="E228" s="1823">
        <v>490.07</v>
      </c>
      <c r="F228" s="649">
        <v>0</v>
      </c>
      <c r="G228" s="611">
        <v>490.07</v>
      </c>
      <c r="H228" s="1825">
        <v>45134</v>
      </c>
      <c r="I228" s="1952"/>
      <c r="J228" s="2058"/>
      <c r="K228" s="1950"/>
      <c r="L228" s="166"/>
      <c r="M228" s="190"/>
    </row>
    <row r="229" spans="1:13" s="173" customFormat="1" ht="15">
      <c r="A229" s="1825">
        <v>45056</v>
      </c>
      <c r="B229" s="1825" t="s">
        <v>4121</v>
      </c>
      <c r="C229" s="1825" t="s">
        <v>3679</v>
      </c>
      <c r="D229" s="1821" t="s">
        <v>4995</v>
      </c>
      <c r="E229" s="1823">
        <v>-58.8</v>
      </c>
      <c r="F229" s="649">
        <v>0</v>
      </c>
      <c r="G229" s="611">
        <v>-58.8</v>
      </c>
      <c r="H229" s="1825"/>
      <c r="I229" s="1952"/>
      <c r="J229" s="2058"/>
      <c r="K229" s="1950"/>
      <c r="L229" s="166"/>
      <c r="M229" s="190"/>
    </row>
    <row r="230" spans="1:13" s="173" customFormat="1" ht="15">
      <c r="A230" s="1825">
        <v>45061</v>
      </c>
      <c r="B230" s="1825" t="s">
        <v>4121</v>
      </c>
      <c r="C230" s="1825" t="s">
        <v>3679</v>
      </c>
      <c r="D230" s="1821" t="s">
        <v>5123</v>
      </c>
      <c r="E230" s="1823">
        <v>5506.43</v>
      </c>
      <c r="F230" s="649">
        <v>0</v>
      </c>
      <c r="G230" s="611">
        <v>5506.43</v>
      </c>
      <c r="H230" s="1825">
        <v>45151</v>
      </c>
      <c r="I230" s="1952"/>
      <c r="J230" s="2058"/>
      <c r="K230" s="1950"/>
      <c r="L230" s="166"/>
      <c r="M230" s="190"/>
    </row>
    <row r="231" spans="1:13" s="173" customFormat="1" ht="15">
      <c r="A231" s="1825">
        <v>45082</v>
      </c>
      <c r="B231" s="1825" t="s">
        <v>4121</v>
      </c>
      <c r="C231" s="1825" t="s">
        <v>3679</v>
      </c>
      <c r="D231" s="1821" t="s">
        <v>5344</v>
      </c>
      <c r="E231" s="1823">
        <v>3193.94</v>
      </c>
      <c r="F231" s="649">
        <v>0</v>
      </c>
      <c r="G231" s="611">
        <v>3193.94</v>
      </c>
      <c r="H231" s="1825">
        <v>45172</v>
      </c>
      <c r="I231" s="1952"/>
      <c r="J231" s="2058"/>
      <c r="K231" s="1950"/>
      <c r="L231" s="166"/>
      <c r="M231" s="190"/>
    </row>
    <row r="232" spans="1:13" s="173" customFormat="1" ht="15">
      <c r="A232" s="1825">
        <v>45099</v>
      </c>
      <c r="B232" s="1825" t="s">
        <v>4121</v>
      </c>
      <c r="C232" s="1825" t="s">
        <v>3679</v>
      </c>
      <c r="D232" s="1821" t="s">
        <v>5447</v>
      </c>
      <c r="E232" s="1823">
        <v>-449.75</v>
      </c>
      <c r="F232" s="649">
        <v>0</v>
      </c>
      <c r="G232" s="611">
        <v>-449.75</v>
      </c>
      <c r="H232" s="1825"/>
      <c r="I232" s="1952"/>
      <c r="J232" s="2058"/>
      <c r="K232" s="1950"/>
      <c r="L232" s="166"/>
      <c r="M232" s="190"/>
    </row>
    <row r="233" spans="1:13" s="173" customFormat="1" ht="15">
      <c r="A233" s="1825">
        <v>45099</v>
      </c>
      <c r="B233" s="1825" t="s">
        <v>4121</v>
      </c>
      <c r="C233" s="1825" t="s">
        <v>3679</v>
      </c>
      <c r="D233" s="1821" t="s">
        <v>5448</v>
      </c>
      <c r="E233" s="1823">
        <v>-896.25</v>
      </c>
      <c r="F233" s="649">
        <v>0</v>
      </c>
      <c r="G233" s="611">
        <v>-896.25</v>
      </c>
      <c r="H233" s="1825"/>
      <c r="I233" s="1952"/>
      <c r="J233" s="2058"/>
      <c r="K233" s="1950"/>
      <c r="L233" s="166"/>
      <c r="M233" s="190"/>
    </row>
    <row r="234" spans="1:13" s="173" customFormat="1" ht="15">
      <c r="A234" s="1825">
        <v>45099</v>
      </c>
      <c r="B234" s="1825" t="s">
        <v>4121</v>
      </c>
      <c r="C234" s="1825" t="s">
        <v>3679</v>
      </c>
      <c r="D234" s="1821" t="s">
        <v>5449</v>
      </c>
      <c r="E234" s="1823">
        <v>-1550.78</v>
      </c>
      <c r="F234" s="649">
        <v>0</v>
      </c>
      <c r="G234" s="611">
        <v>-1550.78</v>
      </c>
      <c r="H234" s="1825"/>
      <c r="I234" s="1953"/>
      <c r="J234" s="2059"/>
      <c r="K234" s="1947"/>
      <c r="L234" s="166"/>
      <c r="M234" s="190"/>
    </row>
    <row r="235" spans="1:13" s="173" customFormat="1" ht="15">
      <c r="A235" s="679">
        <v>45120</v>
      </c>
      <c r="B235" s="679" t="s">
        <v>4121</v>
      </c>
      <c r="C235" s="679" t="s">
        <v>3679</v>
      </c>
      <c r="D235" s="624" t="s">
        <v>5599</v>
      </c>
      <c r="E235" s="603">
        <v>3233.77</v>
      </c>
      <c r="F235" s="644">
        <v>0</v>
      </c>
      <c r="G235" s="605">
        <v>3233.77</v>
      </c>
      <c r="H235" s="679">
        <v>45210</v>
      </c>
      <c r="I235" s="605"/>
      <c r="J235" s="1537"/>
      <c r="K235" s="1528"/>
      <c r="L235" s="166"/>
      <c r="M235" s="190"/>
    </row>
    <row r="236" spans="1:13" s="173" customFormat="1" ht="15">
      <c r="A236" s="679">
        <v>45188</v>
      </c>
      <c r="B236" s="679" t="s">
        <v>4121</v>
      </c>
      <c r="C236" s="679" t="s">
        <v>3679</v>
      </c>
      <c r="D236" s="624" t="s">
        <v>6121</v>
      </c>
      <c r="E236" s="603">
        <v>15619.31</v>
      </c>
      <c r="F236" s="644">
        <v>0</v>
      </c>
      <c r="G236" s="605">
        <v>15619.31</v>
      </c>
      <c r="H236" s="679">
        <v>45277</v>
      </c>
      <c r="I236" s="605"/>
      <c r="J236" s="1537"/>
      <c r="K236" s="1528"/>
      <c r="L236" s="166"/>
      <c r="M236" s="190"/>
    </row>
    <row r="237" spans="1:13" s="173" customFormat="1" ht="15">
      <c r="A237" s="679">
        <v>45203</v>
      </c>
      <c r="B237" s="679" t="s">
        <v>4121</v>
      </c>
      <c r="C237" s="679" t="s">
        <v>3679</v>
      </c>
      <c r="D237" s="624" t="s">
        <v>6269</v>
      </c>
      <c r="E237" s="603">
        <v>4073.04</v>
      </c>
      <c r="F237" s="644">
        <v>0</v>
      </c>
      <c r="G237" s="605">
        <v>4073.04</v>
      </c>
      <c r="H237" s="679">
        <v>45292</v>
      </c>
      <c r="I237" s="605"/>
      <c r="J237" s="1537"/>
      <c r="K237" s="1528"/>
      <c r="L237" s="166"/>
      <c r="M237" s="190"/>
    </row>
    <row r="238" spans="1:13" s="173" customFormat="1" ht="15">
      <c r="A238" s="679">
        <v>45238</v>
      </c>
      <c r="B238" s="679" t="s">
        <v>4121</v>
      </c>
      <c r="C238" s="679" t="s">
        <v>3679</v>
      </c>
      <c r="D238" s="624" t="s">
        <v>6536</v>
      </c>
      <c r="E238" s="603">
        <v>4366.5</v>
      </c>
      <c r="F238" s="644">
        <v>0</v>
      </c>
      <c r="G238" s="605">
        <v>4366.5</v>
      </c>
      <c r="H238" s="679">
        <v>45328</v>
      </c>
      <c r="I238" s="605"/>
      <c r="J238" s="1537"/>
      <c r="K238" s="1528"/>
      <c r="L238" s="166"/>
      <c r="M238" s="190"/>
    </row>
    <row r="239" spans="1:13" s="173" customFormat="1" ht="15">
      <c r="A239" s="679"/>
      <c r="B239" s="679"/>
      <c r="C239" s="679"/>
      <c r="D239" s="624"/>
      <c r="E239" s="603"/>
      <c r="F239" s="644"/>
      <c r="G239" s="605"/>
      <c r="H239" s="679"/>
      <c r="I239" s="605"/>
      <c r="J239" s="1844"/>
      <c r="K239" s="1836"/>
      <c r="L239" s="166"/>
      <c r="M239" s="190"/>
    </row>
    <row r="240" spans="1:13" s="173" customFormat="1" ht="15">
      <c r="A240" s="679"/>
      <c r="B240" s="679"/>
      <c r="C240" s="679"/>
      <c r="D240" s="624"/>
      <c r="E240" s="603"/>
      <c r="F240" s="644"/>
      <c r="G240" s="605"/>
      <c r="H240" s="679"/>
      <c r="I240" s="605"/>
      <c r="J240" s="1844"/>
      <c r="K240" s="1836"/>
      <c r="L240" s="166"/>
      <c r="M240" s="190"/>
    </row>
    <row r="241" spans="1:13" s="173" customFormat="1" ht="15">
      <c r="A241" s="679"/>
      <c r="B241" s="679"/>
      <c r="C241" s="679"/>
      <c r="D241" s="624"/>
      <c r="E241" s="603"/>
      <c r="F241" s="644"/>
      <c r="G241" s="605"/>
      <c r="H241" s="679"/>
      <c r="I241" s="605"/>
      <c r="J241" s="1282"/>
      <c r="K241" s="1272"/>
      <c r="L241" s="166"/>
      <c r="M241" s="190"/>
    </row>
    <row r="242" spans="1:13" s="173" customFormat="1" ht="15">
      <c r="A242" s="679"/>
      <c r="B242" s="679"/>
      <c r="C242" s="679"/>
      <c r="D242" s="624"/>
      <c r="E242" s="603"/>
      <c r="F242" s="644"/>
      <c r="G242" s="605"/>
      <c r="H242" s="679"/>
      <c r="I242" s="605"/>
      <c r="J242" s="678"/>
      <c r="K242" s="539"/>
      <c r="L242" s="166" t="s">
        <v>1529</v>
      </c>
      <c r="M242" s="190"/>
    </row>
    <row r="243" spans="1:13" s="173" customFormat="1" ht="15">
      <c r="A243" s="647"/>
      <c r="B243" s="1128"/>
      <c r="C243" s="1128"/>
      <c r="D243" s="621"/>
      <c r="E243" s="640"/>
      <c r="F243" s="1144" t="s">
        <v>545</v>
      </c>
      <c r="G243" s="651">
        <f>SUM(G102:G242)-SUM(I102:I242)</f>
        <v>27292.620000000024</v>
      </c>
      <c r="H243" s="639"/>
      <c r="I243" s="639"/>
      <c r="J243" s="664"/>
      <c r="K243" s="365"/>
      <c r="L243" s="226" t="s">
        <v>1529</v>
      </c>
    </row>
    <row r="244" spans="1:13" s="173" customFormat="1">
      <c r="A244" s="139"/>
      <c r="B244" s="139"/>
      <c r="C244" s="139"/>
      <c r="D244" s="135"/>
      <c r="E244" s="520"/>
      <c r="F244" s="519"/>
      <c r="G244" s="175"/>
      <c r="H244" s="175"/>
      <c r="I244" s="333"/>
      <c r="J244" s="139"/>
      <c r="K244" s="139"/>
    </row>
  </sheetData>
  <mergeCells count="214">
    <mergeCell ref="K223:K234"/>
    <mergeCell ref="J223:J234"/>
    <mergeCell ref="I223:I234"/>
    <mergeCell ref="F208:F209"/>
    <mergeCell ref="E208:E209"/>
    <mergeCell ref="D208:D209"/>
    <mergeCell ref="C208:C209"/>
    <mergeCell ref="B208:B209"/>
    <mergeCell ref="A208:A209"/>
    <mergeCell ref="K211:K212"/>
    <mergeCell ref="J211:J212"/>
    <mergeCell ref="I211:I212"/>
    <mergeCell ref="I213:I222"/>
    <mergeCell ref="K213:K222"/>
    <mergeCell ref="J213:J222"/>
    <mergeCell ref="K204:K207"/>
    <mergeCell ref="J204:J207"/>
    <mergeCell ref="I204:I207"/>
    <mergeCell ref="K209:K210"/>
    <mergeCell ref="J209:J210"/>
    <mergeCell ref="I209:I210"/>
    <mergeCell ref="B110:B111"/>
    <mergeCell ref="C110:C111"/>
    <mergeCell ref="B108:B109"/>
    <mergeCell ref="C108:C109"/>
    <mergeCell ref="B135:B136"/>
    <mergeCell ref="C135:C136"/>
    <mergeCell ref="B152:B153"/>
    <mergeCell ref="C152:C153"/>
    <mergeCell ref="B171:B172"/>
    <mergeCell ref="C171:C172"/>
    <mergeCell ref="C142:C144"/>
    <mergeCell ref="B142:B144"/>
    <mergeCell ref="C131:C133"/>
    <mergeCell ref="B131:B133"/>
    <mergeCell ref="C121:C122"/>
    <mergeCell ref="B121:B122"/>
    <mergeCell ref="B116:B117"/>
    <mergeCell ref="C116:C117"/>
    <mergeCell ref="C118:C119"/>
    <mergeCell ref="B118:B119"/>
    <mergeCell ref="D118:D119"/>
    <mergeCell ref="A118:A119"/>
    <mergeCell ref="K117:K118"/>
    <mergeCell ref="J117:J118"/>
    <mergeCell ref="D121:D122"/>
    <mergeCell ref="A121:A122"/>
    <mergeCell ref="K119:K121"/>
    <mergeCell ref="J119:J121"/>
    <mergeCell ref="I119:I121"/>
    <mergeCell ref="I117:I118"/>
    <mergeCell ref="D116:D117"/>
    <mergeCell ref="F116:F117"/>
    <mergeCell ref="E116:E117"/>
    <mergeCell ref="F121:F122"/>
    <mergeCell ref="E121:E122"/>
    <mergeCell ref="I122:I131"/>
    <mergeCell ref="K122:K131"/>
    <mergeCell ref="J122:J131"/>
    <mergeCell ref="F131:F133"/>
    <mergeCell ref="E131:E133"/>
    <mergeCell ref="I83:I84"/>
    <mergeCell ref="K72:K82"/>
    <mergeCell ref="J72:J82"/>
    <mergeCell ref="I72:I82"/>
    <mergeCell ref="K39:K42"/>
    <mergeCell ref="I55:I59"/>
    <mergeCell ref="I69:I71"/>
    <mergeCell ref="K105:K108"/>
    <mergeCell ref="L72:L82"/>
    <mergeCell ref="L83:L84"/>
    <mergeCell ref="K83:K84"/>
    <mergeCell ref="J83:J84"/>
    <mergeCell ref="L85:L90"/>
    <mergeCell ref="K96:K100"/>
    <mergeCell ref="J96:J100"/>
    <mergeCell ref="I96:I100"/>
    <mergeCell ref="L96:L100"/>
    <mergeCell ref="I85:I90"/>
    <mergeCell ref="J85:J90"/>
    <mergeCell ref="K85:K90"/>
    <mergeCell ref="I91:I95"/>
    <mergeCell ref="K91:K95"/>
    <mergeCell ref="J91:J95"/>
    <mergeCell ref="L91:L95"/>
    <mergeCell ref="L69:L71"/>
    <mergeCell ref="I65:I68"/>
    <mergeCell ref="K65:K68"/>
    <mergeCell ref="J55:J59"/>
    <mergeCell ref="J60:J64"/>
    <mergeCell ref="J65:J68"/>
    <mergeCell ref="K69:K71"/>
    <mergeCell ref="J69:J71"/>
    <mergeCell ref="K55:K59"/>
    <mergeCell ref="K60:K64"/>
    <mergeCell ref="I60:I64"/>
    <mergeCell ref="K8:K11"/>
    <mergeCell ref="K12:K14"/>
    <mergeCell ref="I39:I42"/>
    <mergeCell ref="I43:I44"/>
    <mergeCell ref="I45:I54"/>
    <mergeCell ref="K43:K44"/>
    <mergeCell ref="K45:K54"/>
    <mergeCell ref="J8:J11"/>
    <mergeCell ref="J12:J14"/>
    <mergeCell ref="J15:J19"/>
    <mergeCell ref="J20:J29"/>
    <mergeCell ref="J30:J38"/>
    <mergeCell ref="J39:J42"/>
    <mergeCell ref="J43:J44"/>
    <mergeCell ref="J45:J54"/>
    <mergeCell ref="I8:I11"/>
    <mergeCell ref="I12:I14"/>
    <mergeCell ref="I15:I19"/>
    <mergeCell ref="I20:I29"/>
    <mergeCell ref="I30:I38"/>
    <mergeCell ref="K15:K19"/>
    <mergeCell ref="K20:K29"/>
    <mergeCell ref="K30:K38"/>
    <mergeCell ref="F135:F136"/>
    <mergeCell ref="E135:E136"/>
    <mergeCell ref="K102:K103"/>
    <mergeCell ref="K109:K110"/>
    <mergeCell ref="J109:J110"/>
    <mergeCell ref="I109:I110"/>
    <mergeCell ref="A110:A111"/>
    <mergeCell ref="D110:D111"/>
    <mergeCell ref="D108:D109"/>
    <mergeCell ref="A108:A109"/>
    <mergeCell ref="I102:I103"/>
    <mergeCell ref="I105:I108"/>
    <mergeCell ref="J105:J108"/>
    <mergeCell ref="J102:J103"/>
    <mergeCell ref="J111:J115"/>
    <mergeCell ref="I111:I115"/>
    <mergeCell ref="K111:K115"/>
    <mergeCell ref="F108:F109"/>
    <mergeCell ref="E108:E109"/>
    <mergeCell ref="F110:F111"/>
    <mergeCell ref="E110:E111"/>
    <mergeCell ref="A116:A117"/>
    <mergeCell ref="F118:F119"/>
    <mergeCell ref="E118:E119"/>
    <mergeCell ref="D142:D144"/>
    <mergeCell ref="A142:A144"/>
    <mergeCell ref="K154:K155"/>
    <mergeCell ref="J154:J155"/>
    <mergeCell ref="I154:I155"/>
    <mergeCell ref="I133:I135"/>
    <mergeCell ref="K133:K135"/>
    <mergeCell ref="J133:J135"/>
    <mergeCell ref="I136:I142"/>
    <mergeCell ref="K136:K142"/>
    <mergeCell ref="J136:J142"/>
    <mergeCell ref="D152:D153"/>
    <mergeCell ref="A152:A153"/>
    <mergeCell ref="D131:D133"/>
    <mergeCell ref="A131:A133"/>
    <mergeCell ref="D135:D136"/>
    <mergeCell ref="A135:A136"/>
    <mergeCell ref="I145:I147"/>
    <mergeCell ref="K145:K147"/>
    <mergeCell ref="J145:J147"/>
    <mergeCell ref="F152:F153"/>
    <mergeCell ref="E152:E153"/>
    <mergeCell ref="H152:H153"/>
    <mergeCell ref="G152:G153"/>
    <mergeCell ref="K164:K165"/>
    <mergeCell ref="J164:J165"/>
    <mergeCell ref="I164:I165"/>
    <mergeCell ref="F142:F144"/>
    <mergeCell ref="E142:E144"/>
    <mergeCell ref="I179:I190"/>
    <mergeCell ref="K179:K190"/>
    <mergeCell ref="J179:J190"/>
    <mergeCell ref="F171:F172"/>
    <mergeCell ref="E171:E172"/>
    <mergeCell ref="K148:K149"/>
    <mergeCell ref="J148:J149"/>
    <mergeCell ref="I148:I149"/>
    <mergeCell ref="K172:K174"/>
    <mergeCell ref="J172:J174"/>
    <mergeCell ref="I172:I174"/>
    <mergeCell ref="D171:D172"/>
    <mergeCell ref="A171:A172"/>
    <mergeCell ref="I169:I171"/>
    <mergeCell ref="K169:K171"/>
    <mergeCell ref="J169:J171"/>
    <mergeCell ref="K166:K167"/>
    <mergeCell ref="J166:J167"/>
    <mergeCell ref="I166:I167"/>
    <mergeCell ref="L179:L190"/>
    <mergeCell ref="F174:F176"/>
    <mergeCell ref="E174:E176"/>
    <mergeCell ref="D174:D176"/>
    <mergeCell ref="A174:A176"/>
    <mergeCell ref="C174:C176"/>
    <mergeCell ref="B174:B176"/>
    <mergeCell ref="K200:K203"/>
    <mergeCell ref="J200:J203"/>
    <mergeCell ref="I200:I203"/>
    <mergeCell ref="A194:A195"/>
    <mergeCell ref="K191:K193"/>
    <mergeCell ref="J191:J193"/>
    <mergeCell ref="I191:I193"/>
    <mergeCell ref="I198:I199"/>
    <mergeCell ref="F194:F195"/>
    <mergeCell ref="E194:E195"/>
    <mergeCell ref="D194:D195"/>
    <mergeCell ref="C194:C195"/>
    <mergeCell ref="B194:B195"/>
    <mergeCell ref="K195:K197"/>
    <mergeCell ref="J195:J197"/>
    <mergeCell ref="I195:I197"/>
  </mergeCells>
  <phoneticPr fontId="15" type="noConversion"/>
  <conditionalFormatting sqref="D1:D1048576">
    <cfRule type="duplicateValues" dxfId="0" priority="1"/>
  </conditionalFormatting>
  <hyperlinks>
    <hyperlink ref="F243" location="汇总!A1" display="剩余欠款"/>
  </hyperlinks>
  <pageMargins left="0.7" right="0.7" top="0.75" bottom="0.75" header="0.3" footer="0.3"/>
  <pageSetup paperSize="9" orientation="portrait" horizontalDpi="0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M48"/>
  <sheetViews>
    <sheetView zoomScaleSheetLayoutView="100" workbookViewId="0">
      <pane ySplit="1" topLeftCell="A5" activePane="bottomLeft" state="frozen"/>
      <selection activeCell="C33" sqref="C33"/>
      <selection pane="bottomLeft" activeCell="F37" sqref="F37"/>
    </sheetView>
  </sheetViews>
  <sheetFormatPr defaultRowHeight="14.25"/>
  <cols>
    <col min="1" max="1" width="15" style="96" bestFit="1" customWidth="1"/>
    <col min="2" max="2" width="8.875" style="96" bestFit="1" customWidth="1"/>
    <col min="3" max="3" width="33.625" style="96" bestFit="1" customWidth="1"/>
    <col min="4" max="4" width="18.875" style="96" customWidth="1"/>
    <col min="5" max="6" width="12.5" style="96" customWidth="1"/>
    <col min="7" max="8" width="15.125" style="96" customWidth="1"/>
    <col min="9" max="9" width="15" style="96" customWidth="1"/>
    <col min="10" max="11" width="16.5" style="96" customWidth="1"/>
    <col min="12" max="12" width="45" style="310" bestFit="1" customWidth="1"/>
    <col min="13" max="16384" width="9" style="96"/>
  </cols>
  <sheetData>
    <row r="1" spans="1:13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7" t="s">
        <v>542</v>
      </c>
      <c r="M1" s="1142" t="s">
        <v>4102</v>
      </c>
    </row>
    <row r="2" spans="1:13" s="78" customFormat="1">
      <c r="A2" s="350">
        <v>43885</v>
      </c>
      <c r="B2" s="1141"/>
      <c r="C2" s="1141"/>
      <c r="D2" s="3"/>
      <c r="E2" s="3"/>
      <c r="F2" s="3"/>
      <c r="G2" s="172">
        <v>1034.95</v>
      </c>
      <c r="H2" s="3"/>
      <c r="I2" s="2354">
        <v>8658.19</v>
      </c>
      <c r="J2" s="2353" t="s">
        <v>1576</v>
      </c>
      <c r="K2" s="2353" t="s">
        <v>1577</v>
      </c>
      <c r="L2" s="337" t="s">
        <v>1578</v>
      </c>
    </row>
    <row r="3" spans="1:13" s="78" customFormat="1">
      <c r="A3" s="350">
        <v>43882</v>
      </c>
      <c r="B3" s="1141"/>
      <c r="C3" s="1141"/>
      <c r="D3" s="3"/>
      <c r="E3" s="3"/>
      <c r="F3" s="3"/>
      <c r="G3" s="172">
        <v>117.95</v>
      </c>
      <c r="H3" s="3"/>
      <c r="I3" s="2354"/>
      <c r="J3" s="2353"/>
      <c r="K3" s="2353"/>
      <c r="L3" s="337"/>
    </row>
    <row r="4" spans="1:13" s="78" customFormat="1">
      <c r="A4" s="350">
        <v>43899</v>
      </c>
      <c r="B4" s="1141"/>
      <c r="C4" s="1141"/>
      <c r="D4" s="3"/>
      <c r="E4" s="3"/>
      <c r="F4" s="3"/>
      <c r="G4" s="172">
        <v>1252.44</v>
      </c>
      <c r="H4" s="3"/>
      <c r="I4" s="2354"/>
      <c r="J4" s="2353"/>
      <c r="K4" s="2353"/>
      <c r="L4" s="337"/>
    </row>
    <row r="5" spans="1:13" s="78" customFormat="1">
      <c r="A5" s="350">
        <v>43899</v>
      </c>
      <c r="B5" s="1141"/>
      <c r="C5" s="1141"/>
      <c r="D5" s="3"/>
      <c r="E5" s="3"/>
      <c r="F5" s="3"/>
      <c r="G5" s="172">
        <v>388.43</v>
      </c>
      <c r="H5" s="3"/>
      <c r="I5" s="2354"/>
      <c r="J5" s="2353"/>
      <c r="K5" s="2353"/>
      <c r="L5" s="337" t="s">
        <v>400</v>
      </c>
    </row>
    <row r="6" spans="1:13" s="78" customFormat="1">
      <c r="A6" s="350">
        <v>43971</v>
      </c>
      <c r="B6" s="1141"/>
      <c r="C6" s="1141"/>
      <c r="D6" s="3"/>
      <c r="E6" s="3"/>
      <c r="F6" s="558"/>
      <c r="G6" s="172">
        <v>414.01</v>
      </c>
      <c r="H6" s="3"/>
      <c r="I6" s="2354"/>
      <c r="J6" s="2353"/>
      <c r="K6" s="2353"/>
      <c r="L6" s="337"/>
    </row>
    <row r="7" spans="1:13" s="78" customFormat="1" ht="15">
      <c r="A7" s="350">
        <v>43997</v>
      </c>
      <c r="B7" s="1124" t="s">
        <v>522</v>
      </c>
      <c r="C7" s="1124" t="s">
        <v>4600</v>
      </c>
      <c r="D7" s="3" t="s">
        <v>1579</v>
      </c>
      <c r="E7" s="172">
        <v>826</v>
      </c>
      <c r="F7" s="422">
        <v>0</v>
      </c>
      <c r="G7" s="172">
        <v>826</v>
      </c>
      <c r="H7" s="3"/>
      <c r="I7" s="2354"/>
      <c r="J7" s="2353"/>
      <c r="K7" s="2353"/>
      <c r="L7" s="337"/>
    </row>
    <row r="8" spans="1:13" s="78" customFormat="1" ht="15">
      <c r="A8" s="350">
        <v>44006</v>
      </c>
      <c r="B8" s="1124" t="s">
        <v>522</v>
      </c>
      <c r="C8" s="1124" t="s">
        <v>4600</v>
      </c>
      <c r="D8" s="3" t="s">
        <v>1580</v>
      </c>
      <c r="E8" s="172">
        <v>246.4</v>
      </c>
      <c r="F8" s="422">
        <v>0</v>
      </c>
      <c r="G8" s="172">
        <v>246.4</v>
      </c>
      <c r="H8" s="3"/>
      <c r="I8" s="2354"/>
      <c r="J8" s="2353"/>
      <c r="K8" s="2353"/>
      <c r="L8" s="337"/>
    </row>
    <row r="9" spans="1:13" s="78" customFormat="1" ht="15">
      <c r="A9" s="350">
        <v>44014</v>
      </c>
      <c r="B9" s="1124" t="s">
        <v>522</v>
      </c>
      <c r="C9" s="1124" t="s">
        <v>4600</v>
      </c>
      <c r="D9" s="3" t="s">
        <v>1581</v>
      </c>
      <c r="E9" s="172">
        <v>-54.43</v>
      </c>
      <c r="F9" s="422">
        <v>0</v>
      </c>
      <c r="G9" s="172">
        <v>-54.43</v>
      </c>
      <c r="H9" s="3"/>
      <c r="I9" s="2354"/>
      <c r="J9" s="2353"/>
      <c r="K9" s="2353"/>
      <c r="L9" s="337"/>
    </row>
    <row r="10" spans="1:13" s="78" customFormat="1" ht="15">
      <c r="A10" s="350">
        <v>44014</v>
      </c>
      <c r="B10" s="1124" t="s">
        <v>522</v>
      </c>
      <c r="C10" s="1124" t="s">
        <v>4600</v>
      </c>
      <c r="D10" s="3" t="s">
        <v>1582</v>
      </c>
      <c r="E10" s="172">
        <v>-147.69999999999999</v>
      </c>
      <c r="F10" s="422">
        <v>0</v>
      </c>
      <c r="G10" s="172">
        <v>-147.69999999999999</v>
      </c>
      <c r="H10" s="3"/>
      <c r="I10" s="2354"/>
      <c r="J10" s="2353"/>
      <c r="K10" s="2353"/>
      <c r="L10" s="337"/>
    </row>
    <row r="11" spans="1:13" s="78" customFormat="1" ht="15">
      <c r="A11" s="350">
        <v>44015</v>
      </c>
      <c r="B11" s="1124" t="s">
        <v>522</v>
      </c>
      <c r="C11" s="1124" t="s">
        <v>4600</v>
      </c>
      <c r="D11" s="3" t="s">
        <v>1583</v>
      </c>
      <c r="E11" s="172">
        <v>949.9</v>
      </c>
      <c r="F11" s="422">
        <v>0</v>
      </c>
      <c r="G11" s="172">
        <v>949.9</v>
      </c>
      <c r="H11" s="3"/>
      <c r="I11" s="2354"/>
      <c r="J11" s="2353"/>
      <c r="K11" s="2353"/>
      <c r="L11" s="337"/>
    </row>
    <row r="12" spans="1:13" s="78" customFormat="1" ht="15">
      <c r="A12" s="350">
        <v>44020</v>
      </c>
      <c r="B12" s="1124"/>
      <c r="C12" s="1124"/>
      <c r="D12" s="3" t="s">
        <v>1584</v>
      </c>
      <c r="E12" s="172"/>
      <c r="F12" s="422"/>
      <c r="G12" s="172">
        <v>1327.2</v>
      </c>
      <c r="H12" s="3"/>
      <c r="I12" s="2354"/>
      <c r="J12" s="2353"/>
      <c r="K12" s="2353"/>
      <c r="L12" s="337" t="s">
        <v>400</v>
      </c>
    </row>
    <row r="13" spans="1:13" s="78" customFormat="1" ht="15">
      <c r="A13" s="350">
        <v>44022</v>
      </c>
      <c r="B13" s="1124" t="s">
        <v>522</v>
      </c>
      <c r="C13" s="1124" t="s">
        <v>4600</v>
      </c>
      <c r="D13" s="3" t="s">
        <v>1585</v>
      </c>
      <c r="E13" s="172">
        <v>477.75</v>
      </c>
      <c r="F13" s="422">
        <v>0</v>
      </c>
      <c r="G13" s="172">
        <v>477.75</v>
      </c>
      <c r="H13" s="3"/>
      <c r="I13" s="2354"/>
      <c r="J13" s="2353"/>
      <c r="K13" s="2353"/>
      <c r="L13" s="337"/>
    </row>
    <row r="14" spans="1:13" s="78" customFormat="1" ht="15">
      <c r="A14" s="350">
        <v>44062</v>
      </c>
      <c r="B14" s="1124"/>
      <c r="C14" s="1124"/>
      <c r="D14" s="3" t="s">
        <v>1586</v>
      </c>
      <c r="E14" s="172"/>
      <c r="F14" s="422"/>
      <c r="G14" s="172">
        <v>1825.3</v>
      </c>
      <c r="H14" s="3"/>
      <c r="I14" s="2354"/>
      <c r="J14" s="2353"/>
      <c r="K14" s="2353"/>
      <c r="L14" s="337" t="s">
        <v>1587</v>
      </c>
    </row>
    <row r="15" spans="1:13" s="55" customFormat="1" ht="15">
      <c r="A15" s="350">
        <v>44078</v>
      </c>
      <c r="B15" s="1124" t="s">
        <v>522</v>
      </c>
      <c r="C15" s="1124" t="s">
        <v>4600</v>
      </c>
      <c r="D15" s="3" t="s">
        <v>1588</v>
      </c>
      <c r="E15" s="172">
        <v>1403.5</v>
      </c>
      <c r="F15" s="422">
        <v>0</v>
      </c>
      <c r="G15" s="172">
        <v>1403.5</v>
      </c>
      <c r="H15" s="3"/>
      <c r="I15" s="2354">
        <v>2749.02</v>
      </c>
      <c r="J15" s="2353" t="s">
        <v>1589</v>
      </c>
      <c r="K15" s="2353" t="s">
        <v>1577</v>
      </c>
      <c r="L15" s="337" t="s">
        <v>1587</v>
      </c>
    </row>
    <row r="16" spans="1:13" s="55" customFormat="1" ht="15">
      <c r="A16" s="350">
        <v>44154</v>
      </c>
      <c r="B16" s="1124" t="s">
        <v>522</v>
      </c>
      <c r="C16" s="1124" t="s">
        <v>4600</v>
      </c>
      <c r="D16" s="3" t="s">
        <v>1590</v>
      </c>
      <c r="E16" s="172">
        <v>1505.16</v>
      </c>
      <c r="F16" s="422">
        <v>0</v>
      </c>
      <c r="G16" s="172">
        <v>1505.16</v>
      </c>
      <c r="H16" s="3"/>
      <c r="I16" s="2354"/>
      <c r="J16" s="2353"/>
      <c r="K16" s="2353"/>
      <c r="L16" s="337" t="s">
        <v>674</v>
      </c>
    </row>
    <row r="17" spans="1:12" s="55" customFormat="1" ht="18" customHeight="1">
      <c r="A17" s="350">
        <v>44167</v>
      </c>
      <c r="B17" s="1124" t="s">
        <v>522</v>
      </c>
      <c r="C17" s="1124" t="s">
        <v>4600</v>
      </c>
      <c r="D17" s="3" t="s">
        <v>1591</v>
      </c>
      <c r="E17" s="172">
        <v>-35.6</v>
      </c>
      <c r="F17" s="422">
        <v>0</v>
      </c>
      <c r="G17" s="172">
        <v>-35.6</v>
      </c>
      <c r="H17" s="98"/>
      <c r="I17" s="2354"/>
      <c r="J17" s="2353"/>
      <c r="K17" s="2353"/>
      <c r="L17" s="337"/>
    </row>
    <row r="18" spans="1:12" s="55" customFormat="1" ht="15.75">
      <c r="A18" s="350">
        <v>44167</v>
      </c>
      <c r="B18" s="1124" t="s">
        <v>522</v>
      </c>
      <c r="C18" s="1124" t="s">
        <v>4600</v>
      </c>
      <c r="D18" s="3" t="s">
        <v>1592</v>
      </c>
      <c r="E18" s="172">
        <v>-124.04</v>
      </c>
      <c r="F18" s="422">
        <v>0</v>
      </c>
      <c r="G18" s="172">
        <v>-124.04</v>
      </c>
      <c r="H18" s="98"/>
      <c r="I18" s="2354"/>
      <c r="J18" s="2353"/>
      <c r="K18" s="2353"/>
      <c r="L18" s="337"/>
    </row>
    <row r="19" spans="1:12">
      <c r="A19" s="335"/>
      <c r="B19" s="335"/>
      <c r="C19" s="335"/>
      <c r="D19" s="335"/>
      <c r="E19" s="335"/>
      <c r="F19" s="559"/>
      <c r="G19" s="172"/>
      <c r="H19" s="335"/>
      <c r="I19" s="336"/>
      <c r="J19" s="336"/>
      <c r="K19" s="336"/>
      <c r="L19" s="337"/>
    </row>
    <row r="20" spans="1:12">
      <c r="A20" s="3"/>
      <c r="B20" s="3"/>
      <c r="C20" s="3"/>
      <c r="D20" s="3"/>
      <c r="E20" s="3"/>
      <c r="F20" s="558"/>
      <c r="G20" s="172"/>
      <c r="H20" s="3"/>
      <c r="I20" s="2"/>
      <c r="J20" s="2"/>
      <c r="K20" s="2"/>
      <c r="L20" s="337"/>
    </row>
    <row r="21" spans="1:12">
      <c r="A21" s="97"/>
      <c r="B21" s="3"/>
      <c r="C21" s="3"/>
      <c r="D21" s="3"/>
      <c r="E21" s="3"/>
      <c r="F21" s="557" t="s">
        <v>545</v>
      </c>
      <c r="G21" s="172">
        <v>0</v>
      </c>
      <c r="H21" s="334"/>
      <c r="I21" s="251"/>
      <c r="J21" s="251"/>
      <c r="K21" s="251"/>
      <c r="L21" s="338"/>
    </row>
    <row r="22" spans="1:12" s="55" customFormat="1">
      <c r="F22" s="522"/>
      <c r="L22" s="339"/>
    </row>
    <row r="23" spans="1:12" customFormat="1" ht="18.75">
      <c r="A23" s="255" t="s">
        <v>536</v>
      </c>
      <c r="B23" s="255" t="s">
        <v>516</v>
      </c>
      <c r="C23" s="255" t="s">
        <v>515</v>
      </c>
      <c r="D23" s="257" t="s">
        <v>2150</v>
      </c>
      <c r="E23" s="257" t="s">
        <v>2718</v>
      </c>
      <c r="F23" s="510" t="s">
        <v>2719</v>
      </c>
      <c r="G23" s="256" t="s">
        <v>2721</v>
      </c>
      <c r="H23" s="256" t="s">
        <v>4099</v>
      </c>
      <c r="I23" s="257" t="s">
        <v>3043</v>
      </c>
      <c r="J23" s="257" t="s">
        <v>4100</v>
      </c>
      <c r="K23" s="257" t="s">
        <v>541</v>
      </c>
      <c r="L23" s="257" t="s">
        <v>542</v>
      </c>
    </row>
    <row r="24" spans="1:12" s="55" customFormat="1" ht="15">
      <c r="A24" s="247">
        <v>44279</v>
      </c>
      <c r="B24" s="1124" t="s">
        <v>522</v>
      </c>
      <c r="C24" s="1124" t="s">
        <v>4600</v>
      </c>
      <c r="D24" s="243" t="s">
        <v>1593</v>
      </c>
      <c r="E24" s="172">
        <v>2390.5</v>
      </c>
      <c r="F24" s="422">
        <v>0</v>
      </c>
      <c r="G24" s="172">
        <v>2390.5</v>
      </c>
      <c r="H24" s="247">
        <v>44281</v>
      </c>
      <c r="I24" s="2355">
        <v>3083.5</v>
      </c>
      <c r="J24" s="2356">
        <v>44320</v>
      </c>
      <c r="K24" s="2245" t="s">
        <v>1594</v>
      </c>
      <c r="L24" s="248" t="s">
        <v>1595</v>
      </c>
    </row>
    <row r="25" spans="1:12" s="55" customFormat="1" ht="15">
      <c r="A25" s="247">
        <v>44313</v>
      </c>
      <c r="B25" s="1124" t="s">
        <v>522</v>
      </c>
      <c r="C25" s="1124" t="s">
        <v>4600</v>
      </c>
      <c r="D25" s="243" t="s">
        <v>1596</v>
      </c>
      <c r="E25" s="172">
        <v>693</v>
      </c>
      <c r="F25" s="422">
        <v>0</v>
      </c>
      <c r="G25" s="172">
        <v>693</v>
      </c>
      <c r="H25" s="247">
        <v>44314</v>
      </c>
      <c r="I25" s="2355"/>
      <c r="J25" s="2245"/>
      <c r="K25" s="2245"/>
      <c r="L25" s="248"/>
    </row>
    <row r="26" spans="1:12" s="78" customFormat="1" ht="15">
      <c r="A26" s="247">
        <v>44357</v>
      </c>
      <c r="B26" s="1124" t="s">
        <v>522</v>
      </c>
      <c r="C26" s="1124" t="s">
        <v>4600</v>
      </c>
      <c r="D26" s="243" t="s">
        <v>1597</v>
      </c>
      <c r="E26" s="172">
        <v>-3.85</v>
      </c>
      <c r="F26" s="422">
        <v>0</v>
      </c>
      <c r="G26" s="172">
        <v>-3.85</v>
      </c>
      <c r="H26" s="247" t="s">
        <v>1529</v>
      </c>
      <c r="I26" s="2355">
        <v>4000</v>
      </c>
      <c r="J26" s="2356">
        <v>44480</v>
      </c>
      <c r="K26" s="2245" t="s">
        <v>550</v>
      </c>
      <c r="L26" s="248"/>
    </row>
    <row r="27" spans="1:12" s="78" customFormat="1" ht="15">
      <c r="A27" s="247">
        <v>44357</v>
      </c>
      <c r="B27" s="1124" t="s">
        <v>522</v>
      </c>
      <c r="C27" s="1124" t="s">
        <v>4600</v>
      </c>
      <c r="D27" s="243" t="s">
        <v>1598</v>
      </c>
      <c r="E27" s="172">
        <v>-230.65</v>
      </c>
      <c r="F27" s="422">
        <v>0</v>
      </c>
      <c r="G27" s="172">
        <v>-230.65</v>
      </c>
      <c r="H27" s="247" t="s">
        <v>1529</v>
      </c>
      <c r="I27" s="2355"/>
      <c r="J27" s="2245"/>
      <c r="K27" s="2245"/>
      <c r="L27" s="248"/>
    </row>
    <row r="28" spans="1:12" s="78" customFormat="1" ht="15">
      <c r="A28" s="247">
        <v>44414</v>
      </c>
      <c r="B28" s="1124" t="s">
        <v>522</v>
      </c>
      <c r="C28" s="1124" t="s">
        <v>4600</v>
      </c>
      <c r="D28" s="243" t="s">
        <v>1599</v>
      </c>
      <c r="E28" s="172">
        <v>905</v>
      </c>
      <c r="F28" s="422">
        <v>0</v>
      </c>
      <c r="G28" s="172">
        <v>905</v>
      </c>
      <c r="H28" s="247">
        <v>44415</v>
      </c>
      <c r="I28" s="2355"/>
      <c r="J28" s="2245"/>
      <c r="K28" s="2245"/>
      <c r="L28" s="248"/>
    </row>
    <row r="29" spans="1:12" s="78" customFormat="1" ht="15">
      <c r="A29" s="247">
        <v>44421</v>
      </c>
      <c r="B29" s="1124" t="s">
        <v>522</v>
      </c>
      <c r="C29" s="1124" t="s">
        <v>4600</v>
      </c>
      <c r="D29" s="243" t="s">
        <v>1600</v>
      </c>
      <c r="E29" s="172">
        <v>3094.15</v>
      </c>
      <c r="F29" s="422">
        <v>0</v>
      </c>
      <c r="G29" s="172">
        <v>3094.15</v>
      </c>
      <c r="H29" s="247">
        <v>44422</v>
      </c>
      <c r="I29" s="2355"/>
      <c r="J29" s="2245"/>
      <c r="K29" s="2245"/>
      <c r="L29" s="248"/>
    </row>
    <row r="30" spans="1:12" s="95" customFormat="1">
      <c r="A30" s="236"/>
      <c r="B30" s="1123"/>
      <c r="C30" s="1123"/>
      <c r="D30" s="236" t="s">
        <v>545</v>
      </c>
      <c r="E30" s="534"/>
      <c r="F30" s="511"/>
      <c r="G30" s="172">
        <f>SUM(G26:G29)-I26</f>
        <v>-235.34999999999991</v>
      </c>
      <c r="H30" s="236"/>
      <c r="I30" s="359">
        <v>-235.35</v>
      </c>
      <c r="J30" s="238">
        <v>44615</v>
      </c>
      <c r="K30" s="236" t="s">
        <v>1601</v>
      </c>
      <c r="L30" s="90"/>
    </row>
    <row r="31" spans="1:12" s="206" customFormat="1" ht="15">
      <c r="A31" s="902">
        <v>45243</v>
      </c>
      <c r="B31" s="623" t="s">
        <v>522</v>
      </c>
      <c r="C31" s="623" t="s">
        <v>4600</v>
      </c>
      <c r="D31" s="503" t="s">
        <v>6610</v>
      </c>
      <c r="E31" s="2410">
        <v>2773.26</v>
      </c>
      <c r="F31" s="2411">
        <v>0</v>
      </c>
      <c r="G31" s="2410">
        <v>2773.26</v>
      </c>
      <c r="H31" s="902">
        <v>45303</v>
      </c>
      <c r="I31" s="359"/>
      <c r="J31" s="236"/>
      <c r="K31" s="236"/>
      <c r="L31" s="90"/>
    </row>
    <row r="32" spans="1:12" s="237" customFormat="1" ht="15">
      <c r="A32" s="902"/>
      <c r="B32" s="623"/>
      <c r="C32" s="623"/>
      <c r="D32" s="503"/>
      <c r="E32" s="2410"/>
      <c r="F32" s="2411"/>
      <c r="G32" s="2410"/>
      <c r="H32" s="902"/>
      <c r="I32" s="1863"/>
      <c r="J32" s="1845"/>
      <c r="K32" s="1845"/>
      <c r="L32" s="90"/>
    </row>
    <row r="33" spans="1:12" s="237" customFormat="1" ht="15">
      <c r="A33" s="902"/>
      <c r="B33" s="623"/>
      <c r="C33" s="623"/>
      <c r="D33" s="503"/>
      <c r="E33" s="2410"/>
      <c r="F33" s="2411"/>
      <c r="G33" s="2410"/>
      <c r="H33" s="902"/>
      <c r="I33" s="1863"/>
      <c r="J33" s="1845"/>
      <c r="K33" s="1845"/>
      <c r="L33" s="90"/>
    </row>
    <row r="34" spans="1:12" s="237" customFormat="1" ht="15">
      <c r="A34" s="902"/>
      <c r="B34" s="623"/>
      <c r="C34" s="623"/>
      <c r="D34" s="503"/>
      <c r="E34" s="2410"/>
      <c r="F34" s="2411"/>
      <c r="G34" s="2410"/>
      <c r="H34" s="902"/>
      <c r="I34" s="1863"/>
      <c r="J34" s="1845"/>
      <c r="K34" s="1845"/>
      <c r="L34" s="90"/>
    </row>
    <row r="35" spans="1:12" s="206" customFormat="1">
      <c r="A35" s="503"/>
      <c r="B35" s="503"/>
      <c r="C35" s="503"/>
      <c r="D35" s="503"/>
      <c r="E35" s="503"/>
      <c r="F35" s="503"/>
      <c r="G35" s="2410"/>
      <c r="H35" s="503"/>
      <c r="I35" s="359"/>
      <c r="J35" s="236"/>
      <c r="K35" s="236"/>
      <c r="L35" s="90"/>
    </row>
    <row r="36" spans="1:12" s="95" customFormat="1">
      <c r="A36" s="503"/>
      <c r="B36" s="503"/>
      <c r="C36" s="503"/>
      <c r="D36" s="503"/>
      <c r="E36" s="503"/>
      <c r="F36" s="503"/>
      <c r="G36" s="2410"/>
      <c r="H36" s="503"/>
      <c r="I36" s="236"/>
      <c r="J36" s="236"/>
      <c r="K36" s="236"/>
      <c r="L36" s="90"/>
    </row>
    <row r="37" spans="1:12" s="55" customFormat="1">
      <c r="A37" s="83"/>
      <c r="B37" s="503"/>
      <c r="C37" s="503"/>
      <c r="D37" s="534"/>
      <c r="E37" s="108"/>
      <c r="F37" s="1144" t="s">
        <v>545</v>
      </c>
      <c r="G37" s="205">
        <f>SUM(G30:G36)-SUM(I30:I36)</f>
        <v>2773.26</v>
      </c>
      <c r="H37" s="83"/>
      <c r="I37" s="83"/>
      <c r="J37" s="83"/>
      <c r="K37" s="83"/>
      <c r="L37" s="309"/>
    </row>
    <row r="38" spans="1:12" s="55" customFormat="1">
      <c r="L38" s="339"/>
    </row>
    <row r="39" spans="1:12" s="55" customFormat="1">
      <c r="L39" s="339"/>
    </row>
    <row r="40" spans="1:12" s="55" customFormat="1">
      <c r="L40" s="339"/>
    </row>
    <row r="41" spans="1:12" s="55" customFormat="1">
      <c r="L41" s="339"/>
    </row>
    <row r="42" spans="1:12" s="55" customFormat="1">
      <c r="L42" s="339"/>
    </row>
    <row r="43" spans="1:12" s="55" customFormat="1">
      <c r="L43" s="339"/>
    </row>
    <row r="44" spans="1:12" s="55" customFormat="1">
      <c r="L44" s="339"/>
    </row>
    <row r="45" spans="1:12" s="55" customFormat="1">
      <c r="L45" s="339"/>
    </row>
    <row r="46" spans="1:12" s="55" customFormat="1">
      <c r="L46" s="339"/>
    </row>
    <row r="47" spans="1:12" s="55" customFormat="1">
      <c r="L47" s="339"/>
    </row>
    <row r="48" spans="1:12" s="55" customFormat="1">
      <c r="L48" s="339"/>
    </row>
  </sheetData>
  <mergeCells count="12">
    <mergeCell ref="K15:K18"/>
    <mergeCell ref="K24:K25"/>
    <mergeCell ref="K26:K29"/>
    <mergeCell ref="I2:I14"/>
    <mergeCell ref="I15:I18"/>
    <mergeCell ref="I24:I25"/>
    <mergeCell ref="I26:I29"/>
    <mergeCell ref="J2:J14"/>
    <mergeCell ref="J15:J18"/>
    <mergeCell ref="J24:J25"/>
    <mergeCell ref="J26:J29"/>
    <mergeCell ref="K2:K14"/>
  </mergeCells>
  <phoneticPr fontId="15" type="noConversion"/>
  <hyperlinks>
    <hyperlink ref="F37" location="汇总!A1" display="剩余欠款"/>
  </hyperlinks>
  <pageMargins left="0.75" right="0.75" top="1" bottom="1" header="0.5" footer="0.5"/>
  <pageSetup paperSize="9" orientation="portrait" horizontalDpi="0" verticalDpi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N61"/>
  <sheetViews>
    <sheetView workbookViewId="0">
      <pane ySplit="1" topLeftCell="A20" activePane="bottomLeft" state="frozen"/>
      <selection activeCell="C33" sqref="C33"/>
      <selection pane="bottomLeft" activeCell="F50" sqref="F50"/>
    </sheetView>
  </sheetViews>
  <sheetFormatPr defaultColWidth="8.75" defaultRowHeight="14.25"/>
  <cols>
    <col min="1" max="1" width="13.875" style="93" bestFit="1" customWidth="1"/>
    <col min="2" max="2" width="8.875" style="93" bestFit="1" customWidth="1"/>
    <col min="3" max="3" width="47.125" style="93" bestFit="1" customWidth="1"/>
    <col min="4" max="4" width="15" style="84" bestFit="1" customWidth="1"/>
    <col min="5" max="5" width="15" style="553" customWidth="1"/>
    <col min="6" max="6" width="15" style="555" customWidth="1"/>
    <col min="7" max="7" width="16" style="84" customWidth="1"/>
    <col min="8" max="8" width="16.625" style="84" bestFit="1" customWidth="1"/>
    <col min="9" max="9" width="14" style="84" bestFit="1" customWidth="1"/>
    <col min="10" max="10" width="15" style="341" bestFit="1" customWidth="1"/>
    <col min="11" max="11" width="18.875" style="341" customWidth="1"/>
    <col min="12" max="12" width="12.75" style="84" bestFit="1" customWidth="1"/>
    <col min="13" max="13" width="8.75" style="94" bestFit="1"/>
    <col min="14" max="16384" width="8.75" style="94"/>
  </cols>
  <sheetData>
    <row r="1" spans="1:12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7" t="s">
        <v>542</v>
      </c>
    </row>
    <row r="2" spans="1:12" ht="15">
      <c r="A2" s="632">
        <v>44445</v>
      </c>
      <c r="B2" s="1124" t="s">
        <v>4121</v>
      </c>
      <c r="C2" s="1124" t="s">
        <v>4123</v>
      </c>
      <c r="D2" s="615" t="s">
        <v>1602</v>
      </c>
      <c r="E2" s="613">
        <v>3196</v>
      </c>
      <c r="F2" s="614">
        <v>0</v>
      </c>
      <c r="G2" s="631">
        <v>3196</v>
      </c>
      <c r="H2" s="678">
        <v>44446</v>
      </c>
      <c r="I2" s="2288">
        <v>4306.5</v>
      </c>
      <c r="J2" s="2040">
        <v>44543</v>
      </c>
      <c r="K2" s="2041" t="s">
        <v>550</v>
      </c>
      <c r="L2" s="166" t="s">
        <v>1505</v>
      </c>
    </row>
    <row r="3" spans="1:12" ht="15">
      <c r="A3" s="632">
        <v>44477</v>
      </c>
      <c r="B3" s="1124" t="s">
        <v>4121</v>
      </c>
      <c r="C3" s="1124" t="s">
        <v>4123</v>
      </c>
      <c r="D3" s="615" t="s">
        <v>1603</v>
      </c>
      <c r="E3" s="613">
        <v>1120.5</v>
      </c>
      <c r="F3" s="614">
        <v>0</v>
      </c>
      <c r="G3" s="631">
        <v>1120.5</v>
      </c>
      <c r="H3" s="678">
        <v>44478</v>
      </c>
      <c r="I3" s="2288"/>
      <c r="J3" s="2142"/>
      <c r="K3" s="2041"/>
      <c r="L3" s="166"/>
    </row>
    <row r="4" spans="1:12" ht="15">
      <c r="A4" s="615"/>
      <c r="B4" s="1124"/>
      <c r="C4" s="1124"/>
      <c r="D4" s="615" t="s">
        <v>3125</v>
      </c>
      <c r="E4" s="613"/>
      <c r="F4" s="614"/>
      <c r="G4" s="631">
        <f>SUM(G2:G3)-I2</f>
        <v>10</v>
      </c>
      <c r="H4" s="708"/>
      <c r="I4" s="609">
        <v>10</v>
      </c>
      <c r="J4" s="632">
        <v>44558</v>
      </c>
      <c r="K4" s="385" t="s">
        <v>809</v>
      </c>
      <c r="L4" s="166"/>
    </row>
    <row r="5" spans="1:12" ht="15">
      <c r="A5" s="615"/>
      <c r="B5" s="1124"/>
      <c r="C5" s="1124"/>
      <c r="D5" s="615" t="s">
        <v>3125</v>
      </c>
      <c r="E5" s="613"/>
      <c r="F5" s="614"/>
      <c r="G5" s="631">
        <f>G4-I4</f>
        <v>0</v>
      </c>
      <c r="H5" s="708"/>
      <c r="I5" s="609"/>
      <c r="J5" s="632"/>
      <c r="K5" s="385"/>
      <c r="L5" s="166"/>
    </row>
    <row r="6" spans="1:12" ht="15">
      <c r="A6" s="632">
        <v>44530</v>
      </c>
      <c r="B6" s="1124" t="s">
        <v>4121</v>
      </c>
      <c r="C6" s="1124" t="s">
        <v>4123</v>
      </c>
      <c r="D6" s="615" t="s">
        <v>1604</v>
      </c>
      <c r="E6" s="613">
        <v>243.25</v>
      </c>
      <c r="F6" s="614">
        <v>0</v>
      </c>
      <c r="G6" s="631">
        <v>243.25</v>
      </c>
      <c r="H6" s="678">
        <v>44531</v>
      </c>
      <c r="I6" s="2288">
        <v>1138.82</v>
      </c>
      <c r="J6" s="2040">
        <v>44568</v>
      </c>
      <c r="K6" s="2041" t="s">
        <v>550</v>
      </c>
      <c r="L6" s="166"/>
    </row>
    <row r="7" spans="1:12" ht="15">
      <c r="A7" s="632">
        <v>44530</v>
      </c>
      <c r="B7" s="1124" t="s">
        <v>4121</v>
      </c>
      <c r="C7" s="1124" t="s">
        <v>4123</v>
      </c>
      <c r="D7" s="615" t="s">
        <v>1605</v>
      </c>
      <c r="E7" s="613">
        <v>895.57</v>
      </c>
      <c r="F7" s="614">
        <v>0</v>
      </c>
      <c r="G7" s="631">
        <v>895.57</v>
      </c>
      <c r="H7" s="678">
        <v>44560</v>
      </c>
      <c r="I7" s="2288"/>
      <c r="J7" s="2040"/>
      <c r="K7" s="2041"/>
      <c r="L7" s="166"/>
    </row>
    <row r="8" spans="1:12" ht="15">
      <c r="A8" s="632"/>
      <c r="B8" s="1124"/>
      <c r="C8" s="1124"/>
      <c r="D8" s="615" t="s">
        <v>3125</v>
      </c>
      <c r="E8" s="613"/>
      <c r="F8" s="614"/>
      <c r="G8" s="631">
        <f>SUM(G5:G7)-I6</f>
        <v>0</v>
      </c>
      <c r="H8" s="678"/>
      <c r="I8" s="609"/>
      <c r="J8" s="632"/>
      <c r="K8" s="385"/>
      <c r="L8" s="166"/>
    </row>
    <row r="9" spans="1:12" ht="15">
      <c r="A9" s="632">
        <v>44539</v>
      </c>
      <c r="B9" s="1124" t="s">
        <v>4121</v>
      </c>
      <c r="C9" s="1124" t="s">
        <v>4123</v>
      </c>
      <c r="D9" s="615" t="s">
        <v>1606</v>
      </c>
      <c r="E9" s="613">
        <v>4699.51</v>
      </c>
      <c r="F9" s="614">
        <v>0</v>
      </c>
      <c r="G9" s="631">
        <v>4699.51</v>
      </c>
      <c r="H9" s="678">
        <v>44540</v>
      </c>
      <c r="I9" s="609">
        <v>4699.51</v>
      </c>
      <c r="J9" s="632">
        <v>44606</v>
      </c>
      <c r="K9" s="385" t="s">
        <v>550</v>
      </c>
      <c r="L9" s="166"/>
    </row>
    <row r="10" spans="1:12" ht="15">
      <c r="A10" s="632"/>
      <c r="B10" s="1124"/>
      <c r="C10" s="1124"/>
      <c r="D10" s="615" t="s">
        <v>3125</v>
      </c>
      <c r="E10" s="613"/>
      <c r="F10" s="614"/>
      <c r="G10" s="631">
        <f>SUM(G8:G9)-I9</f>
        <v>0</v>
      </c>
      <c r="H10" s="678"/>
      <c r="I10" s="609"/>
      <c r="J10" s="632"/>
      <c r="K10" s="385"/>
      <c r="L10" s="166"/>
    </row>
    <row r="11" spans="1:12" ht="15">
      <c r="A11" s="678">
        <v>44600</v>
      </c>
      <c r="B11" s="1124" t="s">
        <v>4124</v>
      </c>
      <c r="C11" s="1124" t="s">
        <v>4123</v>
      </c>
      <c r="D11" s="615" t="s">
        <v>1607</v>
      </c>
      <c r="E11" s="613">
        <v>6348.39</v>
      </c>
      <c r="F11" s="614">
        <v>0</v>
      </c>
      <c r="G11" s="631">
        <v>6348.39</v>
      </c>
      <c r="H11" s="678">
        <v>44601</v>
      </c>
      <c r="I11" s="609">
        <v>6348.39</v>
      </c>
      <c r="J11" s="632">
        <v>44697</v>
      </c>
      <c r="K11" s="385" t="s">
        <v>2585</v>
      </c>
      <c r="L11" s="166"/>
    </row>
    <row r="12" spans="1:12" ht="15">
      <c r="A12" s="678"/>
      <c r="B12" s="1124"/>
      <c r="C12" s="1124"/>
      <c r="D12" s="615" t="s">
        <v>3125</v>
      </c>
      <c r="E12" s="613"/>
      <c r="F12" s="614"/>
      <c r="G12" s="631">
        <f>SUM(G10:G11)-I11</f>
        <v>0</v>
      </c>
      <c r="H12" s="678"/>
      <c r="I12" s="611"/>
      <c r="J12" s="632"/>
      <c r="K12" s="385"/>
      <c r="L12" s="166"/>
    </row>
    <row r="13" spans="1:12" ht="15">
      <c r="A13" s="632">
        <v>44690</v>
      </c>
      <c r="B13" s="1124" t="s">
        <v>4124</v>
      </c>
      <c r="C13" s="1124" t="s">
        <v>4123</v>
      </c>
      <c r="D13" s="615" t="s">
        <v>2111</v>
      </c>
      <c r="E13" s="613">
        <v>1775.65</v>
      </c>
      <c r="F13" s="614">
        <v>0</v>
      </c>
      <c r="G13" s="631">
        <v>1775.65</v>
      </c>
      <c r="H13" s="632">
        <v>44691</v>
      </c>
      <c r="I13" s="1923">
        <v>4059.42</v>
      </c>
      <c r="J13" s="1903">
        <v>44767</v>
      </c>
      <c r="K13" s="1935" t="s">
        <v>2583</v>
      </c>
      <c r="L13" s="166"/>
    </row>
    <row r="14" spans="1:12" ht="15">
      <c r="A14" s="632">
        <v>44719</v>
      </c>
      <c r="B14" s="1124" t="s">
        <v>4124</v>
      </c>
      <c r="C14" s="1124" t="s">
        <v>4123</v>
      </c>
      <c r="D14" s="615" t="s">
        <v>2273</v>
      </c>
      <c r="E14" s="613">
        <v>2417.3000000000002</v>
      </c>
      <c r="F14" s="614">
        <v>0</v>
      </c>
      <c r="G14" s="631">
        <v>2417.3000000000002</v>
      </c>
      <c r="H14" s="632">
        <v>44720</v>
      </c>
      <c r="I14" s="1961"/>
      <c r="J14" s="1904"/>
      <c r="K14" s="1950"/>
      <c r="L14" s="166"/>
    </row>
    <row r="15" spans="1:12" ht="15">
      <c r="A15" s="632">
        <v>44729</v>
      </c>
      <c r="B15" s="1124" t="s">
        <v>4124</v>
      </c>
      <c r="C15" s="1124" t="s">
        <v>4123</v>
      </c>
      <c r="D15" s="615" t="s">
        <v>2308</v>
      </c>
      <c r="E15" s="613">
        <v>-6.3</v>
      </c>
      <c r="F15" s="614">
        <v>0</v>
      </c>
      <c r="G15" s="631">
        <v>-6.3</v>
      </c>
      <c r="H15" s="632"/>
      <c r="I15" s="1961"/>
      <c r="J15" s="1904"/>
      <c r="K15" s="1950"/>
      <c r="L15" s="166"/>
    </row>
    <row r="16" spans="1:12" ht="15">
      <c r="A16" s="632">
        <v>44729</v>
      </c>
      <c r="B16" s="1124" t="s">
        <v>4124</v>
      </c>
      <c r="C16" s="1124" t="s">
        <v>4123</v>
      </c>
      <c r="D16" s="615" t="s">
        <v>2309</v>
      </c>
      <c r="E16" s="613">
        <v>-0.98</v>
      </c>
      <c r="F16" s="614">
        <v>0</v>
      </c>
      <c r="G16" s="631">
        <v>-0.98</v>
      </c>
      <c r="H16" s="632"/>
      <c r="I16" s="1961"/>
      <c r="J16" s="1904"/>
      <c r="K16" s="1950"/>
      <c r="L16" s="166"/>
    </row>
    <row r="17" spans="1:14" ht="15">
      <c r="A17" s="632">
        <v>44729</v>
      </c>
      <c r="B17" s="1124" t="s">
        <v>4124</v>
      </c>
      <c r="C17" s="1124" t="s">
        <v>4123</v>
      </c>
      <c r="D17" s="615" t="s">
        <v>2310</v>
      </c>
      <c r="E17" s="613">
        <v>-126.24</v>
      </c>
      <c r="F17" s="614">
        <v>0</v>
      </c>
      <c r="G17" s="631">
        <v>-126.25</v>
      </c>
      <c r="H17" s="632"/>
      <c r="I17" s="1924"/>
      <c r="J17" s="1905"/>
      <c r="K17" s="1947"/>
      <c r="L17" s="166"/>
    </row>
    <row r="18" spans="1:14" ht="15">
      <c r="A18" s="632">
        <v>44729</v>
      </c>
      <c r="B18" s="1124" t="s">
        <v>4124</v>
      </c>
      <c r="C18" s="1124" t="s">
        <v>4123</v>
      </c>
      <c r="D18" s="615" t="s">
        <v>2307</v>
      </c>
      <c r="E18" s="613">
        <v>-32.450000000000003</v>
      </c>
      <c r="F18" s="614">
        <v>0</v>
      </c>
      <c r="G18" s="631">
        <v>-32.450000000000003</v>
      </c>
      <c r="H18" s="632"/>
      <c r="I18" s="611">
        <v>-32.450000000000003</v>
      </c>
      <c r="J18" s="632">
        <v>44767</v>
      </c>
      <c r="K18" s="485" t="s">
        <v>2583</v>
      </c>
      <c r="L18" s="166"/>
    </row>
    <row r="19" spans="1:14" ht="15">
      <c r="A19" s="632">
        <v>44622</v>
      </c>
      <c r="B19" s="1124" t="s">
        <v>4124</v>
      </c>
      <c r="C19" s="1124" t="s">
        <v>4123</v>
      </c>
      <c r="D19" s="615" t="s">
        <v>1608</v>
      </c>
      <c r="E19" s="609">
        <v>1872.62</v>
      </c>
      <c r="F19" s="610">
        <v>430.7</v>
      </c>
      <c r="G19" s="631">
        <v>2303.3200000000002</v>
      </c>
      <c r="H19" s="678">
        <v>44623</v>
      </c>
      <c r="I19" s="611">
        <v>2303.3200000000002</v>
      </c>
      <c r="J19" s="632">
        <v>44798</v>
      </c>
      <c r="K19" s="485" t="s">
        <v>2886</v>
      </c>
      <c r="L19" s="166"/>
    </row>
    <row r="20" spans="1:14" ht="15">
      <c r="A20" s="632">
        <v>44706</v>
      </c>
      <c r="B20" s="1124" t="s">
        <v>4124</v>
      </c>
      <c r="C20" s="1124" t="s">
        <v>4123</v>
      </c>
      <c r="D20" s="615" t="s">
        <v>2197</v>
      </c>
      <c r="E20" s="609">
        <v>4798.1899999999996</v>
      </c>
      <c r="F20" s="610">
        <v>0</v>
      </c>
      <c r="G20" s="631">
        <v>4798.1899999999996</v>
      </c>
      <c r="H20" s="632">
        <v>44707</v>
      </c>
      <c r="I20" s="1923">
        <v>11319.29</v>
      </c>
      <c r="J20" s="1903">
        <v>44802</v>
      </c>
      <c r="K20" s="1935" t="s">
        <v>2942</v>
      </c>
      <c r="L20" s="166"/>
    </row>
    <row r="21" spans="1:14" ht="15">
      <c r="A21" s="632">
        <v>44755.000497685185</v>
      </c>
      <c r="B21" s="1124" t="s">
        <v>4124</v>
      </c>
      <c r="C21" s="1124" t="s">
        <v>4123</v>
      </c>
      <c r="D21" s="615" t="s">
        <v>2443</v>
      </c>
      <c r="E21" s="609">
        <v>4018.1</v>
      </c>
      <c r="F21" s="610">
        <v>0</v>
      </c>
      <c r="G21" s="631">
        <v>4018.1</v>
      </c>
      <c r="H21" s="632">
        <v>44756.000497685185</v>
      </c>
      <c r="I21" s="1961"/>
      <c r="J21" s="1904"/>
      <c r="K21" s="1950"/>
      <c r="L21" s="166"/>
    </row>
    <row r="22" spans="1:14" ht="15">
      <c r="A22" s="632">
        <v>44755.000497685185</v>
      </c>
      <c r="B22" s="1124" t="s">
        <v>4124</v>
      </c>
      <c r="C22" s="1124" t="s">
        <v>4123</v>
      </c>
      <c r="D22" s="615" t="s">
        <v>2444</v>
      </c>
      <c r="E22" s="609">
        <v>403</v>
      </c>
      <c r="F22" s="610">
        <v>0</v>
      </c>
      <c r="G22" s="631">
        <v>403</v>
      </c>
      <c r="H22" s="632">
        <v>44756.000497685185</v>
      </c>
      <c r="I22" s="1961"/>
      <c r="J22" s="1904"/>
      <c r="K22" s="1950"/>
      <c r="L22" s="166"/>
    </row>
    <row r="23" spans="1:14" ht="15">
      <c r="A23" s="632">
        <v>44761.000497685185</v>
      </c>
      <c r="B23" s="1124" t="s">
        <v>4124</v>
      </c>
      <c r="C23" s="1124" t="s">
        <v>4123</v>
      </c>
      <c r="D23" s="615" t="s">
        <v>2500</v>
      </c>
      <c r="E23" s="609">
        <v>2100</v>
      </c>
      <c r="F23" s="610">
        <v>0</v>
      </c>
      <c r="G23" s="631">
        <v>2100</v>
      </c>
      <c r="H23" s="632">
        <v>44762</v>
      </c>
      <c r="I23" s="1924"/>
      <c r="J23" s="1905"/>
      <c r="K23" s="1947"/>
      <c r="L23" s="166"/>
    </row>
    <row r="24" spans="1:14" ht="15">
      <c r="A24" s="922">
        <v>44762.000497685185</v>
      </c>
      <c r="B24" s="1124" t="s">
        <v>4124</v>
      </c>
      <c r="C24" s="1124" t="s">
        <v>4123</v>
      </c>
      <c r="D24" s="923" t="s">
        <v>2501</v>
      </c>
      <c r="E24" s="924">
        <v>4355.5600000000004</v>
      </c>
      <c r="F24" s="921">
        <v>0</v>
      </c>
      <c r="G24" s="631">
        <v>4355.57</v>
      </c>
      <c r="H24" s="922">
        <v>44763</v>
      </c>
      <c r="I24" s="1923">
        <v>11355.57</v>
      </c>
      <c r="J24" s="1903">
        <v>44886</v>
      </c>
      <c r="K24" s="1938" t="s">
        <v>6294</v>
      </c>
      <c r="L24" s="166"/>
    </row>
    <row r="25" spans="1:14" ht="15">
      <c r="A25" s="922">
        <v>44818</v>
      </c>
      <c r="B25" s="1124" t="s">
        <v>521</v>
      </c>
      <c r="C25" s="1124" t="s">
        <v>4123</v>
      </c>
      <c r="D25" s="923" t="s">
        <v>3034</v>
      </c>
      <c r="E25" s="924">
        <v>7000</v>
      </c>
      <c r="F25" s="921">
        <v>0</v>
      </c>
      <c r="G25" s="631">
        <v>7000</v>
      </c>
      <c r="H25" s="922">
        <v>44863</v>
      </c>
      <c r="I25" s="1924"/>
      <c r="J25" s="1905"/>
      <c r="K25" s="1947"/>
      <c r="L25" s="166"/>
    </row>
    <row r="26" spans="1:14" ht="15">
      <c r="A26" s="1089">
        <v>44782.000497685185</v>
      </c>
      <c r="B26" s="1124" t="s">
        <v>4124</v>
      </c>
      <c r="C26" s="1124" t="s">
        <v>4123</v>
      </c>
      <c r="D26" s="1090" t="s">
        <v>2711</v>
      </c>
      <c r="E26" s="1091">
        <v>-1.1100000000000001</v>
      </c>
      <c r="F26" s="1088">
        <v>-0.26</v>
      </c>
      <c r="G26" s="631">
        <v>-1.37</v>
      </c>
      <c r="H26" s="1089" t="s">
        <v>1529</v>
      </c>
      <c r="I26" s="1951">
        <v>5972.28</v>
      </c>
      <c r="J26" s="1903">
        <v>44943</v>
      </c>
      <c r="K26" s="1938" t="s">
        <v>6293</v>
      </c>
      <c r="L26" s="166"/>
      <c r="M26" s="190"/>
      <c r="N26" s="190"/>
    </row>
    <row r="27" spans="1:14" ht="15">
      <c r="A27" s="1089">
        <v>44844</v>
      </c>
      <c r="B27" s="1124" t="s">
        <v>521</v>
      </c>
      <c r="C27" s="1124" t="s">
        <v>4123</v>
      </c>
      <c r="D27" s="1090" t="s">
        <v>3268</v>
      </c>
      <c r="E27" s="1091">
        <v>5092.8</v>
      </c>
      <c r="F27" s="1088">
        <v>0</v>
      </c>
      <c r="G27" s="631">
        <v>5092.8</v>
      </c>
      <c r="H27" s="1089">
        <v>44933</v>
      </c>
      <c r="I27" s="1952"/>
      <c r="J27" s="1904"/>
      <c r="K27" s="1950"/>
      <c r="L27" s="166"/>
      <c r="M27" s="190"/>
      <c r="N27" s="190"/>
    </row>
    <row r="28" spans="1:14" ht="15">
      <c r="A28" s="1089">
        <v>44848</v>
      </c>
      <c r="B28" s="1124" t="s">
        <v>521</v>
      </c>
      <c r="C28" s="1124" t="s">
        <v>4123</v>
      </c>
      <c r="D28" s="1090" t="s">
        <v>3269</v>
      </c>
      <c r="E28" s="1091">
        <v>-50</v>
      </c>
      <c r="F28" s="1088">
        <v>0</v>
      </c>
      <c r="G28" s="631">
        <v>-50</v>
      </c>
      <c r="H28" s="1089">
        <v>44849</v>
      </c>
      <c r="I28" s="1952"/>
      <c r="J28" s="1904"/>
      <c r="K28" s="1950"/>
      <c r="L28" s="166"/>
      <c r="M28" s="190"/>
      <c r="N28" s="190"/>
    </row>
    <row r="29" spans="1:14" ht="15">
      <c r="A29" s="1089">
        <v>44909</v>
      </c>
      <c r="B29" s="1124" t="s">
        <v>521</v>
      </c>
      <c r="C29" s="1124" t="s">
        <v>4123</v>
      </c>
      <c r="D29" s="1090" t="s">
        <v>3718</v>
      </c>
      <c r="E29" s="1091">
        <v>930.85</v>
      </c>
      <c r="F29" s="1088">
        <v>0</v>
      </c>
      <c r="G29" s="631">
        <v>930.85</v>
      </c>
      <c r="H29" s="1089">
        <v>44999</v>
      </c>
      <c r="I29" s="1953"/>
      <c r="J29" s="1905"/>
      <c r="K29" s="1947"/>
      <c r="L29" s="166"/>
    </row>
    <row r="30" spans="1:14" s="388" customFormat="1" ht="15">
      <c r="A30" s="1377">
        <v>44949</v>
      </c>
      <c r="B30" s="1377" t="s">
        <v>2644</v>
      </c>
      <c r="C30" s="1377" t="s">
        <v>4123</v>
      </c>
      <c r="D30" s="1380" t="s">
        <v>3996</v>
      </c>
      <c r="E30" s="1382">
        <v>-431.2</v>
      </c>
      <c r="F30" s="1376">
        <v>0</v>
      </c>
      <c r="G30" s="631">
        <v>-431.2</v>
      </c>
      <c r="H30" s="1377"/>
      <c r="I30" s="1951">
        <v>6204.5</v>
      </c>
      <c r="J30" s="1903">
        <v>45055</v>
      </c>
      <c r="K30" s="1938" t="s">
        <v>6292</v>
      </c>
      <c r="L30" s="166"/>
    </row>
    <row r="31" spans="1:14" s="388" customFormat="1" ht="15">
      <c r="A31" s="1377">
        <v>44964</v>
      </c>
      <c r="B31" s="1377" t="s">
        <v>2644</v>
      </c>
      <c r="C31" s="1377" t="s">
        <v>4123</v>
      </c>
      <c r="D31" s="1380" t="s">
        <v>4070</v>
      </c>
      <c r="E31" s="1382">
        <v>959.48</v>
      </c>
      <c r="F31" s="1376">
        <v>0</v>
      </c>
      <c r="G31" s="631">
        <v>959.48</v>
      </c>
      <c r="H31" s="1377">
        <v>45054</v>
      </c>
      <c r="I31" s="1952"/>
      <c r="J31" s="1904"/>
      <c r="K31" s="1950"/>
      <c r="L31" s="166"/>
    </row>
    <row r="32" spans="1:14" s="388" customFormat="1" ht="15">
      <c r="A32" s="1377">
        <v>44980</v>
      </c>
      <c r="B32" s="1377" t="s">
        <v>2644</v>
      </c>
      <c r="C32" s="1377" t="s">
        <v>4123</v>
      </c>
      <c r="D32" s="1380" t="s">
        <v>4241</v>
      </c>
      <c r="E32" s="1382">
        <v>1284.48</v>
      </c>
      <c r="F32" s="1376">
        <v>0</v>
      </c>
      <c r="G32" s="631">
        <v>1284.48</v>
      </c>
      <c r="H32" s="1377">
        <v>45070</v>
      </c>
      <c r="I32" s="1952"/>
      <c r="J32" s="1904"/>
      <c r="K32" s="1950"/>
      <c r="L32" s="166"/>
    </row>
    <row r="33" spans="1:12" s="388" customFormat="1" ht="15">
      <c r="A33" s="1377">
        <v>45012</v>
      </c>
      <c r="B33" s="1377" t="s">
        <v>2644</v>
      </c>
      <c r="C33" s="1377" t="s">
        <v>4123</v>
      </c>
      <c r="D33" s="1380" t="s">
        <v>4657</v>
      </c>
      <c r="E33" s="1382">
        <v>2900</v>
      </c>
      <c r="F33" s="1376">
        <v>0</v>
      </c>
      <c r="G33" s="631">
        <v>2900</v>
      </c>
      <c r="H33" s="1377">
        <v>45013</v>
      </c>
      <c r="I33" s="1952"/>
      <c r="J33" s="1904"/>
      <c r="K33" s="1950"/>
      <c r="L33" s="166"/>
    </row>
    <row r="34" spans="1:12" s="388" customFormat="1" ht="15">
      <c r="A34" s="1377">
        <v>45042</v>
      </c>
      <c r="B34" s="1377" t="s">
        <v>2644</v>
      </c>
      <c r="C34" s="1377" t="s">
        <v>4123</v>
      </c>
      <c r="D34" s="1380" t="s">
        <v>4894</v>
      </c>
      <c r="E34" s="1382">
        <v>1491.74</v>
      </c>
      <c r="F34" s="1376">
        <v>0</v>
      </c>
      <c r="G34" s="631">
        <v>1491.74</v>
      </c>
      <c r="H34" s="1377">
        <v>45132</v>
      </c>
      <c r="I34" s="1953"/>
      <c r="J34" s="1905"/>
      <c r="K34" s="1947"/>
      <c r="L34" s="166"/>
    </row>
    <row r="35" spans="1:12" ht="15">
      <c r="A35" s="1629">
        <v>45051</v>
      </c>
      <c r="B35" s="1629" t="s">
        <v>2644</v>
      </c>
      <c r="C35" s="1629" t="s">
        <v>4123</v>
      </c>
      <c r="D35" s="1632" t="s">
        <v>4931</v>
      </c>
      <c r="E35" s="1635">
        <v>2803.15</v>
      </c>
      <c r="F35" s="1628">
        <v>0</v>
      </c>
      <c r="G35" s="631">
        <v>2803.15</v>
      </c>
      <c r="H35" s="1629">
        <v>45141</v>
      </c>
      <c r="I35" s="1951">
        <v>5052.95</v>
      </c>
      <c r="J35" s="1903">
        <v>45138</v>
      </c>
      <c r="K35" s="1938" t="s">
        <v>6291</v>
      </c>
      <c r="L35" s="166"/>
    </row>
    <row r="36" spans="1:12" ht="15">
      <c r="A36" s="1629">
        <v>45061</v>
      </c>
      <c r="B36" s="1629" t="s">
        <v>4121</v>
      </c>
      <c r="C36" s="1629" t="s">
        <v>4123</v>
      </c>
      <c r="D36" s="1632" t="s">
        <v>5124</v>
      </c>
      <c r="E36" s="1635">
        <v>644</v>
      </c>
      <c r="F36" s="1628">
        <v>0</v>
      </c>
      <c r="G36" s="631">
        <v>644</v>
      </c>
      <c r="H36" s="1629">
        <v>45151</v>
      </c>
      <c r="I36" s="1952"/>
      <c r="J36" s="1904"/>
      <c r="K36" s="1950"/>
      <c r="L36" s="166"/>
    </row>
    <row r="37" spans="1:12" ht="15">
      <c r="A37" s="1629">
        <v>45063</v>
      </c>
      <c r="B37" s="1629" t="s">
        <v>4121</v>
      </c>
      <c r="C37" s="1629" t="s">
        <v>4123</v>
      </c>
      <c r="D37" s="1632" t="s">
        <v>5125</v>
      </c>
      <c r="E37" s="1635">
        <v>1605.8</v>
      </c>
      <c r="F37" s="1628">
        <v>0</v>
      </c>
      <c r="G37" s="631">
        <v>1605.8</v>
      </c>
      <c r="H37" s="1629">
        <v>45153</v>
      </c>
      <c r="I37" s="1953"/>
      <c r="J37" s="1905"/>
      <c r="K37" s="1947"/>
      <c r="L37" s="166"/>
    </row>
    <row r="38" spans="1:12" ht="15">
      <c r="A38" s="1738">
        <v>45079</v>
      </c>
      <c r="B38" s="1738" t="s">
        <v>4121</v>
      </c>
      <c r="C38" s="1738" t="s">
        <v>4123</v>
      </c>
      <c r="D38" s="1742" t="s">
        <v>5290</v>
      </c>
      <c r="E38" s="1752">
        <v>1040.2</v>
      </c>
      <c r="F38" s="1737">
        <v>0</v>
      </c>
      <c r="G38" s="631">
        <v>1040.2</v>
      </c>
      <c r="H38" s="1738">
        <v>45169</v>
      </c>
      <c r="I38" s="1951">
        <v>3585.68</v>
      </c>
      <c r="J38" s="1903">
        <v>45152</v>
      </c>
      <c r="K38" s="1938" t="s">
        <v>6290</v>
      </c>
      <c r="L38" s="166"/>
    </row>
    <row r="39" spans="1:12" ht="15">
      <c r="A39" s="1738">
        <v>45103</v>
      </c>
      <c r="B39" s="1738" t="s">
        <v>4121</v>
      </c>
      <c r="C39" s="1738" t="s">
        <v>4123</v>
      </c>
      <c r="D39" s="1742" t="s">
        <v>5516</v>
      </c>
      <c r="E39" s="1752">
        <v>2545.48</v>
      </c>
      <c r="F39" s="1737">
        <v>0</v>
      </c>
      <c r="G39" s="631">
        <v>2545.48</v>
      </c>
      <c r="H39" s="1738">
        <v>45193</v>
      </c>
      <c r="I39" s="1953"/>
      <c r="J39" s="1905"/>
      <c r="K39" s="1947"/>
      <c r="L39" s="166"/>
    </row>
    <row r="40" spans="1:12" ht="15">
      <c r="A40" s="1738">
        <v>45126</v>
      </c>
      <c r="B40" s="1738" t="s">
        <v>4121</v>
      </c>
      <c r="C40" s="1738" t="s">
        <v>4123</v>
      </c>
      <c r="D40" s="1742" t="s">
        <v>5656</v>
      </c>
      <c r="E40" s="1752">
        <v>2752.05</v>
      </c>
      <c r="F40" s="1737">
        <v>0</v>
      </c>
      <c r="G40" s="631">
        <v>2752.05</v>
      </c>
      <c r="H40" s="1738">
        <v>45216</v>
      </c>
      <c r="I40" s="1951">
        <v>6805.05</v>
      </c>
      <c r="J40" s="1903">
        <v>45194</v>
      </c>
      <c r="K40" s="1935" t="s">
        <v>6289</v>
      </c>
      <c r="L40" s="166"/>
    </row>
    <row r="41" spans="1:12" ht="15">
      <c r="A41" s="1738">
        <v>45135</v>
      </c>
      <c r="B41" s="1738" t="s">
        <v>4121</v>
      </c>
      <c r="C41" s="1738" t="s">
        <v>4123</v>
      </c>
      <c r="D41" s="1742" t="s">
        <v>5698</v>
      </c>
      <c r="E41" s="1752">
        <v>4053</v>
      </c>
      <c r="F41" s="1737">
        <v>0</v>
      </c>
      <c r="G41" s="631">
        <v>4053</v>
      </c>
      <c r="H41" s="1738">
        <v>45225</v>
      </c>
      <c r="I41" s="1953"/>
      <c r="J41" s="1905"/>
      <c r="K41" s="1947"/>
      <c r="L41" s="166"/>
    </row>
    <row r="42" spans="1:12" ht="15">
      <c r="A42" s="623">
        <v>45142</v>
      </c>
      <c r="B42" s="623" t="s">
        <v>4121</v>
      </c>
      <c r="C42" s="623" t="s">
        <v>4123</v>
      </c>
      <c r="D42" s="624" t="s">
        <v>5842</v>
      </c>
      <c r="E42" s="603">
        <v>1170.26</v>
      </c>
      <c r="F42" s="604">
        <v>0</v>
      </c>
      <c r="G42" s="606">
        <v>1170.26</v>
      </c>
      <c r="H42" s="623">
        <v>45231</v>
      </c>
      <c r="I42" s="611"/>
      <c r="J42" s="1566"/>
      <c r="K42" s="1564"/>
      <c r="L42" s="166"/>
    </row>
    <row r="43" spans="1:12" ht="15">
      <c r="A43" s="623"/>
      <c r="B43" s="623"/>
      <c r="C43" s="623"/>
      <c r="D43" s="624"/>
      <c r="E43" s="603"/>
      <c r="F43" s="604"/>
      <c r="G43" s="606"/>
      <c r="H43" s="623"/>
      <c r="I43" s="611"/>
      <c r="J43" s="1566"/>
      <c r="K43" s="1564"/>
      <c r="L43" s="166"/>
    </row>
    <row r="44" spans="1:12" ht="15">
      <c r="A44" s="623"/>
      <c r="B44" s="623"/>
      <c r="C44" s="623"/>
      <c r="D44" s="624"/>
      <c r="E44" s="603"/>
      <c r="F44" s="604"/>
      <c r="G44" s="606"/>
      <c r="H44" s="623"/>
      <c r="I44" s="611"/>
      <c r="J44" s="1440"/>
      <c r="K44" s="1439"/>
      <c r="L44" s="166"/>
    </row>
    <row r="45" spans="1:12" ht="15">
      <c r="A45" s="623"/>
      <c r="B45" s="623"/>
      <c r="C45" s="623"/>
      <c r="D45" s="624"/>
      <c r="E45" s="603"/>
      <c r="F45" s="604"/>
      <c r="G45" s="606"/>
      <c r="H45" s="623"/>
      <c r="I45" s="611"/>
      <c r="J45" s="1440"/>
      <c r="K45" s="1439"/>
      <c r="L45" s="166"/>
    </row>
    <row r="46" spans="1:12" ht="15">
      <c r="A46" s="623"/>
      <c r="B46" s="623"/>
      <c r="C46" s="623"/>
      <c r="D46" s="624"/>
      <c r="E46" s="603"/>
      <c r="F46" s="604"/>
      <c r="G46" s="606"/>
      <c r="H46" s="623"/>
      <c r="I46" s="611"/>
      <c r="J46" s="1440"/>
      <c r="K46" s="1439"/>
      <c r="L46" s="166"/>
    </row>
    <row r="47" spans="1:12" ht="15">
      <c r="A47" s="623"/>
      <c r="B47" s="623"/>
      <c r="C47" s="623"/>
      <c r="D47" s="624"/>
      <c r="E47" s="603"/>
      <c r="F47" s="604"/>
      <c r="G47" s="606"/>
      <c r="H47" s="623"/>
      <c r="I47" s="611"/>
      <c r="J47" s="1364"/>
      <c r="K47" s="1362"/>
      <c r="L47" s="166"/>
    </row>
    <row r="48" spans="1:12" ht="15">
      <c r="A48" s="623"/>
      <c r="B48" s="623"/>
      <c r="C48" s="623"/>
      <c r="D48" s="624"/>
      <c r="E48" s="603"/>
      <c r="F48" s="604"/>
      <c r="G48" s="606"/>
      <c r="H48" s="623"/>
      <c r="I48" s="611"/>
      <c r="J48" s="632"/>
      <c r="K48" s="587"/>
      <c r="L48" s="166"/>
    </row>
    <row r="49" spans="1:12" ht="15">
      <c r="A49" s="623"/>
      <c r="B49" s="623"/>
      <c r="C49" s="623"/>
      <c r="D49" s="624"/>
      <c r="E49" s="603"/>
      <c r="F49" s="604"/>
      <c r="G49" s="606"/>
      <c r="H49" s="623"/>
      <c r="I49" s="611"/>
      <c r="J49" s="632"/>
      <c r="K49" s="587"/>
      <c r="L49" s="166"/>
    </row>
    <row r="50" spans="1:12" ht="15">
      <c r="A50" s="632"/>
      <c r="B50" s="1126"/>
      <c r="C50" s="1126"/>
      <c r="D50" s="615"/>
      <c r="E50" s="795"/>
      <c r="F50" s="1144" t="s">
        <v>545</v>
      </c>
      <c r="G50" s="645">
        <f>SUM(G12:G49)-SUM(I12:I49)</f>
        <v>1170.2600000000166</v>
      </c>
      <c r="H50" s="632"/>
      <c r="I50" s="611"/>
      <c r="J50" s="632"/>
      <c r="K50" s="385"/>
      <c r="L50" s="166"/>
    </row>
    <row r="51" spans="1:12">
      <c r="A51" s="341"/>
      <c r="B51" s="341"/>
      <c r="C51" s="341"/>
      <c r="D51" s="342"/>
      <c r="E51" s="552"/>
      <c r="F51" s="554"/>
      <c r="G51" s="343"/>
    </row>
    <row r="52" spans="1:12">
      <c r="A52" s="341"/>
      <c r="B52" s="341"/>
      <c r="C52" s="341"/>
      <c r="D52" s="342"/>
      <c r="E52" s="552"/>
      <c r="F52" s="554"/>
      <c r="G52" s="343"/>
    </row>
    <row r="53" spans="1:12">
      <c r="D53" s="340"/>
      <c r="E53" s="552"/>
      <c r="F53" s="554"/>
      <c r="G53" s="343"/>
    </row>
    <row r="54" spans="1:12">
      <c r="D54" s="340"/>
      <c r="E54" s="552"/>
      <c r="F54" s="554"/>
      <c r="G54" s="343"/>
    </row>
    <row r="55" spans="1:12">
      <c r="D55" s="340"/>
      <c r="E55" s="552"/>
      <c r="F55" s="554"/>
    </row>
    <row r="56" spans="1:12">
      <c r="D56" s="340"/>
      <c r="E56" s="552"/>
      <c r="F56" s="554"/>
    </row>
    <row r="57" spans="1:12">
      <c r="D57" s="340"/>
      <c r="E57" s="552"/>
      <c r="F57" s="554"/>
    </row>
    <row r="58" spans="1:12">
      <c r="D58" s="340"/>
      <c r="E58" s="552"/>
      <c r="F58" s="554"/>
    </row>
    <row r="59" spans="1:12">
      <c r="D59" s="340"/>
      <c r="E59" s="552"/>
      <c r="F59" s="554"/>
    </row>
    <row r="60" spans="1:12">
      <c r="D60" s="340"/>
      <c r="E60" s="552"/>
      <c r="F60" s="554"/>
    </row>
    <row r="61" spans="1:12">
      <c r="D61" s="340"/>
      <c r="E61" s="552"/>
      <c r="F61" s="554"/>
    </row>
  </sheetData>
  <mergeCells count="30">
    <mergeCell ref="K40:K41"/>
    <mergeCell ref="J40:J41"/>
    <mergeCell ref="I40:I41"/>
    <mergeCell ref="I13:I17"/>
    <mergeCell ref="K13:K17"/>
    <mergeCell ref="J13:J17"/>
    <mergeCell ref="K24:K25"/>
    <mergeCell ref="I20:I23"/>
    <mergeCell ref="K20:K23"/>
    <mergeCell ref="J20:J23"/>
    <mergeCell ref="J24:J25"/>
    <mergeCell ref="I24:I25"/>
    <mergeCell ref="K30:K34"/>
    <mergeCell ref="J30:J34"/>
    <mergeCell ref="I30:I34"/>
    <mergeCell ref="K26:K29"/>
    <mergeCell ref="I2:I3"/>
    <mergeCell ref="I6:I7"/>
    <mergeCell ref="K2:K3"/>
    <mergeCell ref="K6:K7"/>
    <mergeCell ref="J2:J3"/>
    <mergeCell ref="J6:J7"/>
    <mergeCell ref="J26:J29"/>
    <mergeCell ref="I26:I29"/>
    <mergeCell ref="K38:K39"/>
    <mergeCell ref="J38:J39"/>
    <mergeCell ref="I38:I39"/>
    <mergeCell ref="K35:K37"/>
    <mergeCell ref="J35:J37"/>
    <mergeCell ref="I35:I37"/>
  </mergeCells>
  <phoneticPr fontId="15" type="noConversion"/>
  <hyperlinks>
    <hyperlink ref="F50" location="汇总!A1" display="剩余欠款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N102"/>
  <sheetViews>
    <sheetView zoomScaleSheetLayoutView="100" workbookViewId="0">
      <pane ySplit="1" topLeftCell="A81" activePane="bottomLeft" state="frozen"/>
      <selection activeCell="C33" sqref="C33"/>
      <selection pane="bottomLeft" activeCell="F99" sqref="F99"/>
    </sheetView>
  </sheetViews>
  <sheetFormatPr defaultRowHeight="13.5"/>
  <cols>
    <col min="1" max="1" width="13.25" style="344" customWidth="1"/>
    <col min="2" max="2" width="8.875" style="344" bestFit="1" customWidth="1"/>
    <col min="3" max="3" width="27.875" style="344" bestFit="1" customWidth="1"/>
    <col min="4" max="4" width="16.875" style="344" customWidth="1"/>
    <col min="5" max="5" width="11.375" style="203" bestFit="1" customWidth="1"/>
    <col min="6" max="6" width="11.875" style="556" customWidth="1"/>
    <col min="7" max="7" width="11.375" style="203" bestFit="1" customWidth="1"/>
    <col min="8" max="8" width="17.5" style="203" customWidth="1"/>
    <col min="9" max="9" width="13.25" style="375" customWidth="1"/>
    <col min="10" max="10" width="20.375" style="344" customWidth="1"/>
    <col min="11" max="11" width="30.125" style="344" customWidth="1"/>
    <col min="12" max="12" width="41.75" style="196" customWidth="1"/>
    <col min="13" max="16384" width="9" style="196"/>
  </cols>
  <sheetData>
    <row r="1" spans="1:12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6" t="s">
        <v>4101</v>
      </c>
      <c r="F1" s="510" t="s">
        <v>2719</v>
      </c>
      <c r="G1" s="256" t="s">
        <v>2721</v>
      </c>
      <c r="H1" s="256" t="s">
        <v>4099</v>
      </c>
      <c r="I1" s="374" t="s">
        <v>3043</v>
      </c>
      <c r="J1" s="257" t="s">
        <v>4100</v>
      </c>
      <c r="K1" s="257" t="s">
        <v>541</v>
      </c>
      <c r="L1" s="257" t="s">
        <v>542</v>
      </c>
    </row>
    <row r="2" spans="1:12" ht="15.75">
      <c r="A2" s="620">
        <v>43719</v>
      </c>
      <c r="B2" s="1124"/>
      <c r="C2" s="1124"/>
      <c r="D2" s="796" t="s">
        <v>1609</v>
      </c>
      <c r="E2" s="626">
        <v>4897.6000000000004</v>
      </c>
      <c r="F2" s="724">
        <v>0</v>
      </c>
      <c r="G2" s="626">
        <v>4897.6000000000004</v>
      </c>
      <c r="H2" s="620">
        <v>43720</v>
      </c>
      <c r="I2" s="696">
        <v>2448.8000000000002</v>
      </c>
      <c r="J2" s="673">
        <v>43724</v>
      </c>
      <c r="K2" s="252" t="s">
        <v>544</v>
      </c>
      <c r="L2" s="197" t="s">
        <v>1102</v>
      </c>
    </row>
    <row r="3" spans="1:12" ht="15.75">
      <c r="A3" s="620">
        <v>43983</v>
      </c>
      <c r="B3" s="1124"/>
      <c r="C3" s="1124"/>
      <c r="D3" s="796" t="s">
        <v>1610</v>
      </c>
      <c r="E3" s="626">
        <v>-734.64</v>
      </c>
      <c r="F3" s="724">
        <v>0</v>
      </c>
      <c r="G3" s="626">
        <v>1629.22</v>
      </c>
      <c r="H3" s="620">
        <v>43983</v>
      </c>
      <c r="I3" s="696">
        <v>1153</v>
      </c>
      <c r="J3" s="673">
        <v>43735</v>
      </c>
      <c r="K3" s="252" t="s">
        <v>550</v>
      </c>
      <c r="L3" s="197" t="s">
        <v>1611</v>
      </c>
    </row>
    <row r="4" spans="1:12" s="198" customFormat="1" ht="15.75">
      <c r="A4" s="620"/>
      <c r="B4" s="1124"/>
      <c r="C4" s="1124"/>
      <c r="D4" s="621" t="s">
        <v>3098</v>
      </c>
      <c r="E4" s="626"/>
      <c r="F4" s="724"/>
      <c r="G4" s="626">
        <v>561.16</v>
      </c>
      <c r="H4" s="620"/>
      <c r="I4" s="696">
        <v>-561.16</v>
      </c>
      <c r="J4" s="797"/>
      <c r="K4" s="345"/>
      <c r="L4" s="197" t="s">
        <v>1612</v>
      </c>
    </row>
    <row r="5" spans="1:12" ht="15.75">
      <c r="A5" s="620">
        <v>43721</v>
      </c>
      <c r="B5" s="1124"/>
      <c r="C5" s="1124"/>
      <c r="D5" s="796" t="s">
        <v>1613</v>
      </c>
      <c r="E5" s="626">
        <v>522.62</v>
      </c>
      <c r="F5" s="724">
        <v>0</v>
      </c>
      <c r="G5" s="626">
        <v>522.62</v>
      </c>
      <c r="H5" s="620">
        <v>43722</v>
      </c>
      <c r="I5" s="696">
        <v>522.62</v>
      </c>
      <c r="J5" s="673">
        <v>43727</v>
      </c>
      <c r="K5" s="252" t="s">
        <v>851</v>
      </c>
      <c r="L5" s="197" t="s">
        <v>1102</v>
      </c>
    </row>
    <row r="6" spans="1:12" ht="15.75">
      <c r="A6" s="620">
        <v>43797</v>
      </c>
      <c r="B6" s="1124"/>
      <c r="C6" s="1124"/>
      <c r="D6" s="796" t="s">
        <v>1614</v>
      </c>
      <c r="E6" s="626">
        <v>4910.5</v>
      </c>
      <c r="F6" s="724">
        <v>0</v>
      </c>
      <c r="G6" s="626">
        <v>4910.5</v>
      </c>
      <c r="H6" s="620"/>
      <c r="I6" s="696">
        <v>3170</v>
      </c>
      <c r="J6" s="673">
        <v>43890</v>
      </c>
      <c r="K6" s="253" t="s">
        <v>1615</v>
      </c>
      <c r="L6" s="197" t="s">
        <v>1616</v>
      </c>
    </row>
    <row r="7" spans="1:12" ht="15.75">
      <c r="A7" s="620">
        <v>43983</v>
      </c>
      <c r="B7" s="1124"/>
      <c r="C7" s="1124"/>
      <c r="D7" s="796" t="s">
        <v>1617</v>
      </c>
      <c r="E7" s="626">
        <v>-736.58</v>
      </c>
      <c r="F7" s="724">
        <v>0</v>
      </c>
      <c r="G7" s="626">
        <v>-736.58</v>
      </c>
      <c r="H7" s="620"/>
      <c r="I7" s="696">
        <v>1000</v>
      </c>
      <c r="J7" s="673">
        <v>43963</v>
      </c>
      <c r="K7" s="252" t="s">
        <v>851</v>
      </c>
      <c r="L7" s="197" t="s">
        <v>1618</v>
      </c>
    </row>
    <row r="8" spans="1:12" ht="15.75">
      <c r="A8" s="620">
        <v>43879</v>
      </c>
      <c r="B8" s="1124"/>
      <c r="C8" s="1124"/>
      <c r="D8" s="796" t="s">
        <v>1619</v>
      </c>
      <c r="E8" s="626">
        <v>9140.24</v>
      </c>
      <c r="F8" s="724">
        <v>0</v>
      </c>
      <c r="G8" s="626">
        <v>9140.24</v>
      </c>
      <c r="H8" s="620"/>
      <c r="I8" s="2036">
        <v>8783.52</v>
      </c>
      <c r="J8" s="1948">
        <v>44021</v>
      </c>
      <c r="K8" s="2179" t="s">
        <v>1620</v>
      </c>
      <c r="L8" s="197" t="s">
        <v>1616</v>
      </c>
    </row>
    <row r="9" spans="1:12" ht="15.75">
      <c r="A9" s="620">
        <v>43881</v>
      </c>
      <c r="B9" s="1124"/>
      <c r="C9" s="1124"/>
      <c r="D9" s="796" t="s">
        <v>1621</v>
      </c>
      <c r="E9" s="626">
        <v>100</v>
      </c>
      <c r="F9" s="724">
        <v>0</v>
      </c>
      <c r="G9" s="626">
        <v>100</v>
      </c>
      <c r="H9" s="620"/>
      <c r="I9" s="2036"/>
      <c r="J9" s="1948"/>
      <c r="K9" s="2179"/>
      <c r="L9" s="197" t="s">
        <v>1622</v>
      </c>
    </row>
    <row r="10" spans="1:12" ht="15.75">
      <c r="A10" s="620">
        <v>44021</v>
      </c>
      <c r="B10" s="1124"/>
      <c r="C10" s="1124"/>
      <c r="D10" s="796"/>
      <c r="E10" s="626"/>
      <c r="F10" s="724"/>
      <c r="G10" s="626">
        <v>-457.01</v>
      </c>
      <c r="H10" s="620"/>
      <c r="I10" s="2036"/>
      <c r="J10" s="1948"/>
      <c r="K10" s="2179"/>
      <c r="L10" s="197" t="s">
        <v>1623</v>
      </c>
    </row>
    <row r="11" spans="1:12" ht="15.75">
      <c r="A11" s="620">
        <v>43966</v>
      </c>
      <c r="B11" s="1124"/>
      <c r="C11" s="1124"/>
      <c r="D11" s="796" t="s">
        <v>1624</v>
      </c>
      <c r="E11" s="626">
        <v>1629.22</v>
      </c>
      <c r="F11" s="724">
        <v>0</v>
      </c>
      <c r="G11" s="626">
        <v>1629.22</v>
      </c>
      <c r="H11" s="620">
        <v>43970</v>
      </c>
      <c r="I11" s="2267">
        <v>5840.67</v>
      </c>
      <c r="J11" s="1948">
        <v>44069</v>
      </c>
      <c r="K11" s="2360" t="s">
        <v>1625</v>
      </c>
      <c r="L11" s="197" t="s">
        <v>1102</v>
      </c>
    </row>
    <row r="12" spans="1:12" ht="15.75">
      <c r="A12" s="620"/>
      <c r="B12" s="1124"/>
      <c r="C12" s="1124"/>
      <c r="D12" s="796"/>
      <c r="E12" s="626"/>
      <c r="F12" s="724"/>
      <c r="G12" s="626">
        <v>220</v>
      </c>
      <c r="H12" s="620"/>
      <c r="I12" s="2267"/>
      <c r="J12" s="1948"/>
      <c r="K12" s="2360"/>
      <c r="L12" s="197" t="s">
        <v>1626</v>
      </c>
    </row>
    <row r="13" spans="1:12" ht="15.75">
      <c r="A13" s="620">
        <v>43983</v>
      </c>
      <c r="B13" s="1124"/>
      <c r="C13" s="1124"/>
      <c r="D13" s="796" t="s">
        <v>1627</v>
      </c>
      <c r="E13" s="626">
        <v>573.44000000000005</v>
      </c>
      <c r="F13" s="724">
        <v>0</v>
      </c>
      <c r="G13" s="626">
        <v>573.44000000000005</v>
      </c>
      <c r="H13" s="620">
        <v>43983</v>
      </c>
      <c r="I13" s="2267"/>
      <c r="J13" s="1948"/>
      <c r="K13" s="2360"/>
      <c r="L13" s="197" t="s">
        <v>386</v>
      </c>
    </row>
    <row r="14" spans="1:12" ht="15.75">
      <c r="A14" s="620">
        <v>43992</v>
      </c>
      <c r="B14" s="1124"/>
      <c r="C14" s="1124"/>
      <c r="D14" s="796" t="s">
        <v>1628</v>
      </c>
      <c r="E14" s="626">
        <v>2039.24</v>
      </c>
      <c r="F14" s="724">
        <v>0</v>
      </c>
      <c r="G14" s="626">
        <v>2039.24</v>
      </c>
      <c r="H14" s="620">
        <v>43998</v>
      </c>
      <c r="I14" s="2267"/>
      <c r="J14" s="1948"/>
      <c r="K14" s="2360"/>
      <c r="L14" s="197" t="s">
        <v>386</v>
      </c>
    </row>
    <row r="15" spans="1:12" ht="15.75">
      <c r="A15" s="620">
        <v>43993</v>
      </c>
      <c r="B15" s="1124"/>
      <c r="C15" s="1124"/>
      <c r="D15" s="796" t="s">
        <v>1629</v>
      </c>
      <c r="E15" s="626">
        <v>123.2</v>
      </c>
      <c r="F15" s="724">
        <v>0</v>
      </c>
      <c r="G15" s="626">
        <v>123.2</v>
      </c>
      <c r="H15" s="620">
        <v>43998</v>
      </c>
      <c r="I15" s="2267"/>
      <c r="J15" s="1948"/>
      <c r="K15" s="2360"/>
      <c r="L15" s="197" t="s">
        <v>386</v>
      </c>
    </row>
    <row r="16" spans="1:12" ht="15.75">
      <c r="A16" s="620">
        <v>43993</v>
      </c>
      <c r="B16" s="1124"/>
      <c r="C16" s="1124"/>
      <c r="D16" s="796" t="s">
        <v>1630</v>
      </c>
      <c r="E16" s="626"/>
      <c r="F16" s="724"/>
      <c r="G16" s="626">
        <v>15229.34</v>
      </c>
      <c r="H16" s="620"/>
      <c r="I16" s="2267"/>
      <c r="J16" s="1948"/>
      <c r="K16" s="2360"/>
      <c r="L16" s="197" t="s">
        <v>400</v>
      </c>
    </row>
    <row r="17" spans="1:12" ht="15.75">
      <c r="A17" s="620"/>
      <c r="B17" s="1124"/>
      <c r="C17" s="1124"/>
      <c r="D17" s="621" t="s">
        <v>3098</v>
      </c>
      <c r="E17" s="626"/>
      <c r="F17" s="724"/>
      <c r="G17" s="626">
        <f>SUM(G11:G16)-I11</f>
        <v>13973.769999999999</v>
      </c>
      <c r="H17" s="620"/>
      <c r="I17" s="696">
        <v>5000</v>
      </c>
      <c r="J17" s="620" t="s">
        <v>2072</v>
      </c>
      <c r="K17" s="252" t="s">
        <v>1317</v>
      </c>
      <c r="L17" s="197"/>
    </row>
    <row r="18" spans="1:12" ht="15.75">
      <c r="A18" s="620"/>
      <c r="B18" s="1124"/>
      <c r="C18" s="1124"/>
      <c r="D18" s="621" t="s">
        <v>3098</v>
      </c>
      <c r="E18" s="626"/>
      <c r="F18" s="724"/>
      <c r="G18" s="626">
        <f>SUM(G17)-I17</f>
        <v>8973.7699999999986</v>
      </c>
      <c r="H18" s="620"/>
      <c r="I18" s="696">
        <v>8072.22</v>
      </c>
      <c r="J18" s="620" t="s">
        <v>2073</v>
      </c>
      <c r="K18" s="252" t="s">
        <v>885</v>
      </c>
      <c r="L18" s="197"/>
    </row>
    <row r="19" spans="1:12" ht="15.75">
      <c r="A19" s="620"/>
      <c r="B19" s="1124"/>
      <c r="C19" s="1124"/>
      <c r="D19" s="621" t="s">
        <v>3098</v>
      </c>
      <c r="E19" s="626"/>
      <c r="F19" s="724"/>
      <c r="G19" s="626">
        <f>G18-I18</f>
        <v>901.54999999999836</v>
      </c>
      <c r="H19" s="620"/>
      <c r="I19" s="2267">
        <v>2214.2199999999998</v>
      </c>
      <c r="J19" s="1948" t="s">
        <v>2074</v>
      </c>
      <c r="K19" s="2360" t="s">
        <v>885</v>
      </c>
      <c r="L19" s="197"/>
    </row>
    <row r="20" spans="1:12" ht="15.75">
      <c r="A20" s="620">
        <v>44000</v>
      </c>
      <c r="B20" s="1124"/>
      <c r="C20" s="1124"/>
      <c r="D20" s="796" t="s">
        <v>1631</v>
      </c>
      <c r="E20" s="626">
        <v>120</v>
      </c>
      <c r="F20" s="724">
        <v>0</v>
      </c>
      <c r="G20" s="626">
        <v>120</v>
      </c>
      <c r="H20" s="620">
        <v>44004</v>
      </c>
      <c r="I20" s="2267"/>
      <c r="J20" s="1948"/>
      <c r="K20" s="2360"/>
      <c r="L20" s="197" t="s">
        <v>386</v>
      </c>
    </row>
    <row r="21" spans="1:12" ht="15.75">
      <c r="A21" s="620">
        <v>44022</v>
      </c>
      <c r="B21" s="1124"/>
      <c r="C21" s="1124"/>
      <c r="D21" s="796" t="s">
        <v>1632</v>
      </c>
      <c r="E21" s="626"/>
      <c r="F21" s="724"/>
      <c r="G21" s="626">
        <v>8977.17</v>
      </c>
      <c r="H21" s="620"/>
      <c r="I21" s="2267"/>
      <c r="J21" s="1948"/>
      <c r="K21" s="2360"/>
      <c r="L21" s="197" t="s">
        <v>1633</v>
      </c>
    </row>
    <row r="22" spans="1:12" ht="15.75">
      <c r="A22" s="620"/>
      <c r="B22" s="1124"/>
      <c r="C22" s="1124"/>
      <c r="D22" s="621" t="s">
        <v>3098</v>
      </c>
      <c r="E22" s="626"/>
      <c r="F22" s="724"/>
      <c r="G22" s="626">
        <f>G19+G20+G21-I19</f>
        <v>7784.4999999999982</v>
      </c>
      <c r="H22" s="620"/>
      <c r="I22" s="696">
        <v>7000</v>
      </c>
      <c r="J22" s="620" t="s">
        <v>1634</v>
      </c>
      <c r="K22" s="252" t="s">
        <v>1635</v>
      </c>
      <c r="L22" s="197"/>
    </row>
    <row r="23" spans="1:12" ht="15.75">
      <c r="A23" s="620"/>
      <c r="B23" s="1124"/>
      <c r="C23" s="1124"/>
      <c r="D23" s="621" t="s">
        <v>3098</v>
      </c>
      <c r="E23" s="626"/>
      <c r="F23" s="724"/>
      <c r="G23" s="626">
        <f>G22-I22</f>
        <v>784.49999999999818</v>
      </c>
      <c r="H23" s="620"/>
      <c r="I23" s="2267">
        <v>4281.8</v>
      </c>
      <c r="J23" s="1948" t="s">
        <v>1636</v>
      </c>
      <c r="K23" s="2360" t="s">
        <v>885</v>
      </c>
      <c r="L23" s="197"/>
    </row>
    <row r="24" spans="1:12" ht="15.75">
      <c r="A24" s="620">
        <v>44063</v>
      </c>
      <c r="B24" s="1124"/>
      <c r="C24" s="1124"/>
      <c r="D24" s="796" t="s">
        <v>1637</v>
      </c>
      <c r="E24" s="626">
        <v>2547.19</v>
      </c>
      <c r="F24" s="724">
        <v>0</v>
      </c>
      <c r="G24" s="626">
        <v>2547.19</v>
      </c>
      <c r="H24" s="620">
        <v>44068</v>
      </c>
      <c r="I24" s="2267"/>
      <c r="J24" s="1948"/>
      <c r="K24" s="2360"/>
      <c r="L24" s="197" t="s">
        <v>386</v>
      </c>
    </row>
    <row r="25" spans="1:12" ht="15.75">
      <c r="A25" s="620">
        <v>44069</v>
      </c>
      <c r="B25" s="1124"/>
      <c r="C25" s="1124"/>
      <c r="D25" s="796" t="s">
        <v>1638</v>
      </c>
      <c r="E25" s="626"/>
      <c r="F25" s="724"/>
      <c r="G25" s="626">
        <v>4712.84</v>
      </c>
      <c r="H25" s="620"/>
      <c r="I25" s="2267"/>
      <c r="J25" s="1948"/>
      <c r="K25" s="2360"/>
      <c r="L25" s="197" t="s">
        <v>1633</v>
      </c>
    </row>
    <row r="26" spans="1:12" ht="15.75">
      <c r="A26" s="620"/>
      <c r="B26" s="1124"/>
      <c r="C26" s="1124"/>
      <c r="D26" s="621" t="s">
        <v>3098</v>
      </c>
      <c r="E26" s="626"/>
      <c r="F26" s="724"/>
      <c r="G26" s="626">
        <f>G23+G24+G25-I23</f>
        <v>3762.7299999999987</v>
      </c>
      <c r="H26" s="620"/>
      <c r="I26" s="696">
        <v>2474.7600000000002</v>
      </c>
      <c r="J26" s="620" t="s">
        <v>1639</v>
      </c>
      <c r="K26" s="252" t="s">
        <v>885</v>
      </c>
      <c r="L26" s="197"/>
    </row>
    <row r="27" spans="1:12" ht="15.75">
      <c r="A27" s="620"/>
      <c r="B27" s="1124"/>
      <c r="C27" s="1124"/>
      <c r="D27" s="621" t="s">
        <v>3098</v>
      </c>
      <c r="E27" s="626"/>
      <c r="F27" s="724"/>
      <c r="G27" s="626">
        <f>G26-I26</f>
        <v>1287.9699999999984</v>
      </c>
      <c r="H27" s="620"/>
      <c r="I27" s="2267">
        <v>7000</v>
      </c>
      <c r="J27" s="1948">
        <v>44382</v>
      </c>
      <c r="K27" s="2360" t="s">
        <v>550</v>
      </c>
      <c r="L27" s="197"/>
    </row>
    <row r="28" spans="1:12" ht="15.75">
      <c r="A28" s="620">
        <v>44069</v>
      </c>
      <c r="B28" s="1124"/>
      <c r="C28" s="1124"/>
      <c r="D28" s="796" t="s">
        <v>1640</v>
      </c>
      <c r="E28" s="626">
        <v>56.88</v>
      </c>
      <c r="F28" s="724">
        <v>0</v>
      </c>
      <c r="G28" s="626">
        <v>56.88</v>
      </c>
      <c r="H28" s="620"/>
      <c r="I28" s="2267"/>
      <c r="J28" s="1948"/>
      <c r="K28" s="2360"/>
      <c r="L28" s="197" t="s">
        <v>1633</v>
      </c>
    </row>
    <row r="29" spans="1:12" ht="15.75">
      <c r="A29" s="620">
        <v>44075</v>
      </c>
      <c r="B29" s="1124"/>
      <c r="C29" s="1124"/>
      <c r="D29" s="796" t="s">
        <v>1641</v>
      </c>
      <c r="E29" s="626">
        <v>1001.52</v>
      </c>
      <c r="F29" s="724">
        <v>0</v>
      </c>
      <c r="G29" s="626">
        <v>1001.52</v>
      </c>
      <c r="H29" s="620">
        <v>44082</v>
      </c>
      <c r="I29" s="2267"/>
      <c r="J29" s="1948"/>
      <c r="K29" s="2360"/>
      <c r="L29" s="197" t="s">
        <v>1642</v>
      </c>
    </row>
    <row r="30" spans="1:12" ht="15.75">
      <c r="A30" s="620">
        <v>44077</v>
      </c>
      <c r="B30" s="1124"/>
      <c r="C30" s="1124"/>
      <c r="D30" s="796" t="s">
        <v>1643</v>
      </c>
      <c r="E30" s="626">
        <v>360</v>
      </c>
      <c r="F30" s="724">
        <v>0</v>
      </c>
      <c r="G30" s="626">
        <v>360</v>
      </c>
      <c r="H30" s="620">
        <v>44082</v>
      </c>
      <c r="I30" s="2267"/>
      <c r="J30" s="1948"/>
      <c r="K30" s="2360"/>
      <c r="L30" s="197" t="s">
        <v>1644</v>
      </c>
    </row>
    <row r="31" spans="1:12" ht="15.75">
      <c r="A31" s="620">
        <v>44081</v>
      </c>
      <c r="B31" s="1124"/>
      <c r="C31" s="1124"/>
      <c r="D31" s="796" t="s">
        <v>1645</v>
      </c>
      <c r="E31" s="626">
        <v>160</v>
      </c>
      <c r="F31" s="724">
        <v>0</v>
      </c>
      <c r="G31" s="626">
        <v>160</v>
      </c>
      <c r="H31" s="620">
        <v>44081</v>
      </c>
      <c r="I31" s="2267"/>
      <c r="J31" s="1948"/>
      <c r="K31" s="2360"/>
      <c r="L31" s="197" t="s">
        <v>1646</v>
      </c>
    </row>
    <row r="32" spans="1:12" ht="15.75">
      <c r="A32" s="620">
        <v>44146</v>
      </c>
      <c r="B32" s="1124"/>
      <c r="C32" s="1124"/>
      <c r="D32" s="796" t="s">
        <v>1647</v>
      </c>
      <c r="E32" s="626">
        <v>1976.01</v>
      </c>
      <c r="F32" s="724">
        <v>0</v>
      </c>
      <c r="G32" s="626">
        <v>1976.01</v>
      </c>
      <c r="H32" s="620">
        <v>44152</v>
      </c>
      <c r="I32" s="2267"/>
      <c r="J32" s="1948"/>
      <c r="K32" s="2360"/>
      <c r="L32" s="197" t="s">
        <v>1648</v>
      </c>
    </row>
    <row r="33" spans="1:12" ht="15.75">
      <c r="A33" s="620">
        <v>44159</v>
      </c>
      <c r="B33" s="1124"/>
      <c r="C33" s="1124"/>
      <c r="D33" s="796" t="s">
        <v>1649</v>
      </c>
      <c r="E33" s="626">
        <v>3250.24</v>
      </c>
      <c r="F33" s="724">
        <v>0</v>
      </c>
      <c r="G33" s="626">
        <v>3250.24</v>
      </c>
      <c r="H33" s="620">
        <v>44166</v>
      </c>
      <c r="I33" s="2267"/>
      <c r="J33" s="1948"/>
      <c r="K33" s="2360"/>
      <c r="L33" s="197"/>
    </row>
    <row r="34" spans="1:12" ht="15.75">
      <c r="A34" s="620"/>
      <c r="B34" s="1124"/>
      <c r="C34" s="1124"/>
      <c r="D34" s="621" t="s">
        <v>3098</v>
      </c>
      <c r="E34" s="626"/>
      <c r="F34" s="724"/>
      <c r="G34" s="626">
        <f>G27+G28+G29+G30+G31+G32+G33-I27</f>
        <v>1092.6199999999981</v>
      </c>
      <c r="H34" s="620"/>
      <c r="I34" s="2267">
        <v>1746.94</v>
      </c>
      <c r="J34" s="620"/>
      <c r="K34" s="252"/>
      <c r="L34" s="197"/>
    </row>
    <row r="35" spans="1:12" ht="15.75">
      <c r="A35" s="620">
        <v>44218</v>
      </c>
      <c r="B35" s="1124"/>
      <c r="C35" s="1124"/>
      <c r="D35" s="796" t="s">
        <v>1650</v>
      </c>
      <c r="E35" s="626">
        <v>18035.29</v>
      </c>
      <c r="F35" s="724">
        <v>0</v>
      </c>
      <c r="G35" s="626">
        <v>0</v>
      </c>
      <c r="H35" s="620">
        <v>44222</v>
      </c>
      <c r="I35" s="2267"/>
      <c r="J35" s="798"/>
      <c r="K35" s="373" t="s">
        <v>2077</v>
      </c>
      <c r="L35" s="197" t="s">
        <v>1651</v>
      </c>
    </row>
    <row r="36" spans="1:12" ht="15.75">
      <c r="A36" s="620">
        <v>44256</v>
      </c>
      <c r="B36" s="1124"/>
      <c r="C36" s="1124"/>
      <c r="D36" s="796" t="s">
        <v>1652</v>
      </c>
      <c r="E36" s="626">
        <v>2221.4699999999998</v>
      </c>
      <c r="F36" s="724">
        <v>0</v>
      </c>
      <c r="G36" s="626">
        <v>2221.4699999999998</v>
      </c>
      <c r="H36" s="620">
        <v>44256</v>
      </c>
      <c r="I36" s="2267"/>
      <c r="J36" s="620"/>
      <c r="K36" s="252"/>
      <c r="L36" s="197" t="s">
        <v>1653</v>
      </c>
    </row>
    <row r="37" spans="1:12" ht="15.75">
      <c r="A37" s="620"/>
      <c r="B37" s="1124"/>
      <c r="C37" s="1124"/>
      <c r="D37" s="621" t="s">
        <v>3098</v>
      </c>
      <c r="E37" s="626"/>
      <c r="F37" s="724"/>
      <c r="G37" s="626">
        <f>SUM(G34:G36)-I34</f>
        <v>1567.1499999999978</v>
      </c>
      <c r="H37" s="620"/>
      <c r="I37" s="2267">
        <v>5000</v>
      </c>
      <c r="J37" s="1948">
        <v>44424</v>
      </c>
      <c r="K37" s="2360" t="s">
        <v>550</v>
      </c>
      <c r="L37" s="197"/>
    </row>
    <row r="38" spans="1:12" ht="15.75">
      <c r="A38" s="620">
        <v>44271</v>
      </c>
      <c r="B38" s="1124"/>
      <c r="C38" s="1124"/>
      <c r="D38" s="799" t="s">
        <v>1654</v>
      </c>
      <c r="E38" s="626">
        <v>1859.57</v>
      </c>
      <c r="F38" s="724">
        <v>0</v>
      </c>
      <c r="G38" s="626">
        <v>1859.57</v>
      </c>
      <c r="H38" s="620">
        <v>44278</v>
      </c>
      <c r="I38" s="2267"/>
      <c r="J38" s="1948"/>
      <c r="K38" s="2360"/>
      <c r="L38" s="197" t="s">
        <v>1653</v>
      </c>
    </row>
    <row r="39" spans="1:12" ht="15.75">
      <c r="A39" s="620">
        <v>44299</v>
      </c>
      <c r="B39" s="1124"/>
      <c r="C39" s="1124"/>
      <c r="D39" s="796" t="s">
        <v>1655</v>
      </c>
      <c r="E39" s="626">
        <v>2651.64</v>
      </c>
      <c r="F39" s="724">
        <v>0</v>
      </c>
      <c r="G39" s="626">
        <v>2651</v>
      </c>
      <c r="H39" s="620">
        <v>44299</v>
      </c>
      <c r="I39" s="2267"/>
      <c r="J39" s="1948"/>
      <c r="K39" s="2360"/>
      <c r="L39" s="197" t="s">
        <v>1648</v>
      </c>
    </row>
    <row r="40" spans="1:12" ht="15.75">
      <c r="A40" s="620"/>
      <c r="B40" s="1124"/>
      <c r="C40" s="1124"/>
      <c r="D40" s="621" t="s">
        <v>3098</v>
      </c>
      <c r="E40" s="626"/>
      <c r="F40" s="724"/>
      <c r="G40" s="626">
        <f>G37+G38+G39-I37</f>
        <v>1077.7199999999975</v>
      </c>
      <c r="H40" s="620"/>
      <c r="I40" s="696">
        <v>416</v>
      </c>
      <c r="J40" s="620">
        <v>44426</v>
      </c>
      <c r="K40" s="252" t="s">
        <v>544</v>
      </c>
      <c r="L40" s="197"/>
    </row>
    <row r="41" spans="1:12" ht="15.75">
      <c r="A41" s="620"/>
      <c r="B41" s="1124"/>
      <c r="C41" s="1124"/>
      <c r="D41" s="621" t="s">
        <v>3098</v>
      </c>
      <c r="E41" s="626"/>
      <c r="F41" s="724"/>
      <c r="G41" s="626">
        <f>G40-I40</f>
        <v>661.71999999999753</v>
      </c>
      <c r="H41" s="620"/>
      <c r="I41" s="2267">
        <v>2221.4699999999998</v>
      </c>
      <c r="J41" s="1948">
        <v>44442</v>
      </c>
      <c r="K41" s="2360" t="s">
        <v>544</v>
      </c>
      <c r="L41" s="197"/>
    </row>
    <row r="42" spans="1:12" ht="15.75">
      <c r="A42" s="620">
        <v>44313</v>
      </c>
      <c r="B42" s="1124"/>
      <c r="C42" s="1124"/>
      <c r="D42" s="796" t="s">
        <v>1656</v>
      </c>
      <c r="E42" s="626">
        <v>1684.09</v>
      </c>
      <c r="F42" s="724">
        <v>0</v>
      </c>
      <c r="G42" s="626">
        <v>1684.09</v>
      </c>
      <c r="H42" s="620">
        <v>44313</v>
      </c>
      <c r="I42" s="2267"/>
      <c r="J42" s="1948"/>
      <c r="K42" s="2360"/>
      <c r="L42" s="197" t="s">
        <v>1648</v>
      </c>
    </row>
    <row r="43" spans="1:12" ht="15.75">
      <c r="A43" s="620">
        <v>44329.999490740738</v>
      </c>
      <c r="B43" s="1124"/>
      <c r="C43" s="1124"/>
      <c r="D43" s="796" t="s">
        <v>1657</v>
      </c>
      <c r="E43" s="626">
        <v>-33.28</v>
      </c>
      <c r="F43" s="724">
        <v>0</v>
      </c>
      <c r="G43" s="626">
        <v>-33.28</v>
      </c>
      <c r="H43" s="620" t="s">
        <v>1529</v>
      </c>
      <c r="I43" s="2267"/>
      <c r="J43" s="1948"/>
      <c r="K43" s="2360"/>
      <c r="L43" s="197" t="s">
        <v>1658</v>
      </c>
    </row>
    <row r="44" spans="1:12" ht="15.75">
      <c r="A44" s="620">
        <v>44329.999490740738</v>
      </c>
      <c r="B44" s="1124"/>
      <c r="C44" s="1124"/>
      <c r="D44" s="796" t="s">
        <v>1659</v>
      </c>
      <c r="E44" s="626">
        <v>-20.57</v>
      </c>
      <c r="F44" s="724">
        <v>0</v>
      </c>
      <c r="G44" s="626">
        <v>-20.57</v>
      </c>
      <c r="H44" s="620" t="s">
        <v>1529</v>
      </c>
      <c r="I44" s="2267"/>
      <c r="J44" s="1948"/>
      <c r="K44" s="2360"/>
      <c r="L44" s="197" t="s">
        <v>1658</v>
      </c>
    </row>
    <row r="45" spans="1:12" ht="15.75">
      <c r="A45" s="620">
        <v>44329.999490740738</v>
      </c>
      <c r="B45" s="1124"/>
      <c r="C45" s="1124"/>
      <c r="D45" s="796" t="s">
        <v>1660</v>
      </c>
      <c r="E45" s="626">
        <v>-4.6500000000000004</v>
      </c>
      <c r="F45" s="724">
        <v>0</v>
      </c>
      <c r="G45" s="626">
        <v>-4.6500000000000004</v>
      </c>
      <c r="H45" s="620" t="s">
        <v>1529</v>
      </c>
      <c r="I45" s="2267"/>
      <c r="J45" s="1948"/>
      <c r="K45" s="2360"/>
      <c r="L45" s="197" t="s">
        <v>1658</v>
      </c>
    </row>
    <row r="46" spans="1:12" ht="15.75">
      <c r="A46" s="620">
        <v>44329.999490740738</v>
      </c>
      <c r="B46" s="1124"/>
      <c r="C46" s="1124"/>
      <c r="D46" s="796" t="s">
        <v>1661</v>
      </c>
      <c r="E46" s="626">
        <v>-8.58</v>
      </c>
      <c r="F46" s="724">
        <v>0</v>
      </c>
      <c r="G46" s="626">
        <v>-8.58</v>
      </c>
      <c r="H46" s="620" t="s">
        <v>1529</v>
      </c>
      <c r="I46" s="2267"/>
      <c r="J46" s="1948"/>
      <c r="K46" s="2360"/>
      <c r="L46" s="197" t="s">
        <v>1658</v>
      </c>
    </row>
    <row r="47" spans="1:12" ht="15.75">
      <c r="A47" s="620">
        <v>44329.999490740738</v>
      </c>
      <c r="B47" s="1124"/>
      <c r="C47" s="1124"/>
      <c r="D47" s="796" t="s">
        <v>1662</v>
      </c>
      <c r="E47" s="626">
        <v>-31.14</v>
      </c>
      <c r="F47" s="724">
        <v>0</v>
      </c>
      <c r="G47" s="626">
        <v>-31.14</v>
      </c>
      <c r="H47" s="620" t="s">
        <v>1529</v>
      </c>
      <c r="I47" s="2267"/>
      <c r="J47" s="1948"/>
      <c r="K47" s="2360"/>
      <c r="L47" s="197" t="s">
        <v>1658</v>
      </c>
    </row>
    <row r="48" spans="1:12" ht="15.75">
      <c r="A48" s="620">
        <v>44329.999490740738</v>
      </c>
      <c r="B48" s="1124"/>
      <c r="C48" s="1124"/>
      <c r="D48" s="796" t="s">
        <v>1663</v>
      </c>
      <c r="E48" s="626">
        <v>-3.48</v>
      </c>
      <c r="F48" s="724">
        <v>0</v>
      </c>
      <c r="G48" s="626">
        <v>-3.48</v>
      </c>
      <c r="H48" s="620" t="s">
        <v>1529</v>
      </c>
      <c r="I48" s="2267"/>
      <c r="J48" s="1948"/>
      <c r="K48" s="2360"/>
      <c r="L48" s="197" t="s">
        <v>1658</v>
      </c>
    </row>
    <row r="49" spans="1:12" ht="15.75">
      <c r="A49" s="620">
        <v>44329.999490740738</v>
      </c>
      <c r="B49" s="1124"/>
      <c r="C49" s="1124"/>
      <c r="D49" s="796" t="s">
        <v>1664</v>
      </c>
      <c r="E49" s="626">
        <v>-80.67</v>
      </c>
      <c r="F49" s="724">
        <v>0</v>
      </c>
      <c r="G49" s="626">
        <v>-80.66</v>
      </c>
      <c r="H49" s="620" t="s">
        <v>1529</v>
      </c>
      <c r="I49" s="2267"/>
      <c r="J49" s="1948"/>
      <c r="K49" s="2360"/>
      <c r="L49" s="197" t="s">
        <v>1658</v>
      </c>
    </row>
    <row r="50" spans="1:12" ht="15.75">
      <c r="A50" s="620"/>
      <c r="B50" s="1124"/>
      <c r="C50" s="1124"/>
      <c r="D50" s="621" t="s">
        <v>3098</v>
      </c>
      <c r="E50" s="626"/>
      <c r="F50" s="724"/>
      <c r="G50" s="626">
        <f>G41+G42+G43+G44+G45+G46+G47+G48+G49-I41</f>
        <v>-58.020000000002256</v>
      </c>
      <c r="H50" s="620"/>
      <c r="I50" s="2267">
        <v>1859.57</v>
      </c>
      <c r="J50" s="1948">
        <v>44462</v>
      </c>
      <c r="K50" s="2360" t="s">
        <v>544</v>
      </c>
      <c r="L50" s="197"/>
    </row>
    <row r="51" spans="1:12" ht="15.75">
      <c r="A51" s="620">
        <v>44335</v>
      </c>
      <c r="B51" s="1124"/>
      <c r="C51" s="1124"/>
      <c r="D51" s="796" t="s">
        <v>1665</v>
      </c>
      <c r="E51" s="626">
        <v>4281.8</v>
      </c>
      <c r="F51" s="724">
        <v>0</v>
      </c>
      <c r="G51" s="626">
        <v>4281.8</v>
      </c>
      <c r="H51" s="620">
        <v>44342</v>
      </c>
      <c r="I51" s="2267"/>
      <c r="J51" s="1948"/>
      <c r="K51" s="2360"/>
      <c r="L51" s="199" t="s">
        <v>1666</v>
      </c>
    </row>
    <row r="52" spans="1:12" ht="15.75">
      <c r="A52" s="620">
        <v>44370</v>
      </c>
      <c r="B52" s="1124"/>
      <c r="C52" s="1124"/>
      <c r="D52" s="796" t="s">
        <v>1667</v>
      </c>
      <c r="E52" s="626">
        <v>5871.72</v>
      </c>
      <c r="F52" s="724">
        <v>0</v>
      </c>
      <c r="G52" s="626">
        <v>5871.72</v>
      </c>
      <c r="H52" s="620">
        <v>44377</v>
      </c>
      <c r="I52" s="696">
        <v>5871.72</v>
      </c>
      <c r="J52" s="620">
        <v>44488</v>
      </c>
      <c r="K52" s="252" t="s">
        <v>544</v>
      </c>
      <c r="L52" s="199" t="s">
        <v>1648</v>
      </c>
    </row>
    <row r="53" spans="1:12" ht="15.75">
      <c r="A53" s="620"/>
      <c r="B53" s="1124"/>
      <c r="C53" s="1124"/>
      <c r="D53" s="621" t="s">
        <v>3098</v>
      </c>
      <c r="E53" s="626"/>
      <c r="F53" s="724"/>
      <c r="G53" s="626">
        <f>SUM(G50:G51)-I50</f>
        <v>2364.2099999999982</v>
      </c>
      <c r="H53" s="620"/>
      <c r="I53" s="2267">
        <v>4288.72</v>
      </c>
      <c r="J53" s="1948">
        <v>44526</v>
      </c>
      <c r="K53" s="2360" t="s">
        <v>544</v>
      </c>
      <c r="L53" s="199"/>
    </row>
    <row r="54" spans="1:12" ht="15.75">
      <c r="A54" s="620">
        <v>44350</v>
      </c>
      <c r="B54" s="1124"/>
      <c r="C54" s="1124"/>
      <c r="D54" s="796" t="s">
        <v>1668</v>
      </c>
      <c r="E54" s="626">
        <v>3422.81</v>
      </c>
      <c r="F54" s="724">
        <v>0</v>
      </c>
      <c r="G54" s="626">
        <v>3422.81</v>
      </c>
      <c r="H54" s="620">
        <v>44357</v>
      </c>
      <c r="I54" s="2267"/>
      <c r="J54" s="1948"/>
      <c r="K54" s="2360"/>
      <c r="L54" s="199" t="s">
        <v>1648</v>
      </c>
    </row>
    <row r="55" spans="1:12" ht="15.75">
      <c r="A55" s="620"/>
      <c r="B55" s="1124"/>
      <c r="C55" s="1124"/>
      <c r="D55" s="621" t="s">
        <v>3098</v>
      </c>
      <c r="E55" s="626"/>
      <c r="F55" s="724"/>
      <c r="G55" s="626">
        <f>SUM(G53:G54)-I53</f>
        <v>1498.2999999999984</v>
      </c>
      <c r="H55" s="620"/>
      <c r="I55" s="2267">
        <v>3017.5</v>
      </c>
      <c r="J55" s="1948">
        <v>44560</v>
      </c>
      <c r="K55" s="2360" t="s">
        <v>544</v>
      </c>
      <c r="L55" s="199"/>
    </row>
    <row r="56" spans="1:12" ht="15.75">
      <c r="A56" s="620">
        <v>44370</v>
      </c>
      <c r="B56" s="1124"/>
      <c r="C56" s="1124"/>
      <c r="D56" s="796" t="s">
        <v>1669</v>
      </c>
      <c r="E56" s="626">
        <v>2474.7600000000002</v>
      </c>
      <c r="F56" s="724">
        <v>0</v>
      </c>
      <c r="G56" s="626">
        <v>2474.7600000000002</v>
      </c>
      <c r="H56" s="620">
        <v>44377</v>
      </c>
      <c r="I56" s="2267"/>
      <c r="J56" s="1948"/>
      <c r="K56" s="2360"/>
      <c r="L56" s="199" t="s">
        <v>1670</v>
      </c>
    </row>
    <row r="57" spans="1:12" ht="15.75">
      <c r="A57" s="620"/>
      <c r="B57" s="1124"/>
      <c r="C57" s="1124"/>
      <c r="D57" s="621" t="s">
        <v>3098</v>
      </c>
      <c r="E57" s="626"/>
      <c r="F57" s="724"/>
      <c r="G57" s="626">
        <f>SUM(G55:G56)-I55</f>
        <v>955.55999999999858</v>
      </c>
      <c r="H57" s="620"/>
      <c r="I57" s="696">
        <v>1000</v>
      </c>
      <c r="J57" s="664">
        <v>44585</v>
      </c>
      <c r="K57" s="252"/>
      <c r="L57" s="199"/>
    </row>
    <row r="58" spans="1:12" ht="15.75">
      <c r="A58" s="620"/>
      <c r="B58" s="1124"/>
      <c r="C58" s="1124"/>
      <c r="D58" s="621" t="s">
        <v>3098</v>
      </c>
      <c r="E58" s="626"/>
      <c r="F58" s="724"/>
      <c r="G58" s="626">
        <f>SUM(G57)-I57</f>
        <v>-44.440000000001419</v>
      </c>
      <c r="H58" s="620"/>
      <c r="I58" s="2083">
        <v>980</v>
      </c>
      <c r="J58" s="2008">
        <v>44600</v>
      </c>
      <c r="K58" s="2357" t="s">
        <v>550</v>
      </c>
      <c r="L58" s="199"/>
    </row>
    <row r="59" spans="1:12" ht="15.75">
      <c r="A59" s="620">
        <v>43983</v>
      </c>
      <c r="B59" s="1124"/>
      <c r="C59" s="1124"/>
      <c r="D59" s="796" t="s">
        <v>1671</v>
      </c>
      <c r="E59" s="626">
        <v>-78.39</v>
      </c>
      <c r="F59" s="724">
        <v>0</v>
      </c>
      <c r="G59" s="626">
        <v>-78.39</v>
      </c>
      <c r="H59" s="620">
        <v>43990</v>
      </c>
      <c r="I59" s="2084"/>
      <c r="J59" s="2009"/>
      <c r="K59" s="2358"/>
      <c r="L59" s="197"/>
    </row>
    <row r="60" spans="1:12" ht="15.75">
      <c r="A60" s="620">
        <v>44396</v>
      </c>
      <c r="B60" s="1124"/>
      <c r="C60" s="1124"/>
      <c r="D60" s="796" t="s">
        <v>2076</v>
      </c>
      <c r="E60" s="626">
        <v>1746.94</v>
      </c>
      <c r="F60" s="724">
        <v>0</v>
      </c>
      <c r="G60" s="626">
        <v>1746.94</v>
      </c>
      <c r="H60" s="620"/>
      <c r="I60" s="2085"/>
      <c r="J60" s="2010"/>
      <c r="K60" s="2359"/>
      <c r="L60" s="199" t="s">
        <v>1672</v>
      </c>
    </row>
    <row r="61" spans="1:12" ht="27">
      <c r="A61" s="620">
        <v>44400</v>
      </c>
      <c r="B61" s="1124"/>
      <c r="C61" s="1124"/>
      <c r="D61" s="796"/>
      <c r="E61" s="626"/>
      <c r="F61" s="724"/>
      <c r="G61" s="626">
        <v>0</v>
      </c>
      <c r="H61" s="620"/>
      <c r="I61" s="696">
        <v>0.25</v>
      </c>
      <c r="J61" s="673">
        <v>44654</v>
      </c>
      <c r="K61" s="383" t="s">
        <v>2075</v>
      </c>
      <c r="L61" s="197" t="s">
        <v>1673</v>
      </c>
    </row>
    <row r="62" spans="1:12" ht="15.75">
      <c r="A62" s="620"/>
      <c r="B62" s="1124"/>
      <c r="C62" s="1124"/>
      <c r="D62" s="796" t="s">
        <v>3098</v>
      </c>
      <c r="E62" s="626"/>
      <c r="F62" s="724"/>
      <c r="G62" s="626">
        <f>SUM(G58:G61)-I58</f>
        <v>644.10999999999854</v>
      </c>
      <c r="H62" s="620"/>
      <c r="I62" s="2361" t="s">
        <v>3126</v>
      </c>
      <c r="J62" s="2017">
        <v>44654</v>
      </c>
      <c r="K62" s="2364" t="s">
        <v>1819</v>
      </c>
      <c r="L62" s="197"/>
    </row>
    <row r="63" spans="1:12" ht="15.75">
      <c r="A63" s="620">
        <v>44421</v>
      </c>
      <c r="B63" s="1124"/>
      <c r="C63" s="1124"/>
      <c r="D63" s="796" t="s">
        <v>1674</v>
      </c>
      <c r="E63" s="626">
        <v>2086.11</v>
      </c>
      <c r="F63" s="724">
        <v>0</v>
      </c>
      <c r="G63" s="626">
        <v>2086.11</v>
      </c>
      <c r="H63" s="620">
        <v>44425</v>
      </c>
      <c r="I63" s="2362"/>
      <c r="J63" s="2018"/>
      <c r="K63" s="2365"/>
      <c r="L63" s="197" t="s">
        <v>674</v>
      </c>
    </row>
    <row r="64" spans="1:12" ht="15.75">
      <c r="A64" s="620">
        <v>44421</v>
      </c>
      <c r="B64" s="1124"/>
      <c r="C64" s="1124"/>
      <c r="D64" s="796" t="s">
        <v>1675</v>
      </c>
      <c r="E64" s="626">
        <v>416</v>
      </c>
      <c r="F64" s="724">
        <v>0</v>
      </c>
      <c r="G64" s="626">
        <v>416</v>
      </c>
      <c r="H64" s="620">
        <v>44425</v>
      </c>
      <c r="I64" s="2362"/>
      <c r="J64" s="2018"/>
      <c r="K64" s="2365"/>
      <c r="L64" s="197" t="s">
        <v>1676</v>
      </c>
    </row>
    <row r="65" spans="1:12" ht="15.75">
      <c r="A65" s="620">
        <v>44522</v>
      </c>
      <c r="B65" s="1124"/>
      <c r="C65" s="1124"/>
      <c r="D65" s="796" t="s">
        <v>1677</v>
      </c>
      <c r="E65" s="626">
        <v>-54</v>
      </c>
      <c r="F65" s="724">
        <v>0</v>
      </c>
      <c r="G65" s="626">
        <v>-54</v>
      </c>
      <c r="H65" s="620" t="s">
        <v>1529</v>
      </c>
      <c r="I65" s="2362"/>
      <c r="J65" s="2018"/>
      <c r="K65" s="2365"/>
      <c r="L65" s="197"/>
    </row>
    <row r="66" spans="1:12" ht="15.75">
      <c r="A66" s="620">
        <v>44522</v>
      </c>
      <c r="B66" s="1124"/>
      <c r="C66" s="1124"/>
      <c r="D66" s="796" t="s">
        <v>1678</v>
      </c>
      <c r="E66" s="626">
        <v>-361.92</v>
      </c>
      <c r="F66" s="724">
        <v>0</v>
      </c>
      <c r="G66" s="626">
        <v>-361.92</v>
      </c>
      <c r="H66" s="620" t="s">
        <v>1529</v>
      </c>
      <c r="I66" s="2362"/>
      <c r="J66" s="2018"/>
      <c r="K66" s="2365"/>
      <c r="L66" s="197"/>
    </row>
    <row r="67" spans="1:12" ht="15.75">
      <c r="A67" s="620">
        <v>44525</v>
      </c>
      <c r="B67" s="1124"/>
      <c r="C67" s="1124"/>
      <c r="D67" s="796" t="s">
        <v>1679</v>
      </c>
      <c r="E67" s="626">
        <v>-416</v>
      </c>
      <c r="F67" s="724">
        <v>0</v>
      </c>
      <c r="G67" s="626">
        <v>-416</v>
      </c>
      <c r="H67" s="620" t="s">
        <v>1529</v>
      </c>
      <c r="I67" s="2362"/>
      <c r="J67" s="2018"/>
      <c r="K67" s="2365"/>
      <c r="L67" s="197"/>
    </row>
    <row r="68" spans="1:12" ht="15.75">
      <c r="A68" s="620">
        <v>44525</v>
      </c>
      <c r="B68" s="1124"/>
      <c r="C68" s="1124"/>
      <c r="D68" s="796" t="s">
        <v>1680</v>
      </c>
      <c r="E68" s="626">
        <v>-23.01</v>
      </c>
      <c r="F68" s="724">
        <v>0</v>
      </c>
      <c r="G68" s="626">
        <v>-23.01</v>
      </c>
      <c r="H68" s="620" t="s">
        <v>1529</v>
      </c>
      <c r="I68" s="2362"/>
      <c r="J68" s="2018"/>
      <c r="K68" s="2365"/>
      <c r="L68" s="197"/>
    </row>
    <row r="69" spans="1:12" ht="15.75">
      <c r="A69" s="620">
        <v>44525</v>
      </c>
      <c r="B69" s="1124"/>
      <c r="C69" s="1124"/>
      <c r="D69" s="796" t="s">
        <v>1681</v>
      </c>
      <c r="E69" s="626">
        <v>-272.51</v>
      </c>
      <c r="F69" s="724">
        <v>0</v>
      </c>
      <c r="G69" s="626">
        <v>-272.51</v>
      </c>
      <c r="H69" s="620" t="s">
        <v>1529</v>
      </c>
      <c r="I69" s="2362"/>
      <c r="J69" s="2018"/>
      <c r="K69" s="2365"/>
      <c r="L69" s="197"/>
    </row>
    <row r="70" spans="1:12" ht="15.75">
      <c r="A70" s="620">
        <v>44525</v>
      </c>
      <c r="B70" s="1124"/>
      <c r="C70" s="1124"/>
      <c r="D70" s="796" t="s">
        <v>1682</v>
      </c>
      <c r="E70" s="626">
        <v>-224.67</v>
      </c>
      <c r="F70" s="724">
        <v>0</v>
      </c>
      <c r="G70" s="626">
        <v>-224.67</v>
      </c>
      <c r="H70" s="620" t="s">
        <v>1529</v>
      </c>
      <c r="I70" s="2362"/>
      <c r="J70" s="2018"/>
      <c r="K70" s="2365"/>
      <c r="L70" s="197"/>
    </row>
    <row r="71" spans="1:12" ht="15.75">
      <c r="A71" s="620">
        <v>44525</v>
      </c>
      <c r="B71" s="1124"/>
      <c r="C71" s="1124"/>
      <c r="D71" s="796" t="s">
        <v>1683</v>
      </c>
      <c r="E71" s="626">
        <v>-99</v>
      </c>
      <c r="F71" s="724">
        <v>0</v>
      </c>
      <c r="G71" s="626">
        <v>-99</v>
      </c>
      <c r="H71" s="620" t="s">
        <v>1529</v>
      </c>
      <c r="I71" s="2362"/>
      <c r="J71" s="2018"/>
      <c r="K71" s="2365"/>
      <c r="L71" s="197"/>
    </row>
    <row r="72" spans="1:12" ht="15.75">
      <c r="A72" s="620">
        <v>44525</v>
      </c>
      <c r="B72" s="1124"/>
      <c r="C72" s="1124"/>
      <c r="D72" s="796" t="s">
        <v>1684</v>
      </c>
      <c r="E72" s="626">
        <v>-98.12</v>
      </c>
      <c r="F72" s="724">
        <v>0</v>
      </c>
      <c r="G72" s="626">
        <v>-98.12</v>
      </c>
      <c r="H72" s="620" t="s">
        <v>1529</v>
      </c>
      <c r="I72" s="2362"/>
      <c r="J72" s="2018"/>
      <c r="K72" s="2365"/>
      <c r="L72" s="197"/>
    </row>
    <row r="73" spans="1:12" ht="15.75">
      <c r="A73" s="620">
        <v>44525</v>
      </c>
      <c r="B73" s="1124"/>
      <c r="C73" s="1124"/>
      <c r="D73" s="796" t="s">
        <v>1685</v>
      </c>
      <c r="E73" s="626">
        <v>-3.97</v>
      </c>
      <c r="F73" s="724">
        <v>0</v>
      </c>
      <c r="G73" s="626">
        <v>-3.97</v>
      </c>
      <c r="H73" s="620" t="s">
        <v>1529</v>
      </c>
      <c r="I73" s="2362"/>
      <c r="J73" s="2018"/>
      <c r="K73" s="2365"/>
      <c r="L73" s="197"/>
    </row>
    <row r="74" spans="1:12" ht="15.75">
      <c r="A74" s="620">
        <v>44559</v>
      </c>
      <c r="B74" s="1124"/>
      <c r="C74" s="1124"/>
      <c r="D74" s="796" t="s">
        <v>1686</v>
      </c>
      <c r="E74" s="626">
        <v>-736.58</v>
      </c>
      <c r="F74" s="724">
        <v>0</v>
      </c>
      <c r="G74" s="626">
        <v>-736.58</v>
      </c>
      <c r="H74" s="620">
        <v>44565</v>
      </c>
      <c r="I74" s="2362"/>
      <c r="J74" s="2018"/>
      <c r="K74" s="2365"/>
      <c r="L74" s="197"/>
    </row>
    <row r="75" spans="1:12" ht="15.75">
      <c r="A75" s="620">
        <v>44593</v>
      </c>
      <c r="B75" s="1124"/>
      <c r="C75" s="1124"/>
      <c r="D75" s="796" t="s">
        <v>1687</v>
      </c>
      <c r="E75" s="626">
        <v>-8.14</v>
      </c>
      <c r="F75" s="724">
        <v>0</v>
      </c>
      <c r="G75" s="626">
        <f>-8.14</f>
        <v>-8.14</v>
      </c>
      <c r="H75" s="620" t="s">
        <v>1529</v>
      </c>
      <c r="I75" s="2362"/>
      <c r="J75" s="2018"/>
      <c r="K75" s="2365"/>
      <c r="L75" s="197"/>
    </row>
    <row r="76" spans="1:12" ht="15.75">
      <c r="A76" s="620">
        <v>44593</v>
      </c>
      <c r="B76" s="1124"/>
      <c r="C76" s="1124"/>
      <c r="D76" s="796" t="s">
        <v>1688</v>
      </c>
      <c r="E76" s="626">
        <v>-292.52999999999997</v>
      </c>
      <c r="F76" s="724">
        <v>0</v>
      </c>
      <c r="G76" s="626">
        <v>-292.52999999999997</v>
      </c>
      <c r="H76" s="620" t="s">
        <v>1529</v>
      </c>
      <c r="I76" s="2362"/>
      <c r="J76" s="2018"/>
      <c r="K76" s="2365"/>
      <c r="L76" s="197"/>
    </row>
    <row r="77" spans="1:12" ht="15.75">
      <c r="A77" s="620">
        <v>44593</v>
      </c>
      <c r="B77" s="1124"/>
      <c r="C77" s="1124"/>
      <c r="D77" s="796" t="s">
        <v>1689</v>
      </c>
      <c r="E77" s="626">
        <v>-328.79</v>
      </c>
      <c r="F77" s="724">
        <v>0</v>
      </c>
      <c r="G77" s="626">
        <v>-328.79</v>
      </c>
      <c r="H77" s="620" t="s">
        <v>1529</v>
      </c>
      <c r="I77" s="2362"/>
      <c r="J77" s="2018"/>
      <c r="K77" s="2365"/>
      <c r="L77" s="197"/>
    </row>
    <row r="78" spans="1:12" ht="18.600000000000001" customHeight="1">
      <c r="A78" s="620">
        <v>44593</v>
      </c>
      <c r="B78" s="1124"/>
      <c r="C78" s="1124"/>
      <c r="D78" s="796" t="s">
        <v>1690</v>
      </c>
      <c r="E78" s="626">
        <v>-28.8</v>
      </c>
      <c r="F78" s="724">
        <v>0</v>
      </c>
      <c r="G78" s="626">
        <v>-28.8</v>
      </c>
      <c r="H78" s="620" t="s">
        <v>1529</v>
      </c>
      <c r="I78" s="2362"/>
      <c r="J78" s="2018"/>
      <c r="K78" s="2365"/>
      <c r="L78" s="197"/>
    </row>
    <row r="79" spans="1:12" ht="15.75">
      <c r="A79" s="620">
        <v>44593</v>
      </c>
      <c r="B79" s="1124"/>
      <c r="C79" s="1124"/>
      <c r="D79" s="796" t="s">
        <v>1691</v>
      </c>
      <c r="E79" s="626">
        <v>-22.78</v>
      </c>
      <c r="F79" s="724">
        <v>0</v>
      </c>
      <c r="G79" s="626">
        <v>-22.78</v>
      </c>
      <c r="H79" s="620" t="s">
        <v>1529</v>
      </c>
      <c r="I79" s="2362"/>
      <c r="J79" s="2018"/>
      <c r="K79" s="2365"/>
      <c r="L79" s="197"/>
    </row>
    <row r="80" spans="1:12" ht="15.75">
      <c r="A80" s="620">
        <v>44593</v>
      </c>
      <c r="B80" s="1124"/>
      <c r="C80" s="1124"/>
      <c r="D80" s="799" t="s">
        <v>1692</v>
      </c>
      <c r="E80" s="626">
        <v>-148.16999999999999</v>
      </c>
      <c r="F80" s="724">
        <v>0</v>
      </c>
      <c r="G80" s="626">
        <v>-148.16999999999999</v>
      </c>
      <c r="H80" s="620" t="s">
        <v>1529</v>
      </c>
      <c r="I80" s="2362"/>
      <c r="J80" s="2018"/>
      <c r="K80" s="2365"/>
      <c r="L80" s="197"/>
    </row>
    <row r="81" spans="1:14" ht="15.75">
      <c r="A81" s="620">
        <v>44593</v>
      </c>
      <c r="B81" s="1124" t="s">
        <v>4122</v>
      </c>
      <c r="C81" s="1124" t="s">
        <v>4601</v>
      </c>
      <c r="D81" s="796" t="s">
        <v>1693</v>
      </c>
      <c r="E81" s="626">
        <v>-26.98</v>
      </c>
      <c r="F81" s="724">
        <v>0</v>
      </c>
      <c r="G81" s="626">
        <v>-26.98</v>
      </c>
      <c r="H81" s="620" t="s">
        <v>1529</v>
      </c>
      <c r="I81" s="2362"/>
      <c r="J81" s="2018"/>
      <c r="K81" s="2365"/>
      <c r="L81" s="197"/>
    </row>
    <row r="82" spans="1:14" ht="15.75">
      <c r="A82" s="620">
        <v>44603</v>
      </c>
      <c r="B82" s="1124" t="s">
        <v>4122</v>
      </c>
      <c r="C82" s="1124" t="s">
        <v>4601</v>
      </c>
      <c r="D82" s="796" t="s">
        <v>1695</v>
      </c>
      <c r="E82" s="800">
        <v>958.45</v>
      </c>
      <c r="F82" s="724">
        <v>201.28</v>
      </c>
      <c r="G82" s="800">
        <v>1159.72</v>
      </c>
      <c r="H82" s="620">
        <v>44607</v>
      </c>
      <c r="I82" s="2362"/>
      <c r="J82" s="2018"/>
      <c r="K82" s="2365"/>
      <c r="L82" s="197"/>
    </row>
    <row r="83" spans="1:14" ht="15.75">
      <c r="A83" s="620">
        <v>44607</v>
      </c>
      <c r="B83" s="1124" t="s">
        <v>4122</v>
      </c>
      <c r="C83" s="1124" t="s">
        <v>4601</v>
      </c>
      <c r="D83" s="796" t="s">
        <v>1697</v>
      </c>
      <c r="E83" s="800">
        <v>-958.45</v>
      </c>
      <c r="F83" s="724">
        <v>-201.28</v>
      </c>
      <c r="G83" s="800">
        <v>-1159.72</v>
      </c>
      <c r="H83" s="620" t="s">
        <v>1529</v>
      </c>
      <c r="I83" s="2363"/>
      <c r="J83" s="2019"/>
      <c r="K83" s="2366"/>
      <c r="L83" s="197"/>
    </row>
    <row r="84" spans="1:14" ht="15.75">
      <c r="A84" s="620"/>
      <c r="B84" s="1124"/>
      <c r="C84" s="1124"/>
      <c r="D84" s="796" t="s">
        <v>3098</v>
      </c>
      <c r="E84" s="626"/>
      <c r="F84" s="724"/>
      <c r="G84" s="626">
        <f>SUM(G62:G83)-I61</f>
        <v>-2.0463630789890885E-12</v>
      </c>
      <c r="H84" s="620"/>
      <c r="I84" s="626"/>
      <c r="J84" s="736"/>
      <c r="K84" s="252"/>
      <c r="L84" s="197"/>
    </row>
    <row r="85" spans="1:14" ht="15.75">
      <c r="A85" s="620">
        <v>44594</v>
      </c>
      <c r="B85" s="1124" t="s">
        <v>4122</v>
      </c>
      <c r="C85" s="1124" t="s">
        <v>4601</v>
      </c>
      <c r="D85" s="796" t="s">
        <v>1694</v>
      </c>
      <c r="E85" s="626">
        <v>131.19999999999999</v>
      </c>
      <c r="F85" s="724">
        <v>0</v>
      </c>
      <c r="G85" s="626">
        <v>131.19999999999999</v>
      </c>
      <c r="H85" s="620">
        <v>44600</v>
      </c>
      <c r="I85" s="626">
        <v>131.19999999999999</v>
      </c>
      <c r="J85" s="620">
        <v>44687</v>
      </c>
      <c r="K85" s="252" t="s">
        <v>2019</v>
      </c>
      <c r="L85" s="197" t="s">
        <v>2071</v>
      </c>
    </row>
    <row r="86" spans="1:14" ht="15.75">
      <c r="A86" s="620">
        <v>44607</v>
      </c>
      <c r="B86" s="1124" t="s">
        <v>4122</v>
      </c>
      <c r="C86" s="1124" t="s">
        <v>4601</v>
      </c>
      <c r="D86" s="796" t="s">
        <v>1696</v>
      </c>
      <c r="E86" s="626">
        <v>957.45</v>
      </c>
      <c r="F86" s="724">
        <v>0</v>
      </c>
      <c r="G86" s="626">
        <v>957.45</v>
      </c>
      <c r="H86" s="620">
        <v>44614</v>
      </c>
      <c r="I86" s="626">
        <v>957.45</v>
      </c>
      <c r="J86" s="620">
        <v>44690</v>
      </c>
      <c r="K86" s="252" t="s">
        <v>2110</v>
      </c>
      <c r="L86" s="197"/>
    </row>
    <row r="87" spans="1:14" ht="15.75">
      <c r="A87" s="991">
        <v>44684.000497685185</v>
      </c>
      <c r="B87" s="1124" t="s">
        <v>4122</v>
      </c>
      <c r="C87" s="1124" t="s">
        <v>4601</v>
      </c>
      <c r="D87" s="998" t="s">
        <v>2068</v>
      </c>
      <c r="E87" s="626">
        <v>-35.26</v>
      </c>
      <c r="F87" s="724">
        <v>0</v>
      </c>
      <c r="G87" s="626">
        <v>-35.26</v>
      </c>
      <c r="H87" s="991"/>
      <c r="I87" s="2376">
        <v>-77.22</v>
      </c>
      <c r="J87" s="1918">
        <v>44908</v>
      </c>
      <c r="K87" s="2357" t="s">
        <v>3729</v>
      </c>
      <c r="L87" s="197"/>
      <c r="M87" s="190"/>
      <c r="N87" s="190"/>
    </row>
    <row r="88" spans="1:14" ht="15.75">
      <c r="A88" s="991">
        <v>44684.000497685185</v>
      </c>
      <c r="B88" s="1124" t="s">
        <v>4122</v>
      </c>
      <c r="C88" s="1124" t="s">
        <v>4601</v>
      </c>
      <c r="D88" s="998" t="s">
        <v>2069</v>
      </c>
      <c r="E88" s="626">
        <v>-26.13</v>
      </c>
      <c r="F88" s="724">
        <v>0</v>
      </c>
      <c r="G88" s="626">
        <v>-26.13</v>
      </c>
      <c r="H88" s="991"/>
      <c r="I88" s="2377"/>
      <c r="J88" s="1919"/>
      <c r="K88" s="2358"/>
      <c r="L88" s="197"/>
      <c r="M88" s="190"/>
      <c r="N88" s="190"/>
    </row>
    <row r="89" spans="1:14" ht="15.75">
      <c r="A89" s="991">
        <v>44684.000497685185</v>
      </c>
      <c r="B89" s="1124" t="s">
        <v>4122</v>
      </c>
      <c r="C89" s="1124" t="s">
        <v>4601</v>
      </c>
      <c r="D89" s="998" t="s">
        <v>2070</v>
      </c>
      <c r="E89" s="626">
        <v>-15.83</v>
      </c>
      <c r="F89" s="724">
        <v>0</v>
      </c>
      <c r="G89" s="626">
        <v>-15.83</v>
      </c>
      <c r="H89" s="991"/>
      <c r="I89" s="2378"/>
      <c r="J89" s="1920"/>
      <c r="K89" s="2359"/>
      <c r="L89" s="197"/>
      <c r="M89" s="190"/>
      <c r="N89" s="190"/>
    </row>
    <row r="90" spans="1:14" ht="15.75">
      <c r="A90" s="1903">
        <v>44700</v>
      </c>
      <c r="B90" s="1918" t="s">
        <v>4122</v>
      </c>
      <c r="C90" s="1918" t="s">
        <v>4601</v>
      </c>
      <c r="D90" s="2373" t="s">
        <v>2154</v>
      </c>
      <c r="E90" s="2370">
        <v>1379.56</v>
      </c>
      <c r="F90" s="2367">
        <v>317.3</v>
      </c>
      <c r="G90" s="626">
        <v>1696.86</v>
      </c>
      <c r="H90" s="632">
        <v>44706</v>
      </c>
      <c r="I90" s="713">
        <v>1696.86</v>
      </c>
      <c r="J90" s="632">
        <v>44798</v>
      </c>
      <c r="K90" s="585" t="s">
        <v>1506</v>
      </c>
      <c r="L90" s="197"/>
    </row>
    <row r="91" spans="1:14" ht="15.75">
      <c r="A91" s="1904"/>
      <c r="B91" s="1919"/>
      <c r="C91" s="1919"/>
      <c r="D91" s="2374"/>
      <c r="E91" s="2371"/>
      <c r="F91" s="2368"/>
      <c r="G91" s="626">
        <v>-1696.86</v>
      </c>
      <c r="H91" s="632">
        <v>44706</v>
      </c>
      <c r="I91" s="801">
        <v>-1696.86</v>
      </c>
      <c r="J91" s="630">
        <v>44803</v>
      </c>
      <c r="K91" s="586" t="s">
        <v>2946</v>
      </c>
      <c r="L91" s="197"/>
    </row>
    <row r="92" spans="1:14" ht="15.75">
      <c r="A92" s="1905"/>
      <c r="B92" s="1920"/>
      <c r="C92" s="1920"/>
      <c r="D92" s="2375"/>
      <c r="E92" s="2372"/>
      <c r="F92" s="2369"/>
      <c r="G92" s="626">
        <v>1696.86</v>
      </c>
      <c r="H92" s="632">
        <v>44706</v>
      </c>
      <c r="I92" s="801">
        <v>1696.86</v>
      </c>
      <c r="J92" s="630">
        <v>44809</v>
      </c>
      <c r="K92" s="586" t="s">
        <v>2983</v>
      </c>
      <c r="L92" s="197"/>
    </row>
    <row r="93" spans="1:14" ht="15.75">
      <c r="A93" s="620">
        <v>44684.000497685185</v>
      </c>
      <c r="B93" s="1124" t="s">
        <v>4122</v>
      </c>
      <c r="C93" s="1124" t="s">
        <v>4601</v>
      </c>
      <c r="D93" s="796" t="s">
        <v>2067</v>
      </c>
      <c r="E93" s="626">
        <v>-4.47</v>
      </c>
      <c r="F93" s="724">
        <v>0</v>
      </c>
      <c r="G93" s="626">
        <v>-4.47</v>
      </c>
      <c r="H93" s="620"/>
      <c r="I93" s="2361">
        <v>108.53</v>
      </c>
      <c r="J93" s="1918">
        <v>44713</v>
      </c>
      <c r="K93" s="2357" t="s">
        <v>2452</v>
      </c>
      <c r="L93" s="197"/>
    </row>
    <row r="94" spans="1:14" ht="15.75">
      <c r="A94" s="620">
        <v>44701</v>
      </c>
      <c r="B94" s="1124" t="s">
        <v>4122</v>
      </c>
      <c r="C94" s="1124" t="s">
        <v>4601</v>
      </c>
      <c r="D94" s="796" t="s">
        <v>2155</v>
      </c>
      <c r="E94" s="626">
        <v>-77.22</v>
      </c>
      <c r="F94" s="724">
        <v>0</v>
      </c>
      <c r="G94" s="626">
        <v>-77.22</v>
      </c>
      <c r="H94" s="620">
        <v>44705</v>
      </c>
      <c r="I94" s="2362"/>
      <c r="J94" s="1919"/>
      <c r="K94" s="2358"/>
      <c r="L94" s="197"/>
    </row>
    <row r="95" spans="1:14" ht="15.75">
      <c r="A95" s="620">
        <v>44704</v>
      </c>
      <c r="B95" s="1124" t="s">
        <v>4122</v>
      </c>
      <c r="C95" s="1254" t="s">
        <v>4601</v>
      </c>
      <c r="D95" s="796" t="s">
        <v>2198</v>
      </c>
      <c r="E95" s="626">
        <v>190.22</v>
      </c>
      <c r="F95" s="724">
        <v>0</v>
      </c>
      <c r="G95" s="626">
        <v>190.22</v>
      </c>
      <c r="H95" s="620">
        <v>44708</v>
      </c>
      <c r="I95" s="2363"/>
      <c r="J95" s="1920"/>
      <c r="K95" s="2359"/>
      <c r="L95" s="197"/>
    </row>
    <row r="96" spans="1:14" ht="15.75">
      <c r="A96" s="620"/>
      <c r="B96" s="1124"/>
      <c r="C96" s="1124"/>
      <c r="D96" s="796"/>
      <c r="E96" s="626"/>
      <c r="F96" s="694"/>
      <c r="G96" s="626"/>
      <c r="H96" s="620"/>
      <c r="I96" s="696"/>
      <c r="J96" s="620"/>
      <c r="K96" s="406"/>
      <c r="L96" s="197"/>
    </row>
    <row r="97" spans="1:14" ht="15.75">
      <c r="A97" s="802"/>
      <c r="B97" s="802"/>
      <c r="C97" s="802"/>
      <c r="D97" s="796"/>
      <c r="E97" s="626"/>
      <c r="F97" s="694"/>
      <c r="G97" s="626"/>
      <c r="H97" s="803"/>
      <c r="I97" s="696"/>
      <c r="J97" s="620"/>
      <c r="K97" s="252"/>
      <c r="L97" s="197"/>
    </row>
    <row r="98" spans="1:14" ht="15">
      <c r="A98" s="802"/>
      <c r="B98" s="802"/>
      <c r="C98" s="802"/>
      <c r="D98" s="796"/>
      <c r="E98" s="803"/>
      <c r="F98" s="694"/>
      <c r="G98" s="803"/>
      <c r="H98" s="803"/>
      <c r="I98" s="696"/>
      <c r="J98" s="620"/>
      <c r="K98" s="202"/>
      <c r="L98" s="184"/>
      <c r="M98" s="200"/>
    </row>
    <row r="99" spans="1:14" s="198" customFormat="1" ht="16.899999999999999" customHeight="1">
      <c r="A99" s="804"/>
      <c r="B99" s="804"/>
      <c r="C99" s="804"/>
      <c r="D99" s="796"/>
      <c r="E99" s="803"/>
      <c r="F99" s="1144" t="s">
        <v>545</v>
      </c>
      <c r="G99" s="643">
        <f>SUM(G84:G98)-SUM(I84:I98)</f>
        <v>0</v>
      </c>
      <c r="H99" s="805"/>
      <c r="I99" s="806"/>
      <c r="J99" s="620"/>
      <c r="K99" s="202"/>
      <c r="L99" s="184"/>
      <c r="M99" s="201"/>
    </row>
    <row r="100" spans="1:14">
      <c r="J100" s="346"/>
      <c r="K100" s="346"/>
      <c r="M100" s="201"/>
    </row>
    <row r="101" spans="1:14">
      <c r="J101" s="346"/>
      <c r="K101" s="346"/>
      <c r="M101" s="201"/>
      <c r="N101" s="204"/>
    </row>
    <row r="102" spans="1:14">
      <c r="J102" s="346"/>
      <c r="K102" s="346"/>
      <c r="M102" s="200"/>
    </row>
  </sheetData>
  <mergeCells count="49">
    <mergeCell ref="F90:F92"/>
    <mergeCell ref="E90:E92"/>
    <mergeCell ref="D90:D92"/>
    <mergeCell ref="A90:A92"/>
    <mergeCell ref="I34:I36"/>
    <mergeCell ref="I37:I39"/>
    <mergeCell ref="I41:I49"/>
    <mergeCell ref="I50:I51"/>
    <mergeCell ref="I55:I56"/>
    <mergeCell ref="I87:I89"/>
    <mergeCell ref="C90:C92"/>
    <mergeCell ref="B90:B92"/>
    <mergeCell ref="I93:I95"/>
    <mergeCell ref="K93:K95"/>
    <mergeCell ref="J93:J95"/>
    <mergeCell ref="K41:K49"/>
    <mergeCell ref="K50:K51"/>
    <mergeCell ref="I58:I60"/>
    <mergeCell ref="J50:J51"/>
    <mergeCell ref="J53:J54"/>
    <mergeCell ref="K53:K54"/>
    <mergeCell ref="K55:K56"/>
    <mergeCell ref="I53:I54"/>
    <mergeCell ref="I62:I83"/>
    <mergeCell ref="J62:J83"/>
    <mergeCell ref="K62:K83"/>
    <mergeCell ref="K58:K60"/>
    <mergeCell ref="J55:J56"/>
    <mergeCell ref="J8:J10"/>
    <mergeCell ref="J11:J16"/>
    <mergeCell ref="J19:J21"/>
    <mergeCell ref="J23:J25"/>
    <mergeCell ref="K8:K10"/>
    <mergeCell ref="K11:K16"/>
    <mergeCell ref="K19:K21"/>
    <mergeCell ref="K23:K25"/>
    <mergeCell ref="I8:I10"/>
    <mergeCell ref="I11:I16"/>
    <mergeCell ref="I19:I21"/>
    <mergeCell ref="I23:I25"/>
    <mergeCell ref="I27:I33"/>
    <mergeCell ref="J58:J60"/>
    <mergeCell ref="J41:J49"/>
    <mergeCell ref="J27:J33"/>
    <mergeCell ref="K87:K89"/>
    <mergeCell ref="J87:J89"/>
    <mergeCell ref="K37:K39"/>
    <mergeCell ref="J37:J39"/>
    <mergeCell ref="K27:K33"/>
  </mergeCells>
  <phoneticPr fontId="15" type="noConversion"/>
  <hyperlinks>
    <hyperlink ref="F99" location="汇总!A1" display="剩余欠款"/>
  </hyperlinks>
  <pageMargins left="0.75" right="0.75" top="1" bottom="1" header="0.5" footer="0.5"/>
  <pageSetup paperSize="9" orientation="portrait" horizontalDpi="0" verticalDpi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N61"/>
  <sheetViews>
    <sheetView workbookViewId="0">
      <pane ySplit="1" topLeftCell="A20" activePane="bottomLeft" state="frozen"/>
      <selection activeCell="C33" sqref="C33"/>
      <selection pane="bottomLeft" activeCell="F49" sqref="F49"/>
    </sheetView>
  </sheetViews>
  <sheetFormatPr defaultColWidth="8.75" defaultRowHeight="14.25"/>
  <cols>
    <col min="1" max="1" width="13.25" style="84" bestFit="1" customWidth="1"/>
    <col min="2" max="2" width="8.875" style="84" bestFit="1" customWidth="1"/>
    <col min="3" max="3" width="32.125" style="84" bestFit="1" customWidth="1"/>
    <col min="4" max="4" width="15" style="84" bestFit="1" customWidth="1"/>
    <col min="5" max="5" width="12" style="553" customWidth="1"/>
    <col min="6" max="6" width="12" style="84" customWidth="1"/>
    <col min="7" max="7" width="18.5" style="85" bestFit="1" customWidth="1"/>
    <col min="8" max="8" width="16.75" style="85" bestFit="1" customWidth="1"/>
    <col min="9" max="9" width="14.125" style="84" bestFit="1" customWidth="1"/>
    <col min="10" max="10" width="16.25" style="341" bestFit="1" customWidth="1"/>
    <col min="11" max="11" width="21.625" style="84" bestFit="1" customWidth="1"/>
    <col min="12" max="12" width="19.125" style="84" customWidth="1"/>
    <col min="13" max="13" width="13.875" style="84" bestFit="1" customWidth="1"/>
    <col min="14" max="16384" width="8.75" style="84"/>
  </cols>
  <sheetData>
    <row r="1" spans="1:14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7" t="s">
        <v>542</v>
      </c>
    </row>
    <row r="2" spans="1:14" ht="15">
      <c r="A2" s="632">
        <v>44433</v>
      </c>
      <c r="B2" s="1124" t="s">
        <v>4121</v>
      </c>
      <c r="C2" s="1124" t="s">
        <v>3735</v>
      </c>
      <c r="D2" s="615" t="s">
        <v>1698</v>
      </c>
      <c r="E2" s="680">
        <v>5937.9</v>
      </c>
      <c r="F2" s="633">
        <v>0</v>
      </c>
      <c r="G2" s="611">
        <v>5937.9</v>
      </c>
      <c r="H2" s="632">
        <v>44434</v>
      </c>
      <c r="I2" s="2288">
        <v>10600</v>
      </c>
      <c r="J2" s="2040">
        <v>44496</v>
      </c>
      <c r="K2" s="2041" t="s">
        <v>1699</v>
      </c>
      <c r="L2" s="1935"/>
      <c r="M2"/>
    </row>
    <row r="3" spans="1:14" ht="15">
      <c r="A3" s="1031">
        <v>44445</v>
      </c>
      <c r="B3" s="1124" t="s">
        <v>4121</v>
      </c>
      <c r="C3" s="1124" t="s">
        <v>3735</v>
      </c>
      <c r="D3" s="1036" t="s">
        <v>1700</v>
      </c>
      <c r="E3" s="718">
        <v>216</v>
      </c>
      <c r="F3" s="649">
        <v>0</v>
      </c>
      <c r="G3" s="611">
        <v>216</v>
      </c>
      <c r="H3" s="632">
        <v>44446</v>
      </c>
      <c r="I3" s="2288"/>
      <c r="J3" s="2040"/>
      <c r="K3" s="2041"/>
      <c r="L3" s="1950"/>
      <c r="M3"/>
    </row>
    <row r="4" spans="1:14" ht="15">
      <c r="A4" s="1031">
        <v>44497</v>
      </c>
      <c r="B4" s="1124" t="s">
        <v>522</v>
      </c>
      <c r="C4" s="1124" t="s">
        <v>3735</v>
      </c>
      <c r="D4" s="1036" t="s">
        <v>1701</v>
      </c>
      <c r="E4" s="718">
        <v>1259</v>
      </c>
      <c r="F4" s="649">
        <v>0</v>
      </c>
      <c r="G4" s="611">
        <v>1259</v>
      </c>
      <c r="H4" s="632">
        <v>44526</v>
      </c>
      <c r="I4" s="2288"/>
      <c r="J4" s="2040"/>
      <c r="K4" s="2041"/>
      <c r="L4" s="1950"/>
      <c r="M4"/>
    </row>
    <row r="5" spans="1:14" ht="15">
      <c r="A5" s="1903">
        <v>44502</v>
      </c>
      <c r="B5" s="1918" t="s">
        <v>522</v>
      </c>
      <c r="C5" s="1918" t="s">
        <v>3735</v>
      </c>
      <c r="D5" s="1909" t="s">
        <v>1702</v>
      </c>
      <c r="E5" s="1923">
        <v>30435.68</v>
      </c>
      <c r="F5" s="1927">
        <v>0</v>
      </c>
      <c r="G5" s="611">
        <v>3187.1</v>
      </c>
      <c r="H5" s="632">
        <v>44561</v>
      </c>
      <c r="I5" s="2288"/>
      <c r="J5" s="2040"/>
      <c r="K5" s="2041"/>
      <c r="L5" s="1947"/>
      <c r="M5"/>
    </row>
    <row r="6" spans="1:14" ht="15">
      <c r="A6" s="1904"/>
      <c r="B6" s="1919"/>
      <c r="C6" s="1919"/>
      <c r="D6" s="1910"/>
      <c r="E6" s="1961"/>
      <c r="F6" s="1960"/>
      <c r="G6" s="611">
        <v>6153.9</v>
      </c>
      <c r="H6" s="632">
        <v>44561</v>
      </c>
      <c r="I6" s="609">
        <v>6153.9</v>
      </c>
      <c r="J6" s="632">
        <v>44733</v>
      </c>
      <c r="K6" s="587" t="s">
        <v>544</v>
      </c>
      <c r="L6" s="166"/>
      <c r="M6"/>
    </row>
    <row r="7" spans="1:14" ht="15">
      <c r="A7" s="1904"/>
      <c r="B7" s="1919"/>
      <c r="C7" s="1919"/>
      <c r="D7" s="1910"/>
      <c r="E7" s="1961"/>
      <c r="F7" s="1960"/>
      <c r="G7" s="611">
        <v>8000</v>
      </c>
      <c r="H7" s="632">
        <v>44561</v>
      </c>
      <c r="I7" s="611">
        <v>8000</v>
      </c>
      <c r="J7" s="632">
        <v>44816</v>
      </c>
      <c r="K7" s="587" t="s">
        <v>550</v>
      </c>
      <c r="L7" s="86" t="s">
        <v>3039</v>
      </c>
      <c r="M7" s="190"/>
      <c r="N7" s="190"/>
    </row>
    <row r="8" spans="1:14" ht="15">
      <c r="A8" s="1905"/>
      <c r="B8" s="1920"/>
      <c r="C8" s="1920"/>
      <c r="D8" s="1911"/>
      <c r="E8" s="1924"/>
      <c r="F8" s="1928"/>
      <c r="G8" s="611">
        <f>30435.68-3187.1-6153.9-8000</f>
        <v>13094.68</v>
      </c>
      <c r="H8" s="1031">
        <v>44561</v>
      </c>
      <c r="I8" s="2380">
        <f>SUM(G8:G9)</f>
        <v>15727.08</v>
      </c>
      <c r="J8" s="1903">
        <v>44937</v>
      </c>
      <c r="K8" s="1935" t="s">
        <v>3937</v>
      </c>
      <c r="L8" s="86"/>
      <c r="M8" s="190"/>
      <c r="N8" s="190"/>
    </row>
    <row r="9" spans="1:14" ht="15">
      <c r="A9" s="1031">
        <v>44522</v>
      </c>
      <c r="B9" s="1124" t="s">
        <v>522</v>
      </c>
      <c r="C9" s="1124" t="s">
        <v>3735</v>
      </c>
      <c r="D9" s="1036" t="s">
        <v>1703</v>
      </c>
      <c r="E9" s="718">
        <v>2632.4</v>
      </c>
      <c r="F9" s="649">
        <v>0</v>
      </c>
      <c r="G9" s="611">
        <v>2632.4</v>
      </c>
      <c r="H9" s="1031">
        <v>44523</v>
      </c>
      <c r="I9" s="2381"/>
      <c r="J9" s="1905"/>
      <c r="K9" s="2379"/>
      <c r="L9" s="166"/>
      <c r="M9" s="190"/>
      <c r="N9" s="190"/>
    </row>
    <row r="10" spans="1:14" ht="15">
      <c r="A10" s="1903">
        <v>44670</v>
      </c>
      <c r="B10" s="1918" t="s">
        <v>522</v>
      </c>
      <c r="C10" s="1918" t="s">
        <v>3735</v>
      </c>
      <c r="D10" s="1909" t="s">
        <v>3936</v>
      </c>
      <c r="E10" s="2143">
        <v>3495.7</v>
      </c>
      <c r="F10" s="1927">
        <v>0</v>
      </c>
      <c r="G10" s="611">
        <v>3460</v>
      </c>
      <c r="H10" s="632">
        <v>44671</v>
      </c>
      <c r="I10" s="611">
        <v>3460</v>
      </c>
      <c r="J10" s="632">
        <v>44701</v>
      </c>
      <c r="K10" s="587" t="s">
        <v>2147</v>
      </c>
      <c r="L10" s="166" t="s">
        <v>2754</v>
      </c>
      <c r="M10" s="190"/>
      <c r="N10" s="190"/>
    </row>
    <row r="11" spans="1:14" ht="15">
      <c r="A11" s="1905"/>
      <c r="B11" s="1920"/>
      <c r="C11" s="1920"/>
      <c r="D11" s="1911"/>
      <c r="E11" s="2144"/>
      <c r="F11" s="1928"/>
      <c r="G11" s="611">
        <v>35.700000000000003</v>
      </c>
      <c r="H11" s="623"/>
      <c r="I11" s="1927">
        <v>-14482.710000000001</v>
      </c>
      <c r="J11" s="1903">
        <v>44937</v>
      </c>
      <c r="K11" s="1935" t="s">
        <v>3937</v>
      </c>
      <c r="L11" s="166"/>
      <c r="M11" s="190"/>
      <c r="N11" s="190"/>
    </row>
    <row r="12" spans="1:14" ht="15">
      <c r="A12" s="1031">
        <v>44741</v>
      </c>
      <c r="B12" s="1124" t="s">
        <v>522</v>
      </c>
      <c r="C12" s="1124" t="s">
        <v>3735</v>
      </c>
      <c r="D12" s="1036" t="s">
        <v>2388</v>
      </c>
      <c r="E12" s="718">
        <v>4237.9799999999996</v>
      </c>
      <c r="F12" s="649">
        <v>0</v>
      </c>
      <c r="G12" s="611">
        <v>4237.9799999999996</v>
      </c>
      <c r="H12" s="1055"/>
      <c r="I12" s="1960"/>
      <c r="J12" s="1904"/>
      <c r="K12" s="1950"/>
      <c r="L12" s="166"/>
      <c r="M12" s="190"/>
      <c r="N12" s="190"/>
    </row>
    <row r="13" spans="1:14" ht="15">
      <c r="A13" s="1031">
        <v>44741</v>
      </c>
      <c r="B13" s="1124" t="s">
        <v>522</v>
      </c>
      <c r="C13" s="1124" t="s">
        <v>3735</v>
      </c>
      <c r="D13" s="1036" t="s">
        <v>2387</v>
      </c>
      <c r="E13" s="718">
        <v>-4237.9799999999996</v>
      </c>
      <c r="F13" s="649">
        <v>0</v>
      </c>
      <c r="G13" s="611">
        <v>-4237.9799999999996</v>
      </c>
      <c r="H13" s="1056"/>
      <c r="I13" s="1960"/>
      <c r="J13" s="1904"/>
      <c r="K13" s="1950"/>
      <c r="L13" s="166"/>
      <c r="M13" s="190"/>
      <c r="N13" s="190"/>
    </row>
    <row r="14" spans="1:14" ht="15">
      <c r="A14" s="1031">
        <v>44741</v>
      </c>
      <c r="B14" s="1124" t="s">
        <v>522</v>
      </c>
      <c r="C14" s="1124" t="s">
        <v>3735</v>
      </c>
      <c r="D14" s="1036" t="s">
        <v>2386</v>
      </c>
      <c r="E14" s="718">
        <v>4032.49</v>
      </c>
      <c r="F14" s="649">
        <v>0</v>
      </c>
      <c r="G14" s="611">
        <v>4032.49</v>
      </c>
      <c r="H14" s="1031"/>
      <c r="I14" s="1960"/>
      <c r="J14" s="1904"/>
      <c r="K14" s="1950"/>
      <c r="L14" s="166"/>
      <c r="M14" s="190"/>
      <c r="N14" s="190"/>
    </row>
    <row r="15" spans="1:14" ht="15">
      <c r="A15" s="1031">
        <v>44888</v>
      </c>
      <c r="B15" s="1124" t="s">
        <v>522</v>
      </c>
      <c r="C15" s="1124" t="s">
        <v>3735</v>
      </c>
      <c r="D15" s="1036" t="s">
        <v>3555</v>
      </c>
      <c r="E15" s="718">
        <v>-134.75</v>
      </c>
      <c r="F15" s="649">
        <v>0</v>
      </c>
      <c r="G15" s="611">
        <v>-134.75</v>
      </c>
      <c r="H15" s="1031"/>
      <c r="I15" s="1960"/>
      <c r="J15" s="1904"/>
      <c r="K15" s="1950"/>
      <c r="L15" s="166"/>
      <c r="M15" s="190"/>
      <c r="N15" s="190"/>
    </row>
    <row r="16" spans="1:14" ht="15">
      <c r="A16" s="1031">
        <v>44889</v>
      </c>
      <c r="B16" s="1124" t="s">
        <v>522</v>
      </c>
      <c r="C16" s="1124" t="s">
        <v>3735</v>
      </c>
      <c r="D16" s="1036" t="s">
        <v>3556</v>
      </c>
      <c r="E16" s="718">
        <v>-1191.55</v>
      </c>
      <c r="F16" s="649">
        <v>0</v>
      </c>
      <c r="G16" s="611">
        <v>-1191.55</v>
      </c>
      <c r="H16" s="1031"/>
      <c r="I16" s="1960"/>
      <c r="J16" s="1904"/>
      <c r="K16" s="1950"/>
      <c r="L16" s="166"/>
      <c r="M16" s="190"/>
      <c r="N16" s="190"/>
    </row>
    <row r="17" spans="1:14" ht="15">
      <c r="A17" s="1031">
        <v>44889</v>
      </c>
      <c r="B17" s="1124" t="s">
        <v>522</v>
      </c>
      <c r="C17" s="1124" t="s">
        <v>3735</v>
      </c>
      <c r="D17" s="1036" t="s">
        <v>3557</v>
      </c>
      <c r="E17" s="718">
        <v>-1535.79</v>
      </c>
      <c r="F17" s="649">
        <v>0</v>
      </c>
      <c r="G17" s="611">
        <v>-1535.79</v>
      </c>
      <c r="H17" s="1031"/>
      <c r="I17" s="1960"/>
      <c r="J17" s="1904"/>
      <c r="K17" s="1950"/>
      <c r="L17" s="166"/>
      <c r="M17" s="190"/>
      <c r="N17" s="190"/>
    </row>
    <row r="18" spans="1:14" ht="15">
      <c r="A18" s="1031">
        <v>44889</v>
      </c>
      <c r="B18" s="1124" t="s">
        <v>522</v>
      </c>
      <c r="C18" s="1124" t="s">
        <v>3735</v>
      </c>
      <c r="D18" s="1036" t="s">
        <v>3558</v>
      </c>
      <c r="E18" s="718">
        <v>-2261.5700000000002</v>
      </c>
      <c r="F18" s="649">
        <v>0</v>
      </c>
      <c r="G18" s="611">
        <v>-2261.5700000000002</v>
      </c>
      <c r="H18" s="1031"/>
      <c r="I18" s="1960"/>
      <c r="J18" s="1904"/>
      <c r="K18" s="1950"/>
      <c r="L18" s="166"/>
      <c r="M18" s="190"/>
      <c r="N18" s="190"/>
    </row>
    <row r="19" spans="1:14" ht="15">
      <c r="A19" s="1031">
        <v>44889</v>
      </c>
      <c r="B19" s="1124" t="s">
        <v>522</v>
      </c>
      <c r="C19" s="1124" t="s">
        <v>3735</v>
      </c>
      <c r="D19" s="1036" t="s">
        <v>3559</v>
      </c>
      <c r="E19" s="718">
        <v>-1394.26</v>
      </c>
      <c r="F19" s="649">
        <v>0</v>
      </c>
      <c r="G19" s="611">
        <v>-1394.26</v>
      </c>
      <c r="H19" s="1031"/>
      <c r="I19" s="1960"/>
      <c r="J19" s="1904"/>
      <c r="K19" s="1950"/>
      <c r="L19" s="166"/>
      <c r="M19" s="190"/>
      <c r="N19" s="190"/>
    </row>
    <row r="20" spans="1:14" ht="15">
      <c r="A20" s="1031">
        <v>44889</v>
      </c>
      <c r="B20" s="1124" t="s">
        <v>522</v>
      </c>
      <c r="C20" s="1124" t="s">
        <v>3735</v>
      </c>
      <c r="D20" s="1036" t="s">
        <v>3560</v>
      </c>
      <c r="E20" s="718">
        <v>-1441.29</v>
      </c>
      <c r="F20" s="649">
        <v>0</v>
      </c>
      <c r="G20" s="611">
        <v>-1441.29</v>
      </c>
      <c r="H20" s="1031"/>
      <c r="I20" s="1960"/>
      <c r="J20" s="1904"/>
      <c r="K20" s="1950"/>
      <c r="L20" s="166"/>
      <c r="M20" s="190"/>
      <c r="N20" s="190"/>
    </row>
    <row r="21" spans="1:14" ht="15">
      <c r="A21" s="1031">
        <v>44889</v>
      </c>
      <c r="B21" s="1124" t="s">
        <v>522</v>
      </c>
      <c r="C21" s="1124" t="s">
        <v>3735</v>
      </c>
      <c r="D21" s="1036" t="s">
        <v>3561</v>
      </c>
      <c r="E21" s="718">
        <v>-1890.35</v>
      </c>
      <c r="F21" s="649">
        <v>0</v>
      </c>
      <c r="G21" s="611">
        <v>-1890.35</v>
      </c>
      <c r="H21" s="1031"/>
      <c r="I21" s="1960"/>
      <c r="J21" s="1904"/>
      <c r="K21" s="1950"/>
      <c r="L21" s="166"/>
      <c r="M21" s="190"/>
      <c r="N21" s="190"/>
    </row>
    <row r="22" spans="1:14" ht="15">
      <c r="A22" s="1031">
        <v>44889</v>
      </c>
      <c r="B22" s="1124" t="s">
        <v>522</v>
      </c>
      <c r="C22" s="1124" t="s">
        <v>3735</v>
      </c>
      <c r="D22" s="1036" t="s">
        <v>3562</v>
      </c>
      <c r="E22" s="718">
        <v>-855.19</v>
      </c>
      <c r="F22" s="649">
        <v>0</v>
      </c>
      <c r="G22" s="611">
        <v>-855.19</v>
      </c>
      <c r="H22" s="1031"/>
      <c r="I22" s="1960"/>
      <c r="J22" s="1904"/>
      <c r="K22" s="1950"/>
      <c r="L22" s="166"/>
      <c r="M22" s="190"/>
      <c r="N22" s="190"/>
    </row>
    <row r="23" spans="1:14" ht="15">
      <c r="A23" s="1031">
        <v>44889</v>
      </c>
      <c r="B23" s="1124" t="s">
        <v>522</v>
      </c>
      <c r="C23" s="1124" t="s">
        <v>3735</v>
      </c>
      <c r="D23" s="1036" t="s">
        <v>3563</v>
      </c>
      <c r="E23" s="718">
        <v>-130.9</v>
      </c>
      <c r="F23" s="649">
        <v>0</v>
      </c>
      <c r="G23" s="611">
        <v>-130.9</v>
      </c>
      <c r="H23" s="1031"/>
      <c r="I23" s="1960"/>
      <c r="J23" s="1904"/>
      <c r="K23" s="1950"/>
      <c r="L23" s="166"/>
      <c r="M23" s="190"/>
      <c r="N23" s="190"/>
    </row>
    <row r="24" spans="1:14" ht="15">
      <c r="A24" s="1031">
        <v>44889</v>
      </c>
      <c r="B24" s="1124" t="s">
        <v>522</v>
      </c>
      <c r="C24" s="1124" t="s">
        <v>3735</v>
      </c>
      <c r="D24" s="1036" t="s">
        <v>3564</v>
      </c>
      <c r="E24" s="718">
        <v>-281.95999999999998</v>
      </c>
      <c r="F24" s="649">
        <v>0</v>
      </c>
      <c r="G24" s="611">
        <v>-281.95999999999998</v>
      </c>
      <c r="H24" s="1031"/>
      <c r="I24" s="1960"/>
      <c r="J24" s="1904"/>
      <c r="K24" s="1950"/>
      <c r="L24" s="166"/>
      <c r="M24" s="190"/>
      <c r="N24" s="190"/>
    </row>
    <row r="25" spans="1:14" ht="15">
      <c r="A25" s="1031">
        <v>44889</v>
      </c>
      <c r="B25" s="1124" t="s">
        <v>522</v>
      </c>
      <c r="C25" s="1124" t="s">
        <v>3735</v>
      </c>
      <c r="D25" s="1036" t="s">
        <v>3565</v>
      </c>
      <c r="E25" s="718">
        <v>-164.33</v>
      </c>
      <c r="F25" s="649">
        <v>0</v>
      </c>
      <c r="G25" s="611">
        <v>-164.33</v>
      </c>
      <c r="H25" s="1031"/>
      <c r="I25" s="1960"/>
      <c r="J25" s="1904"/>
      <c r="K25" s="1950"/>
      <c r="L25" s="166"/>
      <c r="M25" s="190"/>
      <c r="N25" s="190"/>
    </row>
    <row r="26" spans="1:14" ht="15">
      <c r="A26" s="1031">
        <v>44889</v>
      </c>
      <c r="B26" s="1124" t="s">
        <v>522</v>
      </c>
      <c r="C26" s="1124" t="s">
        <v>3735</v>
      </c>
      <c r="D26" s="1036" t="s">
        <v>3566</v>
      </c>
      <c r="E26" s="718">
        <v>-144.19999999999999</v>
      </c>
      <c r="F26" s="649">
        <v>0</v>
      </c>
      <c r="G26" s="611">
        <v>-144.19999999999999</v>
      </c>
      <c r="H26" s="1031"/>
      <c r="I26" s="1960"/>
      <c r="J26" s="1904"/>
      <c r="K26" s="1950"/>
      <c r="L26" s="166"/>
      <c r="M26" s="190"/>
      <c r="N26" s="190"/>
    </row>
    <row r="27" spans="1:14" ht="15">
      <c r="A27" s="1031">
        <v>44889</v>
      </c>
      <c r="B27" s="1124" t="s">
        <v>522</v>
      </c>
      <c r="C27" s="1124" t="s">
        <v>3735</v>
      </c>
      <c r="D27" s="1036" t="s">
        <v>3567</v>
      </c>
      <c r="E27" s="718">
        <v>-111.72</v>
      </c>
      <c r="F27" s="649">
        <v>0</v>
      </c>
      <c r="G27" s="611">
        <v>-111.72</v>
      </c>
      <c r="H27" s="1031"/>
      <c r="I27" s="1960"/>
      <c r="J27" s="1904"/>
      <c r="K27" s="1950"/>
      <c r="L27" s="166"/>
      <c r="M27" s="190"/>
      <c r="N27" s="190"/>
    </row>
    <row r="28" spans="1:14" ht="15">
      <c r="A28" s="1031">
        <v>44889</v>
      </c>
      <c r="B28" s="1124" t="s">
        <v>522</v>
      </c>
      <c r="C28" s="1124" t="s">
        <v>3735</v>
      </c>
      <c r="D28" s="1036" t="s">
        <v>3568</v>
      </c>
      <c r="E28" s="718">
        <v>-31.5</v>
      </c>
      <c r="F28" s="649">
        <v>0</v>
      </c>
      <c r="G28" s="611">
        <v>-31.5</v>
      </c>
      <c r="H28" s="1031"/>
      <c r="I28" s="1960"/>
      <c r="J28" s="1904"/>
      <c r="K28" s="1950"/>
      <c r="L28" s="166"/>
      <c r="M28" s="190"/>
      <c r="N28" s="190"/>
    </row>
    <row r="29" spans="1:14" ht="15">
      <c r="A29" s="1031">
        <v>44889</v>
      </c>
      <c r="B29" s="1124" t="s">
        <v>522</v>
      </c>
      <c r="C29" s="1124" t="s">
        <v>3735</v>
      </c>
      <c r="D29" s="1036" t="s">
        <v>3569</v>
      </c>
      <c r="E29" s="718">
        <v>-509.5</v>
      </c>
      <c r="F29" s="649">
        <v>0</v>
      </c>
      <c r="G29" s="611">
        <v>-509.5</v>
      </c>
      <c r="H29" s="1031"/>
      <c r="I29" s="1960"/>
      <c r="J29" s="1904"/>
      <c r="K29" s="1950"/>
      <c r="L29" s="166"/>
      <c r="M29" s="190"/>
      <c r="N29" s="190"/>
    </row>
    <row r="30" spans="1:14" ht="15">
      <c r="A30" s="1031">
        <v>44889</v>
      </c>
      <c r="B30" s="1124" t="s">
        <v>522</v>
      </c>
      <c r="C30" s="1124" t="s">
        <v>3735</v>
      </c>
      <c r="D30" s="1036" t="s">
        <v>3570</v>
      </c>
      <c r="E30" s="718">
        <v>-356.06</v>
      </c>
      <c r="F30" s="649">
        <v>0</v>
      </c>
      <c r="G30" s="611">
        <v>-356.06</v>
      </c>
      <c r="H30" s="1031"/>
      <c r="I30" s="1960"/>
      <c r="J30" s="1904"/>
      <c r="K30" s="1950"/>
      <c r="L30" s="166"/>
      <c r="M30" s="190"/>
      <c r="N30" s="190"/>
    </row>
    <row r="31" spans="1:14" ht="15">
      <c r="A31" s="1031">
        <v>44889</v>
      </c>
      <c r="B31" s="1124" t="s">
        <v>522</v>
      </c>
      <c r="C31" s="1124" t="s">
        <v>3735</v>
      </c>
      <c r="D31" s="1036" t="s">
        <v>3571</v>
      </c>
      <c r="E31" s="718">
        <v>-275.87</v>
      </c>
      <c r="F31" s="649">
        <v>0</v>
      </c>
      <c r="G31" s="611">
        <v>-275.87</v>
      </c>
      <c r="H31" s="1031"/>
      <c r="I31" s="1960"/>
      <c r="J31" s="1904"/>
      <c r="K31" s="1950"/>
      <c r="L31" s="166"/>
      <c r="M31" s="190"/>
      <c r="N31" s="190"/>
    </row>
    <row r="32" spans="1:14" ht="15">
      <c r="A32" s="1031">
        <v>44889</v>
      </c>
      <c r="B32" s="1124" t="s">
        <v>522</v>
      </c>
      <c r="C32" s="1124" t="s">
        <v>3735</v>
      </c>
      <c r="D32" s="1036" t="s">
        <v>3572</v>
      </c>
      <c r="E32" s="718">
        <v>-83.44</v>
      </c>
      <c r="F32" s="649">
        <v>0</v>
      </c>
      <c r="G32" s="611">
        <v>-83.44</v>
      </c>
      <c r="H32" s="1031"/>
      <c r="I32" s="1960"/>
      <c r="J32" s="1904"/>
      <c r="K32" s="1950"/>
      <c r="L32" s="166"/>
      <c r="M32" s="190"/>
      <c r="N32" s="190"/>
    </row>
    <row r="33" spans="1:14" ht="15">
      <c r="A33" s="1031">
        <v>44889</v>
      </c>
      <c r="B33" s="1124" t="s">
        <v>522</v>
      </c>
      <c r="C33" s="1124" t="s">
        <v>3735</v>
      </c>
      <c r="D33" s="1036" t="s">
        <v>3573</v>
      </c>
      <c r="E33" s="718">
        <v>-1.89</v>
      </c>
      <c r="F33" s="649">
        <v>0</v>
      </c>
      <c r="G33" s="611">
        <v>-1.89</v>
      </c>
      <c r="H33" s="1031"/>
      <c r="I33" s="1960"/>
      <c r="J33" s="1904"/>
      <c r="K33" s="1950"/>
      <c r="L33" s="166"/>
      <c r="M33" s="190"/>
      <c r="N33" s="190"/>
    </row>
    <row r="34" spans="1:14" ht="15">
      <c r="A34" s="1031">
        <v>44889</v>
      </c>
      <c r="B34" s="1124" t="s">
        <v>522</v>
      </c>
      <c r="C34" s="1124" t="s">
        <v>3735</v>
      </c>
      <c r="D34" s="1036" t="s">
        <v>3574</v>
      </c>
      <c r="E34" s="718">
        <v>-175.77</v>
      </c>
      <c r="F34" s="649">
        <v>0</v>
      </c>
      <c r="G34" s="611">
        <v>-175.77</v>
      </c>
      <c r="H34" s="1031"/>
      <c r="I34" s="1960"/>
      <c r="J34" s="1904"/>
      <c r="K34" s="1950"/>
      <c r="L34" s="166"/>
      <c r="M34" s="190"/>
      <c r="N34" s="190"/>
    </row>
    <row r="35" spans="1:14" ht="15">
      <c r="A35" s="1031">
        <v>44889</v>
      </c>
      <c r="B35" s="1124" t="s">
        <v>522</v>
      </c>
      <c r="C35" s="1124" t="s">
        <v>3735</v>
      </c>
      <c r="D35" s="1036" t="s">
        <v>3575</v>
      </c>
      <c r="E35" s="718">
        <v>-657.65</v>
      </c>
      <c r="F35" s="649">
        <v>0</v>
      </c>
      <c r="G35" s="611">
        <v>-657.65</v>
      </c>
      <c r="H35" s="1031"/>
      <c r="I35" s="1960"/>
      <c r="J35" s="1904"/>
      <c r="K35" s="1950"/>
      <c r="L35" s="166"/>
      <c r="M35" s="190"/>
      <c r="N35" s="190"/>
    </row>
    <row r="36" spans="1:14" ht="15">
      <c r="A36" s="1031">
        <v>44889</v>
      </c>
      <c r="B36" s="1124" t="s">
        <v>522</v>
      </c>
      <c r="C36" s="1124" t="s">
        <v>3735</v>
      </c>
      <c r="D36" s="1036" t="s">
        <v>3576</v>
      </c>
      <c r="E36" s="718">
        <v>-137.83000000000001</v>
      </c>
      <c r="F36" s="649">
        <v>0</v>
      </c>
      <c r="G36" s="611">
        <v>-137.83000000000001</v>
      </c>
      <c r="H36" s="1031"/>
      <c r="I36" s="1960"/>
      <c r="J36" s="1904"/>
      <c r="K36" s="1950"/>
      <c r="L36" s="166"/>
      <c r="M36" s="190"/>
      <c r="N36" s="190"/>
    </row>
    <row r="37" spans="1:14" ht="15">
      <c r="A37" s="1031">
        <v>44889</v>
      </c>
      <c r="B37" s="1124" t="s">
        <v>522</v>
      </c>
      <c r="C37" s="1124" t="s">
        <v>3735</v>
      </c>
      <c r="D37" s="1036" t="s">
        <v>3577</v>
      </c>
      <c r="E37" s="718">
        <v>-1604.49</v>
      </c>
      <c r="F37" s="649">
        <v>0</v>
      </c>
      <c r="G37" s="611">
        <v>-1604.49</v>
      </c>
      <c r="H37" s="1031"/>
      <c r="I37" s="1960"/>
      <c r="J37" s="1904"/>
      <c r="K37" s="1950"/>
      <c r="L37" s="166"/>
      <c r="M37" s="190"/>
      <c r="N37" s="190"/>
    </row>
    <row r="38" spans="1:14" ht="15">
      <c r="A38" s="1031">
        <v>44889</v>
      </c>
      <c r="B38" s="1124" t="s">
        <v>522</v>
      </c>
      <c r="C38" s="1124" t="s">
        <v>3735</v>
      </c>
      <c r="D38" s="1036" t="s">
        <v>3578</v>
      </c>
      <c r="E38" s="718">
        <v>-896.45</v>
      </c>
      <c r="F38" s="649">
        <v>0</v>
      </c>
      <c r="G38" s="611">
        <v>-896.46</v>
      </c>
      <c r="H38" s="1031"/>
      <c r="I38" s="1960"/>
      <c r="J38" s="1904"/>
      <c r="K38" s="1950"/>
      <c r="L38" s="166"/>
      <c r="M38" s="190"/>
      <c r="N38" s="190"/>
    </row>
    <row r="39" spans="1:14" ht="15">
      <c r="A39" s="1031">
        <v>44889</v>
      </c>
      <c r="B39" s="1124" t="s">
        <v>522</v>
      </c>
      <c r="C39" s="1124" t="s">
        <v>3735</v>
      </c>
      <c r="D39" s="1036" t="s">
        <v>3579</v>
      </c>
      <c r="E39" s="718">
        <v>-1107.02</v>
      </c>
      <c r="F39" s="649">
        <v>0</v>
      </c>
      <c r="G39" s="611">
        <v>-1107.02</v>
      </c>
      <c r="H39" s="1031"/>
      <c r="I39" s="1960"/>
      <c r="J39" s="1904"/>
      <c r="K39" s="1950"/>
      <c r="L39" s="166"/>
      <c r="M39" s="190"/>
      <c r="N39" s="190"/>
    </row>
    <row r="40" spans="1:14" ht="15">
      <c r="A40" s="1031">
        <v>44924</v>
      </c>
      <c r="B40" s="1124" t="s">
        <v>522</v>
      </c>
      <c r="C40" s="1124" t="s">
        <v>3735</v>
      </c>
      <c r="D40" s="1036" t="s">
        <v>3847</v>
      </c>
      <c r="E40" s="718">
        <v>-401.99</v>
      </c>
      <c r="F40" s="649">
        <v>0</v>
      </c>
      <c r="G40" s="611">
        <v>-401.99</v>
      </c>
      <c r="H40" s="1031"/>
      <c r="I40" s="1960"/>
      <c r="J40" s="1904"/>
      <c r="K40" s="1950"/>
      <c r="L40" s="166"/>
      <c r="M40"/>
    </row>
    <row r="41" spans="1:14" ht="15">
      <c r="A41" s="1031">
        <v>44924</v>
      </c>
      <c r="B41" s="1124" t="s">
        <v>522</v>
      </c>
      <c r="C41" s="1124" t="s">
        <v>3735</v>
      </c>
      <c r="D41" s="1036" t="s">
        <v>3848</v>
      </c>
      <c r="E41" s="718">
        <v>-329.07</v>
      </c>
      <c r="F41" s="649">
        <v>0</v>
      </c>
      <c r="G41" s="611">
        <v>-329.07</v>
      </c>
      <c r="H41" s="1031"/>
      <c r="I41" s="1960"/>
      <c r="J41" s="1904"/>
      <c r="K41" s="1950"/>
      <c r="L41" s="166"/>
      <c r="M41"/>
    </row>
    <row r="42" spans="1:14" ht="15">
      <c r="A42" s="1031">
        <v>44924</v>
      </c>
      <c r="B42" s="1124" t="s">
        <v>522</v>
      </c>
      <c r="C42" s="1124" t="s">
        <v>3735</v>
      </c>
      <c r="D42" s="1036" t="s">
        <v>3849</v>
      </c>
      <c r="E42" s="718">
        <v>-444.5</v>
      </c>
      <c r="F42" s="649">
        <v>0</v>
      </c>
      <c r="G42" s="611">
        <v>-444.5</v>
      </c>
      <c r="H42" s="1031"/>
      <c r="I42" s="1928"/>
      <c r="J42" s="1905"/>
      <c r="K42" s="1947"/>
      <c r="L42" s="166"/>
      <c r="M42"/>
    </row>
    <row r="43" spans="1:14" ht="15">
      <c r="A43" s="623"/>
      <c r="B43" s="623"/>
      <c r="C43" s="623"/>
      <c r="D43" s="624"/>
      <c r="E43" s="720"/>
      <c r="F43" s="644"/>
      <c r="G43" s="605"/>
      <c r="H43" s="1015"/>
      <c r="I43" s="611"/>
      <c r="J43" s="1015"/>
      <c r="K43" s="1013"/>
      <c r="L43" s="166"/>
      <c r="M43"/>
    </row>
    <row r="44" spans="1:14" ht="15">
      <c r="A44" s="623"/>
      <c r="B44" s="623"/>
      <c r="C44" s="623"/>
      <c r="D44" s="624"/>
      <c r="E44" s="720"/>
      <c r="F44" s="644"/>
      <c r="G44" s="605"/>
      <c r="H44" s="1015"/>
      <c r="I44" s="611"/>
      <c r="J44" s="1015"/>
      <c r="K44" s="1013"/>
      <c r="L44" s="166"/>
      <c r="M44"/>
    </row>
    <row r="45" spans="1:14" ht="15">
      <c r="A45" s="623"/>
      <c r="B45" s="623"/>
      <c r="C45" s="623"/>
      <c r="D45" s="624"/>
      <c r="E45" s="720"/>
      <c r="F45" s="644"/>
      <c r="G45" s="605"/>
      <c r="H45" s="1015"/>
      <c r="I45" s="611"/>
      <c r="J45" s="1015"/>
      <c r="K45" s="1013"/>
      <c r="L45" s="166"/>
      <c r="M45"/>
    </row>
    <row r="46" spans="1:14" ht="15">
      <c r="A46" s="623"/>
      <c r="B46" s="623"/>
      <c r="C46" s="623"/>
      <c r="D46" s="624"/>
      <c r="E46" s="720"/>
      <c r="F46" s="644"/>
      <c r="G46" s="605"/>
      <c r="H46" s="1015"/>
      <c r="I46" s="611"/>
      <c r="J46" s="1015"/>
      <c r="K46" s="1013"/>
      <c r="L46" s="166"/>
      <c r="M46"/>
    </row>
    <row r="47" spans="1:14" ht="15">
      <c r="A47" s="623"/>
      <c r="B47" s="623"/>
      <c r="C47" s="623"/>
      <c r="D47" s="624"/>
      <c r="E47" s="720"/>
      <c r="F47" s="644"/>
      <c r="G47" s="605"/>
      <c r="H47" s="1015"/>
      <c r="I47" s="611"/>
      <c r="J47" s="1015"/>
      <c r="K47" s="1013"/>
      <c r="L47" s="166"/>
      <c r="M47"/>
    </row>
    <row r="48" spans="1:14" ht="15">
      <c r="A48" s="623"/>
      <c r="B48" s="623"/>
      <c r="C48" s="623"/>
      <c r="D48" s="624"/>
      <c r="E48" s="720"/>
      <c r="F48" s="644"/>
      <c r="G48" s="605"/>
      <c r="H48" s="1015"/>
      <c r="I48" s="611"/>
      <c r="J48" s="1015"/>
      <c r="K48" s="1013"/>
      <c r="L48" s="166"/>
      <c r="M48"/>
    </row>
    <row r="49" spans="1:13" ht="15">
      <c r="A49" s="615"/>
      <c r="B49" s="1133"/>
      <c r="C49" s="1133"/>
      <c r="D49" s="615"/>
      <c r="E49" s="795"/>
      <c r="F49" s="1144" t="s">
        <v>545</v>
      </c>
      <c r="G49" s="617">
        <f>SUM(G2:G48)-SUM(I2:I48)</f>
        <v>0</v>
      </c>
      <c r="H49" s="611"/>
      <c r="I49" s="611"/>
      <c r="J49" s="632"/>
      <c r="K49" s="587"/>
      <c r="L49" s="166"/>
      <c r="M49"/>
    </row>
    <row r="51" spans="1:13">
      <c r="G51" s="84"/>
      <c r="H51" s="84"/>
    </row>
    <row r="52" spans="1:13">
      <c r="G52" s="84"/>
      <c r="H52" s="84"/>
      <c r="I52" s="341"/>
      <c r="K52" s="341"/>
      <c r="L52" s="341"/>
    </row>
    <row r="53" spans="1:13">
      <c r="G53" s="84"/>
      <c r="H53" s="84"/>
      <c r="I53" s="341"/>
      <c r="K53" s="341"/>
      <c r="L53" s="341"/>
    </row>
    <row r="54" spans="1:13">
      <c r="G54" s="84"/>
      <c r="H54" s="84"/>
      <c r="I54" s="341"/>
      <c r="K54" s="341"/>
      <c r="L54" s="341"/>
    </row>
    <row r="55" spans="1:13">
      <c r="G55" s="84"/>
      <c r="I55" s="341"/>
      <c r="K55" s="341"/>
      <c r="L55" s="341"/>
    </row>
    <row r="56" spans="1:13">
      <c r="G56" s="84"/>
      <c r="I56" s="341"/>
      <c r="K56" s="341"/>
      <c r="L56" s="341"/>
    </row>
    <row r="57" spans="1:13">
      <c r="G57" s="84"/>
      <c r="I57" s="341"/>
      <c r="K57" s="341"/>
      <c r="L57" s="341"/>
    </row>
    <row r="58" spans="1:13">
      <c r="G58" s="84"/>
      <c r="I58" s="341"/>
      <c r="K58" s="341"/>
      <c r="L58" s="341"/>
    </row>
    <row r="59" spans="1:13">
      <c r="G59" s="84"/>
      <c r="I59" s="341"/>
      <c r="K59" s="341"/>
      <c r="L59" s="341"/>
    </row>
    <row r="60" spans="1:13">
      <c r="G60" s="84"/>
      <c r="I60" s="341"/>
      <c r="K60" s="341"/>
      <c r="L60" s="341"/>
    </row>
    <row r="61" spans="1:13">
      <c r="G61" s="84"/>
      <c r="I61" s="341"/>
      <c r="K61" s="341"/>
      <c r="L61" s="341"/>
    </row>
  </sheetData>
  <mergeCells count="22">
    <mergeCell ref="F10:F11"/>
    <mergeCell ref="E10:E11"/>
    <mergeCell ref="D10:D11"/>
    <mergeCell ref="A10:A11"/>
    <mergeCell ref="F5:F8"/>
    <mergeCell ref="E5:E8"/>
    <mergeCell ref="D5:D8"/>
    <mergeCell ref="A5:A8"/>
    <mergeCell ref="C10:C11"/>
    <mergeCell ref="B10:B11"/>
    <mergeCell ref="C5:C8"/>
    <mergeCell ref="B5:B8"/>
    <mergeCell ref="I11:I42"/>
    <mergeCell ref="J11:J42"/>
    <mergeCell ref="K11:K42"/>
    <mergeCell ref="L2:L5"/>
    <mergeCell ref="I2:I5"/>
    <mergeCell ref="K2:K5"/>
    <mergeCell ref="J2:J5"/>
    <mergeCell ref="K8:K9"/>
    <mergeCell ref="J8:J9"/>
    <mergeCell ref="I8:I9"/>
  </mergeCells>
  <phoneticPr fontId="15" type="noConversion"/>
  <hyperlinks>
    <hyperlink ref="F49" location="汇总!A1" display="剩余欠款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N30"/>
  <sheetViews>
    <sheetView workbookViewId="0">
      <selection activeCell="F30" sqref="F30"/>
    </sheetView>
  </sheetViews>
  <sheetFormatPr defaultColWidth="8.75" defaultRowHeight="14.25"/>
  <cols>
    <col min="1" max="1" width="13" style="102" customWidth="1"/>
    <col min="2" max="2" width="9" style="168" bestFit="1" customWidth="1"/>
    <col min="3" max="3" width="37.75" style="168" bestFit="1" customWidth="1"/>
    <col min="4" max="4" width="15" style="102" customWidth="1"/>
    <col min="5" max="6" width="12.25" style="168" customWidth="1"/>
    <col min="7" max="7" width="11.375" style="102" bestFit="1" customWidth="1"/>
    <col min="8" max="8" width="16.625" style="168" bestFit="1" customWidth="1"/>
    <col min="9" max="9" width="12.875" style="102" customWidth="1"/>
    <col min="10" max="10" width="20.75" style="102" customWidth="1"/>
    <col min="11" max="11" width="12" style="102" customWidth="1"/>
    <col min="12" max="12" width="65.125" style="102" customWidth="1"/>
    <col min="13" max="16384" width="8.75" style="102"/>
  </cols>
  <sheetData>
    <row r="1" spans="1:14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7" t="s">
        <v>542</v>
      </c>
    </row>
    <row r="2" spans="1:14" ht="15">
      <c r="A2" s="620">
        <v>44544</v>
      </c>
      <c r="B2" s="1124" t="s">
        <v>522</v>
      </c>
      <c r="C2" s="1124" t="s">
        <v>4120</v>
      </c>
      <c r="D2" s="621" t="s">
        <v>546</v>
      </c>
      <c r="E2" s="613">
        <v>1126.4000000000001</v>
      </c>
      <c r="F2" s="633">
        <v>0</v>
      </c>
      <c r="G2" s="622">
        <v>1126.4000000000001</v>
      </c>
      <c r="H2" s="620">
        <v>44574</v>
      </c>
      <c r="I2" s="622">
        <v>1126.4000000000001</v>
      </c>
      <c r="J2" s="620">
        <v>44625</v>
      </c>
      <c r="K2" s="236" t="s">
        <v>544</v>
      </c>
      <c r="L2" s="88"/>
    </row>
    <row r="3" spans="1:14" ht="15">
      <c r="A3" s="620">
        <v>44586</v>
      </c>
      <c r="B3" s="1124" t="s">
        <v>522</v>
      </c>
      <c r="C3" s="1124" t="s">
        <v>4120</v>
      </c>
      <c r="D3" s="621" t="s">
        <v>547</v>
      </c>
      <c r="E3" s="613">
        <v>149.44999999999999</v>
      </c>
      <c r="F3" s="633">
        <v>0</v>
      </c>
      <c r="G3" s="622">
        <v>149.44999999999999</v>
      </c>
      <c r="H3" s="1918">
        <v>44586</v>
      </c>
      <c r="I3" s="1931">
        <v>38.15</v>
      </c>
      <c r="J3" s="1918">
        <v>44692</v>
      </c>
      <c r="K3" s="1968" t="s">
        <v>2114</v>
      </c>
      <c r="L3" s="88" t="s">
        <v>2112</v>
      </c>
    </row>
    <row r="4" spans="1:14" ht="15">
      <c r="A4" s="620">
        <v>44684</v>
      </c>
      <c r="B4" s="1124" t="s">
        <v>522</v>
      </c>
      <c r="C4" s="1124" t="s">
        <v>4120</v>
      </c>
      <c r="D4" s="621" t="s">
        <v>2078</v>
      </c>
      <c r="E4" s="613">
        <v>-111.3</v>
      </c>
      <c r="F4" s="633">
        <v>0</v>
      </c>
      <c r="G4" s="622">
        <v>-111.3</v>
      </c>
      <c r="H4" s="1920"/>
      <c r="I4" s="1932"/>
      <c r="J4" s="1920"/>
      <c r="K4" s="1957"/>
      <c r="L4" s="88" t="s">
        <v>2113</v>
      </c>
    </row>
    <row r="5" spans="1:14" s="168" customFormat="1" ht="15">
      <c r="A5" s="991">
        <v>44798</v>
      </c>
      <c r="B5" s="1124" t="s">
        <v>522</v>
      </c>
      <c r="C5" s="1124" t="s">
        <v>4120</v>
      </c>
      <c r="D5" s="992" t="s">
        <v>2881</v>
      </c>
      <c r="E5" s="993">
        <v>573</v>
      </c>
      <c r="F5" s="649">
        <v>0</v>
      </c>
      <c r="G5" s="631">
        <v>573</v>
      </c>
      <c r="H5" s="991">
        <v>44828</v>
      </c>
      <c r="I5" s="1906">
        <v>4954.6099999999997</v>
      </c>
      <c r="J5" s="1903">
        <v>44907</v>
      </c>
      <c r="K5" s="1935" t="s">
        <v>3730</v>
      </c>
      <c r="L5" s="226"/>
      <c r="M5" s="190"/>
      <c r="N5" s="190"/>
    </row>
    <row r="6" spans="1:14" s="168" customFormat="1" ht="15">
      <c r="A6" s="991">
        <v>44876</v>
      </c>
      <c r="B6" s="1124" t="s">
        <v>2518</v>
      </c>
      <c r="C6" s="1124" t="s">
        <v>4120</v>
      </c>
      <c r="D6" s="992" t="s">
        <v>3464</v>
      </c>
      <c r="E6" s="993">
        <v>763.6</v>
      </c>
      <c r="F6" s="649">
        <v>0</v>
      </c>
      <c r="G6" s="631">
        <v>763.6</v>
      </c>
      <c r="H6" s="991">
        <v>44906</v>
      </c>
      <c r="I6" s="1907"/>
      <c r="J6" s="1904"/>
      <c r="K6" s="1950"/>
      <c r="L6" s="226"/>
      <c r="M6" s="190"/>
      <c r="N6" s="190"/>
    </row>
    <row r="7" spans="1:14" s="168" customFormat="1" ht="15">
      <c r="A7" s="991">
        <v>44879</v>
      </c>
      <c r="B7" s="1124" t="s">
        <v>2518</v>
      </c>
      <c r="C7" s="1124" t="s">
        <v>4120</v>
      </c>
      <c r="D7" s="992" t="s">
        <v>3502</v>
      </c>
      <c r="E7" s="993">
        <v>3425.78</v>
      </c>
      <c r="F7" s="649">
        <v>0</v>
      </c>
      <c r="G7" s="631">
        <v>3425.78</v>
      </c>
      <c r="H7" s="991">
        <v>44909</v>
      </c>
      <c r="I7" s="1907"/>
      <c r="J7" s="1904"/>
      <c r="K7" s="1950"/>
      <c r="L7" s="226"/>
      <c r="M7" s="190"/>
      <c r="N7" s="190"/>
    </row>
    <row r="8" spans="1:14" s="168" customFormat="1" ht="28.5">
      <c r="A8" s="991">
        <v>44881</v>
      </c>
      <c r="B8" s="1124" t="s">
        <v>2518</v>
      </c>
      <c r="C8" s="1124" t="s">
        <v>4120</v>
      </c>
      <c r="D8" s="992" t="s">
        <v>3503</v>
      </c>
      <c r="E8" s="993">
        <v>-139.19999999999999</v>
      </c>
      <c r="F8" s="649">
        <v>0</v>
      </c>
      <c r="G8" s="631">
        <v>-139.19999999999999</v>
      </c>
      <c r="H8" s="991">
        <v>44882</v>
      </c>
      <c r="I8" s="1907"/>
      <c r="J8" s="1904"/>
      <c r="K8" s="1950"/>
      <c r="L8" s="366" t="s">
        <v>3504</v>
      </c>
      <c r="M8" s="190"/>
      <c r="N8" s="190"/>
    </row>
    <row r="9" spans="1:14" s="168" customFormat="1" ht="15">
      <c r="A9" s="991">
        <v>44886</v>
      </c>
      <c r="B9" s="1124" t="s">
        <v>2518</v>
      </c>
      <c r="C9" s="1124" t="s">
        <v>4120</v>
      </c>
      <c r="D9" s="992" t="s">
        <v>3580</v>
      </c>
      <c r="E9" s="993">
        <v>623.4</v>
      </c>
      <c r="F9" s="649">
        <v>0</v>
      </c>
      <c r="G9" s="631">
        <v>623.4</v>
      </c>
      <c r="H9" s="991">
        <v>44916</v>
      </c>
      <c r="I9" s="1907"/>
      <c r="J9" s="1904"/>
      <c r="K9" s="1950"/>
      <c r="L9" s="226"/>
      <c r="M9" s="190"/>
      <c r="N9" s="190"/>
    </row>
    <row r="10" spans="1:14" s="168" customFormat="1" ht="15">
      <c r="A10" s="991">
        <v>44897</v>
      </c>
      <c r="B10" s="1124" t="s">
        <v>2518</v>
      </c>
      <c r="C10" s="1124" t="s">
        <v>4120</v>
      </c>
      <c r="D10" s="992" t="s">
        <v>3633</v>
      </c>
      <c r="E10" s="993">
        <v>-291.97000000000003</v>
      </c>
      <c r="F10" s="649">
        <v>0</v>
      </c>
      <c r="G10" s="631">
        <v>-291.97000000000003</v>
      </c>
      <c r="H10" s="991"/>
      <c r="I10" s="1908"/>
      <c r="J10" s="1905"/>
      <c r="K10" s="1947"/>
      <c r="L10" s="226"/>
    </row>
    <row r="11" spans="1:14" s="168" customFormat="1" ht="15">
      <c r="A11" s="1629">
        <v>44914</v>
      </c>
      <c r="B11" s="1629" t="s">
        <v>2518</v>
      </c>
      <c r="C11" s="1629" t="s">
        <v>4120</v>
      </c>
      <c r="D11" s="1632" t="s">
        <v>3804</v>
      </c>
      <c r="E11" s="1635">
        <v>632.1</v>
      </c>
      <c r="F11" s="649">
        <v>0</v>
      </c>
      <c r="G11" s="631">
        <v>632.1</v>
      </c>
      <c r="H11" s="1629">
        <v>44944</v>
      </c>
      <c r="I11" s="1936">
        <v>4273.2700000000004</v>
      </c>
      <c r="J11" s="1903">
        <v>45154</v>
      </c>
      <c r="K11" s="1935" t="s">
        <v>5899</v>
      </c>
      <c r="L11" s="226"/>
    </row>
    <row r="12" spans="1:14" s="168" customFormat="1" ht="15">
      <c r="A12" s="1629">
        <v>44946</v>
      </c>
      <c r="B12" s="1629" t="s">
        <v>2518</v>
      </c>
      <c r="C12" s="1629" t="s">
        <v>4120</v>
      </c>
      <c r="D12" s="1632" t="s">
        <v>3997</v>
      </c>
      <c r="E12" s="1635">
        <v>2772.7</v>
      </c>
      <c r="F12" s="649">
        <v>0</v>
      </c>
      <c r="G12" s="631">
        <v>2772.7</v>
      </c>
      <c r="H12" s="1629">
        <v>45006</v>
      </c>
      <c r="I12" s="2247"/>
      <c r="J12" s="1904"/>
      <c r="K12" s="1950"/>
      <c r="L12" s="226"/>
    </row>
    <row r="13" spans="1:14" s="168" customFormat="1" ht="15">
      <c r="A13" s="1629">
        <v>44971</v>
      </c>
      <c r="B13" s="1629" t="s">
        <v>2518</v>
      </c>
      <c r="C13" s="1629" t="s">
        <v>4120</v>
      </c>
      <c r="D13" s="1632" t="s">
        <v>4192</v>
      </c>
      <c r="E13" s="1635">
        <v>762.6</v>
      </c>
      <c r="F13" s="649">
        <v>0</v>
      </c>
      <c r="G13" s="631">
        <v>762.6</v>
      </c>
      <c r="H13" s="1629">
        <v>45031</v>
      </c>
      <c r="I13" s="2247"/>
      <c r="J13" s="1904"/>
      <c r="K13" s="1950"/>
      <c r="L13" s="226"/>
    </row>
    <row r="14" spans="1:14" s="168" customFormat="1" ht="15">
      <c r="A14" s="1629">
        <v>44980</v>
      </c>
      <c r="B14" s="1629" t="s">
        <v>2518</v>
      </c>
      <c r="C14" s="1629" t="s">
        <v>4120</v>
      </c>
      <c r="D14" s="1632" t="s">
        <v>4242</v>
      </c>
      <c r="E14" s="1635">
        <v>1028.5</v>
      </c>
      <c r="F14" s="649">
        <v>0</v>
      </c>
      <c r="G14" s="631">
        <v>1028.5</v>
      </c>
      <c r="H14" s="1629">
        <v>45040</v>
      </c>
      <c r="I14" s="2247"/>
      <c r="J14" s="1904"/>
      <c r="K14" s="1950"/>
      <c r="L14" s="226"/>
    </row>
    <row r="15" spans="1:14" s="168" customFormat="1" ht="15">
      <c r="A15" s="1629">
        <v>44984</v>
      </c>
      <c r="B15" s="1629" t="s">
        <v>2518</v>
      </c>
      <c r="C15" s="1629" t="s">
        <v>4120</v>
      </c>
      <c r="D15" s="1632" t="s">
        <v>4383</v>
      </c>
      <c r="E15" s="1635">
        <v>449.5</v>
      </c>
      <c r="F15" s="649">
        <v>0</v>
      </c>
      <c r="G15" s="631">
        <v>449.5</v>
      </c>
      <c r="H15" s="1629">
        <v>45044</v>
      </c>
      <c r="I15" s="2247"/>
      <c r="J15" s="1904"/>
      <c r="K15" s="1950"/>
      <c r="L15" s="226"/>
    </row>
    <row r="16" spans="1:14" s="168" customFormat="1" ht="15">
      <c r="A16" s="1629">
        <v>44985</v>
      </c>
      <c r="B16" s="1629" t="s">
        <v>2518</v>
      </c>
      <c r="C16" s="1629" t="s">
        <v>4120</v>
      </c>
      <c r="D16" s="1632" t="s">
        <v>4384</v>
      </c>
      <c r="E16" s="1635">
        <v>-15</v>
      </c>
      <c r="F16" s="649">
        <v>0</v>
      </c>
      <c r="G16" s="631">
        <v>-15</v>
      </c>
      <c r="H16" s="1629">
        <v>44986</v>
      </c>
      <c r="I16" s="2247"/>
      <c r="J16" s="1904"/>
      <c r="K16" s="1950"/>
      <c r="L16" s="226" t="s">
        <v>4387</v>
      </c>
    </row>
    <row r="17" spans="1:12" s="168" customFormat="1" ht="15">
      <c r="A17" s="1629">
        <v>44985</v>
      </c>
      <c r="B17" s="1629" t="s">
        <v>2518</v>
      </c>
      <c r="C17" s="1629" t="s">
        <v>4120</v>
      </c>
      <c r="D17" s="1632" t="s">
        <v>4385</v>
      </c>
      <c r="E17" s="1635">
        <v>425.6</v>
      </c>
      <c r="F17" s="649">
        <v>0</v>
      </c>
      <c r="G17" s="631">
        <v>425.6</v>
      </c>
      <c r="H17" s="1629">
        <v>45045</v>
      </c>
      <c r="I17" s="2247"/>
      <c r="J17" s="1904"/>
      <c r="K17" s="1950"/>
      <c r="L17" s="226"/>
    </row>
    <row r="18" spans="1:12" s="168" customFormat="1" ht="15">
      <c r="A18" s="1629">
        <v>44986</v>
      </c>
      <c r="B18" s="1629" t="s">
        <v>2518</v>
      </c>
      <c r="C18" s="1629" t="s">
        <v>4120</v>
      </c>
      <c r="D18" s="1632" t="s">
        <v>4386</v>
      </c>
      <c r="E18" s="1635">
        <v>-224.42</v>
      </c>
      <c r="F18" s="649">
        <v>0</v>
      </c>
      <c r="G18" s="631">
        <v>-224.42</v>
      </c>
      <c r="H18" s="1629"/>
      <c r="I18" s="2247"/>
      <c r="J18" s="1904"/>
      <c r="K18" s="1950"/>
      <c r="L18" s="226"/>
    </row>
    <row r="19" spans="1:12" s="168" customFormat="1" ht="15">
      <c r="A19" s="1629">
        <v>45134</v>
      </c>
      <c r="B19" s="1629" t="s">
        <v>4121</v>
      </c>
      <c r="C19" s="1629" t="s">
        <v>4120</v>
      </c>
      <c r="D19" s="1632" t="s">
        <v>5699</v>
      </c>
      <c r="E19" s="1635">
        <v>-509.25</v>
      </c>
      <c r="F19" s="649">
        <v>0</v>
      </c>
      <c r="G19" s="631">
        <v>-509.25</v>
      </c>
      <c r="H19" s="1629"/>
      <c r="I19" s="2247"/>
      <c r="J19" s="1904"/>
      <c r="K19" s="1950"/>
      <c r="L19" s="226"/>
    </row>
    <row r="20" spans="1:12" s="168" customFormat="1" ht="15">
      <c r="A20" s="1629">
        <v>45134</v>
      </c>
      <c r="B20" s="1629" t="s">
        <v>4121</v>
      </c>
      <c r="C20" s="1629" t="s">
        <v>4120</v>
      </c>
      <c r="D20" s="1632" t="s">
        <v>5700</v>
      </c>
      <c r="E20" s="1635">
        <v>-451.54</v>
      </c>
      <c r="F20" s="649">
        <v>0</v>
      </c>
      <c r="G20" s="631">
        <v>-451.54</v>
      </c>
      <c r="H20" s="1629"/>
      <c r="I20" s="2247"/>
      <c r="J20" s="1904"/>
      <c r="K20" s="1950"/>
      <c r="L20" s="226"/>
    </row>
    <row r="21" spans="1:12" s="168" customFormat="1" ht="15">
      <c r="A21" s="1629">
        <v>45134</v>
      </c>
      <c r="B21" s="1629" t="s">
        <v>4121</v>
      </c>
      <c r="C21" s="1629" t="s">
        <v>4120</v>
      </c>
      <c r="D21" s="1632" t="s">
        <v>5701</v>
      </c>
      <c r="E21" s="1635">
        <v>-258.02</v>
      </c>
      <c r="F21" s="649">
        <v>0</v>
      </c>
      <c r="G21" s="631">
        <v>-258.02</v>
      </c>
      <c r="H21" s="1629"/>
      <c r="I21" s="2247"/>
      <c r="J21" s="1904"/>
      <c r="K21" s="1950"/>
      <c r="L21" s="226"/>
    </row>
    <row r="22" spans="1:12" s="168" customFormat="1" ht="15">
      <c r="A22" s="1629">
        <v>45134</v>
      </c>
      <c r="B22" s="1629" t="s">
        <v>4121</v>
      </c>
      <c r="C22" s="1629" t="s">
        <v>4120</v>
      </c>
      <c r="D22" s="1632" t="s">
        <v>5702</v>
      </c>
      <c r="E22" s="1635">
        <v>-339.5</v>
      </c>
      <c r="F22" s="649">
        <v>0</v>
      </c>
      <c r="G22" s="631">
        <v>-339.5</v>
      </c>
      <c r="H22" s="1629"/>
      <c r="I22" s="1937"/>
      <c r="J22" s="1905"/>
      <c r="K22" s="1947"/>
      <c r="L22" s="226" t="s">
        <v>5703</v>
      </c>
    </row>
    <row r="23" spans="1:12" s="168" customFormat="1" ht="15">
      <c r="A23" s="623"/>
      <c r="B23" s="623"/>
      <c r="C23" s="623"/>
      <c r="D23" s="624"/>
      <c r="E23" s="603"/>
      <c r="F23" s="644"/>
      <c r="G23" s="606"/>
      <c r="H23" s="623"/>
      <c r="I23" s="622"/>
      <c r="J23" s="1563"/>
      <c r="K23" s="1561"/>
      <c r="L23" s="226"/>
    </row>
    <row r="24" spans="1:12" s="168" customFormat="1" ht="15">
      <c r="A24" s="623"/>
      <c r="B24" s="623"/>
      <c r="C24" s="623"/>
      <c r="D24" s="624"/>
      <c r="E24" s="603"/>
      <c r="F24" s="644"/>
      <c r="G24" s="606"/>
      <c r="H24" s="623"/>
      <c r="I24" s="622"/>
      <c r="J24" s="1563"/>
      <c r="K24" s="1561"/>
      <c r="L24" s="226"/>
    </row>
    <row r="25" spans="1:12" s="168" customFormat="1" ht="15">
      <c r="A25" s="623"/>
      <c r="B25" s="623"/>
      <c r="C25" s="623"/>
      <c r="D25" s="624"/>
      <c r="E25" s="603"/>
      <c r="F25" s="644"/>
      <c r="G25" s="606"/>
      <c r="H25" s="623"/>
      <c r="I25" s="622"/>
      <c r="J25" s="1563"/>
      <c r="K25" s="1561"/>
      <c r="L25" s="226"/>
    </row>
    <row r="26" spans="1:12" s="168" customFormat="1" ht="15">
      <c r="A26" s="623"/>
      <c r="B26" s="623"/>
      <c r="C26" s="623"/>
      <c r="D26" s="624"/>
      <c r="E26" s="603"/>
      <c r="F26" s="644"/>
      <c r="G26" s="606"/>
      <c r="H26" s="623"/>
      <c r="I26" s="622"/>
      <c r="J26" s="1563"/>
      <c r="K26" s="1561"/>
      <c r="L26" s="226"/>
    </row>
    <row r="27" spans="1:12" s="168" customFormat="1" ht="15">
      <c r="A27" s="623"/>
      <c r="B27" s="623"/>
      <c r="C27" s="623"/>
      <c r="D27" s="624"/>
      <c r="E27" s="603"/>
      <c r="F27" s="644"/>
      <c r="G27" s="606"/>
      <c r="H27" s="623"/>
      <c r="I27" s="622"/>
      <c r="J27" s="1166"/>
      <c r="K27" s="1165"/>
      <c r="L27" s="226"/>
    </row>
    <row r="28" spans="1:12" s="168" customFormat="1" ht="15">
      <c r="A28" s="623"/>
      <c r="B28" s="623"/>
      <c r="C28" s="623"/>
      <c r="D28" s="624"/>
      <c r="E28" s="603"/>
      <c r="F28" s="644"/>
      <c r="G28" s="606"/>
      <c r="H28" s="623"/>
      <c r="I28" s="622"/>
      <c r="J28" s="1166"/>
      <c r="K28" s="1165"/>
      <c r="L28" s="226"/>
    </row>
    <row r="29" spans="1:12" s="168" customFormat="1" ht="15">
      <c r="A29" s="623"/>
      <c r="B29" s="623"/>
      <c r="C29" s="623"/>
      <c r="D29" s="624"/>
      <c r="E29" s="603"/>
      <c r="F29" s="644"/>
      <c r="G29" s="606"/>
      <c r="H29" s="623"/>
      <c r="I29" s="622"/>
      <c r="J29" s="620"/>
      <c r="K29" s="565"/>
      <c r="L29" s="226"/>
    </row>
    <row r="30" spans="1:12" ht="15">
      <c r="A30" s="621"/>
      <c r="B30" s="1125"/>
      <c r="C30" s="1125"/>
      <c r="D30" s="621"/>
      <c r="E30" s="619"/>
      <c r="F30" s="1144" t="s">
        <v>545</v>
      </c>
      <c r="G30" s="625">
        <f>SUM(G2:G29)-SUM(I2:I29)</f>
        <v>0</v>
      </c>
      <c r="H30" s="634"/>
      <c r="I30" s="622"/>
      <c r="J30" s="634"/>
      <c r="K30" s="88"/>
      <c r="L30" s="88"/>
    </row>
  </sheetData>
  <mergeCells count="10">
    <mergeCell ref="H3:H4"/>
    <mergeCell ref="K5:K10"/>
    <mergeCell ref="J5:J10"/>
    <mergeCell ref="I5:I10"/>
    <mergeCell ref="K11:K22"/>
    <mergeCell ref="J11:J22"/>
    <mergeCell ref="I11:I22"/>
    <mergeCell ref="K3:K4"/>
    <mergeCell ref="J3:J4"/>
    <mergeCell ref="I3:I4"/>
  </mergeCells>
  <phoneticPr fontId="15" type="noConversion"/>
  <hyperlinks>
    <hyperlink ref="F30" location="汇总!A1" display="剩余欠款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N60"/>
  <sheetViews>
    <sheetView workbookViewId="0">
      <pane ySplit="1" topLeftCell="A35" activePane="bottomLeft" state="frozen"/>
      <selection pane="bottomLeft" activeCell="F60" sqref="F60"/>
    </sheetView>
  </sheetViews>
  <sheetFormatPr defaultColWidth="8.75" defaultRowHeight="14.25"/>
  <cols>
    <col min="1" max="1" width="13" style="168" customWidth="1"/>
    <col min="2" max="2" width="8.875" style="168" bestFit="1" customWidth="1"/>
    <col min="3" max="3" width="34.625" style="168" bestFit="1" customWidth="1"/>
    <col min="4" max="4" width="15" style="168" customWidth="1"/>
    <col min="5" max="5" width="12.125" style="509" customWidth="1"/>
    <col min="6" max="6" width="12.125" style="527" customWidth="1"/>
    <col min="7" max="7" width="17.25" style="168" bestFit="1" customWidth="1"/>
    <col min="8" max="8" width="16.625" style="168" bestFit="1" customWidth="1"/>
    <col min="9" max="9" width="12.875" style="237" customWidth="1"/>
    <col min="10" max="10" width="20.75" style="168" customWidth="1"/>
    <col min="11" max="11" width="17.625" style="168" customWidth="1"/>
    <col min="12" max="12" width="46.375" style="168" customWidth="1"/>
    <col min="13" max="16384" width="8.75" style="168"/>
  </cols>
  <sheetData>
    <row r="1" spans="1:12" customFormat="1" ht="18.75">
      <c r="A1" s="255" t="s">
        <v>6284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7" t="s">
        <v>542</v>
      </c>
    </row>
    <row r="2" spans="1:12" ht="15">
      <c r="A2" s="620">
        <v>44679.000497685185</v>
      </c>
      <c r="B2" s="1124" t="s">
        <v>4119</v>
      </c>
      <c r="C2" s="1124" t="s">
        <v>4413</v>
      </c>
      <c r="D2" s="621" t="s">
        <v>2004</v>
      </c>
      <c r="E2" s="613">
        <v>0.23</v>
      </c>
      <c r="F2" s="633">
        <v>0</v>
      </c>
      <c r="G2" s="622">
        <v>0.23</v>
      </c>
      <c r="H2" s="620">
        <v>44679.000497685185</v>
      </c>
      <c r="I2" s="2382">
        <v>0.92</v>
      </c>
      <c r="J2" s="1918">
        <v>44680</v>
      </c>
      <c r="K2" s="1968" t="s">
        <v>2010</v>
      </c>
      <c r="L2" s="1968" t="s">
        <v>2009</v>
      </c>
    </row>
    <row r="3" spans="1:12" ht="15">
      <c r="A3" s="620">
        <v>44679.000497685185</v>
      </c>
      <c r="B3" s="1124" t="s">
        <v>4119</v>
      </c>
      <c r="C3" s="1124" t="s">
        <v>4413</v>
      </c>
      <c r="D3" s="621" t="s">
        <v>2005</v>
      </c>
      <c r="E3" s="613">
        <v>0.27</v>
      </c>
      <c r="F3" s="633">
        <v>0</v>
      </c>
      <c r="G3" s="622">
        <v>0.27</v>
      </c>
      <c r="H3" s="620">
        <v>44679.000497685185</v>
      </c>
      <c r="I3" s="2383"/>
      <c r="J3" s="1919"/>
      <c r="K3" s="1962"/>
      <c r="L3" s="1962"/>
    </row>
    <row r="4" spans="1:12" ht="15">
      <c r="A4" s="620">
        <v>44679.000497685185</v>
      </c>
      <c r="B4" s="1124" t="s">
        <v>4119</v>
      </c>
      <c r="C4" s="1124" t="s">
        <v>4413</v>
      </c>
      <c r="D4" s="621" t="s">
        <v>2006</v>
      </c>
      <c r="E4" s="613">
        <v>0.22</v>
      </c>
      <c r="F4" s="633">
        <v>0</v>
      </c>
      <c r="G4" s="622">
        <v>0.22</v>
      </c>
      <c r="H4" s="620">
        <v>44679.000497685185</v>
      </c>
      <c r="I4" s="2383"/>
      <c r="J4" s="1919"/>
      <c r="K4" s="1962"/>
      <c r="L4" s="1962"/>
    </row>
    <row r="5" spans="1:12" ht="15">
      <c r="A5" s="620">
        <v>44679.000497685185</v>
      </c>
      <c r="B5" s="1124" t="s">
        <v>4119</v>
      </c>
      <c r="C5" s="1124" t="s">
        <v>4413</v>
      </c>
      <c r="D5" s="621" t="s">
        <v>2007</v>
      </c>
      <c r="E5" s="613">
        <v>0.2</v>
      </c>
      <c r="F5" s="633">
        <v>0</v>
      </c>
      <c r="G5" s="622">
        <v>0.2</v>
      </c>
      <c r="H5" s="620">
        <v>44679.000497685185</v>
      </c>
      <c r="I5" s="2384"/>
      <c r="J5" s="1920"/>
      <c r="K5" s="1957"/>
      <c r="L5" s="1957"/>
    </row>
    <row r="6" spans="1:12" ht="15">
      <c r="A6" s="632">
        <v>44679.000497685185</v>
      </c>
      <c r="B6" s="1124" t="s">
        <v>4119</v>
      </c>
      <c r="C6" s="1124" t="s">
        <v>4413</v>
      </c>
      <c r="D6" s="615" t="s">
        <v>2008</v>
      </c>
      <c r="E6" s="613">
        <v>2975.46</v>
      </c>
      <c r="F6" s="633">
        <v>0</v>
      </c>
      <c r="G6" s="631">
        <v>2975.46</v>
      </c>
      <c r="H6" s="632">
        <v>44739.000497685185</v>
      </c>
      <c r="I6" s="1054">
        <v>2975.46</v>
      </c>
      <c r="J6" s="632">
        <v>44771</v>
      </c>
      <c r="K6" s="483" t="s">
        <v>2585</v>
      </c>
      <c r="L6" s="226"/>
    </row>
    <row r="7" spans="1:12" ht="15">
      <c r="A7" s="632">
        <v>44690</v>
      </c>
      <c r="B7" s="1124" t="s">
        <v>4119</v>
      </c>
      <c r="C7" s="1124" t="s">
        <v>4413</v>
      </c>
      <c r="D7" s="615" t="s">
        <v>2094</v>
      </c>
      <c r="E7" s="613">
        <v>1201.2</v>
      </c>
      <c r="F7" s="633">
        <v>0</v>
      </c>
      <c r="G7" s="631">
        <v>1201.2</v>
      </c>
      <c r="H7" s="632">
        <v>44720</v>
      </c>
      <c r="I7" s="1054">
        <v>1201.2</v>
      </c>
      <c r="J7" s="632">
        <v>44754</v>
      </c>
      <c r="K7" s="448" t="s">
        <v>2585</v>
      </c>
      <c r="L7" s="226"/>
    </row>
    <row r="8" spans="1:12" ht="15">
      <c r="A8" s="632">
        <v>44692</v>
      </c>
      <c r="B8" s="1124" t="s">
        <v>4119</v>
      </c>
      <c r="C8" s="1124" t="s">
        <v>4413</v>
      </c>
      <c r="D8" s="615" t="s">
        <v>2095</v>
      </c>
      <c r="E8" s="613">
        <v>1244.32</v>
      </c>
      <c r="F8" s="633">
        <v>0</v>
      </c>
      <c r="G8" s="631">
        <v>1244.32</v>
      </c>
      <c r="H8" s="632">
        <v>44722</v>
      </c>
      <c r="I8" s="1054">
        <v>1244.32</v>
      </c>
      <c r="J8" s="632">
        <v>44754</v>
      </c>
      <c r="K8" s="448" t="s">
        <v>2585</v>
      </c>
      <c r="L8" s="226"/>
    </row>
    <row r="9" spans="1:12" ht="15">
      <c r="A9" s="632">
        <v>44736</v>
      </c>
      <c r="B9" s="1124" t="s">
        <v>4119</v>
      </c>
      <c r="C9" s="1124" t="s">
        <v>4413</v>
      </c>
      <c r="D9" s="615" t="s">
        <v>2335</v>
      </c>
      <c r="E9" s="609">
        <v>749.03</v>
      </c>
      <c r="F9" s="649">
        <v>0</v>
      </c>
      <c r="G9" s="631">
        <v>749.03</v>
      </c>
      <c r="H9" s="632">
        <v>44736</v>
      </c>
      <c r="I9" s="2042">
        <v>1415.23</v>
      </c>
      <c r="J9" s="1903">
        <v>44802</v>
      </c>
      <c r="K9" s="1935" t="s">
        <v>2941</v>
      </c>
      <c r="L9" s="1968"/>
    </row>
    <row r="10" spans="1:12" ht="15">
      <c r="A10" s="632">
        <v>44762.000497685185</v>
      </c>
      <c r="B10" s="1124" t="s">
        <v>521</v>
      </c>
      <c r="C10" s="1124" t="s">
        <v>4413</v>
      </c>
      <c r="D10" s="615" t="s">
        <v>2489</v>
      </c>
      <c r="E10" s="609">
        <v>666.2</v>
      </c>
      <c r="F10" s="649">
        <v>0</v>
      </c>
      <c r="G10" s="631">
        <v>666.2</v>
      </c>
      <c r="H10" s="632">
        <v>44762</v>
      </c>
      <c r="I10" s="2044"/>
      <c r="J10" s="1905"/>
      <c r="K10" s="1947"/>
      <c r="L10" s="1957"/>
    </row>
    <row r="11" spans="1:12" ht="15">
      <c r="A11" s="841">
        <v>44782.000497685185</v>
      </c>
      <c r="B11" s="1124" t="s">
        <v>2644</v>
      </c>
      <c r="C11" s="1124" t="s">
        <v>4413</v>
      </c>
      <c r="D11" s="842" t="s">
        <v>2693</v>
      </c>
      <c r="E11" s="843">
        <v>100.8</v>
      </c>
      <c r="F11" s="649">
        <v>0</v>
      </c>
      <c r="G11" s="631">
        <v>100.8</v>
      </c>
      <c r="H11" s="841">
        <v>44783.000497685185</v>
      </c>
      <c r="I11" s="2382">
        <v>1970.12</v>
      </c>
      <c r="J11" s="1903">
        <v>44844</v>
      </c>
      <c r="K11" s="1968" t="s">
        <v>3275</v>
      </c>
      <c r="L11" s="1968"/>
    </row>
    <row r="12" spans="1:12" ht="15">
      <c r="A12" s="841">
        <v>44782.000497685185</v>
      </c>
      <c r="B12" s="1124" t="s">
        <v>2644</v>
      </c>
      <c r="C12" s="1124" t="s">
        <v>4413</v>
      </c>
      <c r="D12" s="842" t="s">
        <v>2694</v>
      </c>
      <c r="E12" s="843">
        <v>942.55</v>
      </c>
      <c r="F12" s="649">
        <v>0</v>
      </c>
      <c r="G12" s="631">
        <v>942.55</v>
      </c>
      <c r="H12" s="841">
        <v>44783.000497685185</v>
      </c>
      <c r="I12" s="2383"/>
      <c r="J12" s="1904"/>
      <c r="K12" s="1962"/>
      <c r="L12" s="1962"/>
    </row>
    <row r="13" spans="1:12" ht="15">
      <c r="A13" s="841">
        <v>44799</v>
      </c>
      <c r="B13" s="1124" t="s">
        <v>2644</v>
      </c>
      <c r="C13" s="1124" t="s">
        <v>4413</v>
      </c>
      <c r="D13" s="842" t="s">
        <v>2855</v>
      </c>
      <c r="E13" s="843">
        <v>563.47</v>
      </c>
      <c r="F13" s="649">
        <v>0</v>
      </c>
      <c r="G13" s="631">
        <v>563.47</v>
      </c>
      <c r="H13" s="841">
        <v>44800</v>
      </c>
      <c r="I13" s="2383"/>
      <c r="J13" s="1904"/>
      <c r="K13" s="1962"/>
      <c r="L13" s="1962"/>
    </row>
    <row r="14" spans="1:12" ht="15">
      <c r="A14" s="841">
        <v>44804</v>
      </c>
      <c r="B14" s="1124" t="s">
        <v>2644</v>
      </c>
      <c r="C14" s="1124" t="s">
        <v>4413</v>
      </c>
      <c r="D14" s="842" t="s">
        <v>2921</v>
      </c>
      <c r="E14" s="843">
        <v>214.2</v>
      </c>
      <c r="F14" s="649">
        <v>0</v>
      </c>
      <c r="G14" s="631">
        <v>214.2</v>
      </c>
      <c r="H14" s="841">
        <v>44805</v>
      </c>
      <c r="I14" s="2383"/>
      <c r="J14" s="1904"/>
      <c r="K14" s="1962"/>
      <c r="L14" s="1962"/>
    </row>
    <row r="15" spans="1:12" ht="15">
      <c r="A15" s="841">
        <v>44804</v>
      </c>
      <c r="B15" s="1124" t="s">
        <v>2644</v>
      </c>
      <c r="C15" s="1124" t="s">
        <v>4413</v>
      </c>
      <c r="D15" s="842" t="s">
        <v>2922</v>
      </c>
      <c r="E15" s="843">
        <v>149.1</v>
      </c>
      <c r="F15" s="649">
        <v>0</v>
      </c>
      <c r="G15" s="631">
        <v>149.1</v>
      </c>
      <c r="H15" s="841">
        <v>44805</v>
      </c>
      <c r="I15" s="2384"/>
      <c r="J15" s="1905"/>
      <c r="K15" s="1957"/>
      <c r="L15" s="1957"/>
    </row>
    <row r="16" spans="1:12" ht="15">
      <c r="A16" s="871">
        <v>44804</v>
      </c>
      <c r="B16" s="1124" t="s">
        <v>2644</v>
      </c>
      <c r="C16" s="1124" t="s">
        <v>4413</v>
      </c>
      <c r="D16" s="872" t="s">
        <v>2923</v>
      </c>
      <c r="E16" s="873">
        <v>1288.67</v>
      </c>
      <c r="F16" s="649">
        <v>0</v>
      </c>
      <c r="G16" s="631">
        <v>1288.67</v>
      </c>
      <c r="H16" s="871">
        <v>44805</v>
      </c>
      <c r="I16" s="1054">
        <v>1288.67</v>
      </c>
      <c r="J16" s="632">
        <v>44865</v>
      </c>
      <c r="K16" s="869" t="s">
        <v>3389</v>
      </c>
      <c r="L16" s="226"/>
    </row>
    <row r="17" spans="1:14" ht="15">
      <c r="A17" s="1021">
        <v>44840</v>
      </c>
      <c r="B17" s="1124" t="s">
        <v>2644</v>
      </c>
      <c r="C17" s="1124" t="s">
        <v>4413</v>
      </c>
      <c r="D17" s="1022" t="s">
        <v>3224</v>
      </c>
      <c r="E17" s="1023">
        <v>2279.34</v>
      </c>
      <c r="F17" s="649">
        <v>0</v>
      </c>
      <c r="G17" s="631">
        <v>2279.34</v>
      </c>
      <c r="H17" s="1021">
        <v>44841</v>
      </c>
      <c r="I17" s="2382">
        <v>2178.65</v>
      </c>
      <c r="J17" s="1903">
        <v>44930</v>
      </c>
      <c r="K17" s="1968" t="s">
        <v>3874</v>
      </c>
      <c r="L17" s="226"/>
    </row>
    <row r="18" spans="1:14" ht="15">
      <c r="A18" s="1021">
        <v>44845</v>
      </c>
      <c r="B18" s="1124" t="s">
        <v>2644</v>
      </c>
      <c r="C18" s="1124" t="s">
        <v>4413</v>
      </c>
      <c r="D18" s="1022" t="s">
        <v>3254</v>
      </c>
      <c r="E18" s="1023">
        <v>-70.53</v>
      </c>
      <c r="F18" s="649">
        <v>0</v>
      </c>
      <c r="G18" s="631">
        <v>-70.53</v>
      </c>
      <c r="H18" s="1021"/>
      <c r="I18" s="2383"/>
      <c r="J18" s="1904"/>
      <c r="K18" s="1962"/>
      <c r="L18" s="226"/>
    </row>
    <row r="19" spans="1:14" ht="15">
      <c r="A19" s="1021">
        <v>44845</v>
      </c>
      <c r="B19" s="1124" t="s">
        <v>2644</v>
      </c>
      <c r="C19" s="1124" t="s">
        <v>4413</v>
      </c>
      <c r="D19" s="1022" t="s">
        <v>3255</v>
      </c>
      <c r="E19" s="1023">
        <v>-0.95</v>
      </c>
      <c r="F19" s="649">
        <v>0</v>
      </c>
      <c r="G19" s="631">
        <v>-0.95</v>
      </c>
      <c r="H19" s="1021"/>
      <c r="I19" s="2383"/>
      <c r="J19" s="1904"/>
      <c r="K19" s="1962"/>
      <c r="L19" s="226"/>
    </row>
    <row r="20" spans="1:14" ht="15">
      <c r="A20" s="1021">
        <v>44848</v>
      </c>
      <c r="B20" s="1124" t="s">
        <v>2644</v>
      </c>
      <c r="C20" s="1124" t="s">
        <v>4413</v>
      </c>
      <c r="D20" s="1022" t="s">
        <v>3256</v>
      </c>
      <c r="E20" s="1023">
        <v>-8.2100000000000009</v>
      </c>
      <c r="F20" s="649">
        <v>0</v>
      </c>
      <c r="G20" s="631">
        <v>-8.2100000000000009</v>
      </c>
      <c r="H20" s="1021"/>
      <c r="I20" s="2383"/>
      <c r="J20" s="1904"/>
      <c r="K20" s="1962"/>
      <c r="L20" s="226"/>
    </row>
    <row r="21" spans="1:14" ht="15">
      <c r="A21" s="1031">
        <v>44887</v>
      </c>
      <c r="B21" s="1124" t="s">
        <v>2644</v>
      </c>
      <c r="C21" s="1124" t="s">
        <v>4413</v>
      </c>
      <c r="D21" s="1036" t="s">
        <v>3537</v>
      </c>
      <c r="E21" s="1041">
        <v>-21</v>
      </c>
      <c r="F21" s="649">
        <v>0</v>
      </c>
      <c r="G21" s="631">
        <v>-21</v>
      </c>
      <c r="H21" s="1021"/>
      <c r="I21" s="2384"/>
      <c r="J21" s="1905"/>
      <c r="K21" s="1957"/>
      <c r="L21" s="226"/>
      <c r="M21" s="190"/>
      <c r="N21" s="190"/>
    </row>
    <row r="22" spans="1:14" ht="15">
      <c r="A22" s="1116">
        <v>44865</v>
      </c>
      <c r="B22" s="1124" t="s">
        <v>2644</v>
      </c>
      <c r="C22" s="1124" t="s">
        <v>4413</v>
      </c>
      <c r="D22" s="1117" t="s">
        <v>3365</v>
      </c>
      <c r="E22" s="1119">
        <v>877.28</v>
      </c>
      <c r="F22" s="649">
        <v>0</v>
      </c>
      <c r="G22" s="631">
        <v>877.28</v>
      </c>
      <c r="H22" s="1116">
        <v>44866</v>
      </c>
      <c r="I22" s="2042">
        <v>1956</v>
      </c>
      <c r="J22" s="1903">
        <v>44935</v>
      </c>
      <c r="K22" s="1968" t="s">
        <v>3931</v>
      </c>
      <c r="L22" s="226"/>
    </row>
    <row r="23" spans="1:14" ht="15">
      <c r="A23" s="1903">
        <v>44882</v>
      </c>
      <c r="B23" s="1918" t="s">
        <v>2644</v>
      </c>
      <c r="C23" s="1918" t="s">
        <v>4413</v>
      </c>
      <c r="D23" s="1909" t="s">
        <v>3487</v>
      </c>
      <c r="E23" s="1923">
        <v>1099.8</v>
      </c>
      <c r="F23" s="1927">
        <v>0</v>
      </c>
      <c r="G23" s="631">
        <v>1078.72</v>
      </c>
      <c r="H23" s="1116">
        <v>44883</v>
      </c>
      <c r="I23" s="2044"/>
      <c r="J23" s="1905"/>
      <c r="K23" s="1957"/>
      <c r="L23" s="226"/>
    </row>
    <row r="24" spans="1:14" ht="15">
      <c r="A24" s="1905"/>
      <c r="B24" s="1920"/>
      <c r="C24" s="1920"/>
      <c r="D24" s="1911"/>
      <c r="E24" s="1924"/>
      <c r="F24" s="1928"/>
      <c r="G24" s="631">
        <f>1099.8-1078.72</f>
        <v>21.079999999999927</v>
      </c>
      <c r="H24" s="1116">
        <v>44883</v>
      </c>
      <c r="I24" s="2042">
        <v>987.83</v>
      </c>
      <c r="J24" s="1903">
        <v>44963</v>
      </c>
      <c r="K24" s="1956" t="s">
        <v>4089</v>
      </c>
      <c r="L24" s="226"/>
    </row>
    <row r="25" spans="1:14" ht="15">
      <c r="A25" s="1116">
        <v>44923</v>
      </c>
      <c r="B25" s="1124" t="s">
        <v>2644</v>
      </c>
      <c r="C25" s="1124" t="s">
        <v>4413</v>
      </c>
      <c r="D25" s="1117" t="s">
        <v>3825</v>
      </c>
      <c r="E25" s="1119">
        <v>966.75</v>
      </c>
      <c r="F25" s="649">
        <v>0</v>
      </c>
      <c r="G25" s="631">
        <v>966.75</v>
      </c>
      <c r="H25" s="1116">
        <v>44968</v>
      </c>
      <c r="I25" s="2044"/>
      <c r="J25" s="1905"/>
      <c r="K25" s="1957"/>
      <c r="L25" s="226"/>
    </row>
    <row r="26" spans="1:14" ht="15">
      <c r="A26" s="1258">
        <v>44937</v>
      </c>
      <c r="B26" s="1258" t="s">
        <v>2644</v>
      </c>
      <c r="C26" s="1258" t="s">
        <v>4413</v>
      </c>
      <c r="D26" s="1262" t="s">
        <v>3905</v>
      </c>
      <c r="E26" s="1264">
        <v>2512.8000000000002</v>
      </c>
      <c r="F26" s="649">
        <v>0</v>
      </c>
      <c r="G26" s="631">
        <v>2512.8000000000002</v>
      </c>
      <c r="H26" s="1258">
        <v>44997</v>
      </c>
      <c r="I26" s="2042">
        <v>2502.8000000000002</v>
      </c>
      <c r="J26" s="1903">
        <v>45007</v>
      </c>
      <c r="K26" s="1935" t="s">
        <v>4588</v>
      </c>
      <c r="L26" s="226"/>
    </row>
    <row r="27" spans="1:14" ht="15">
      <c r="A27" s="1258">
        <v>45007</v>
      </c>
      <c r="B27" s="1258" t="s">
        <v>2644</v>
      </c>
      <c r="C27" s="1258" t="s">
        <v>4413</v>
      </c>
      <c r="D27" s="1262" t="s">
        <v>4560</v>
      </c>
      <c r="E27" s="1264">
        <v>-10</v>
      </c>
      <c r="F27" s="649">
        <v>0</v>
      </c>
      <c r="G27" s="631">
        <v>-10</v>
      </c>
      <c r="H27" s="1258"/>
      <c r="I27" s="2044"/>
      <c r="J27" s="1905"/>
      <c r="K27" s="1947"/>
      <c r="L27" s="226"/>
    </row>
    <row r="28" spans="1:14" ht="15">
      <c r="A28" s="1403">
        <v>44963.000497685185</v>
      </c>
      <c r="B28" s="1403" t="s">
        <v>2644</v>
      </c>
      <c r="C28" s="1403" t="s">
        <v>4413</v>
      </c>
      <c r="D28" s="1405" t="s">
        <v>4082</v>
      </c>
      <c r="E28" s="1413">
        <v>552.6</v>
      </c>
      <c r="F28" s="649">
        <v>0</v>
      </c>
      <c r="G28" s="631">
        <v>552.6</v>
      </c>
      <c r="H28" s="1403">
        <v>45023.000497685185</v>
      </c>
      <c r="I28" s="2042">
        <v>2732.65</v>
      </c>
      <c r="J28" s="1903">
        <v>45061</v>
      </c>
      <c r="K28" s="1938" t="s">
        <v>5136</v>
      </c>
      <c r="L28" s="226"/>
    </row>
    <row r="29" spans="1:14" ht="15">
      <c r="A29" s="1403">
        <v>44978</v>
      </c>
      <c r="B29" s="1403" t="s">
        <v>2644</v>
      </c>
      <c r="C29" s="1403" t="s">
        <v>4413</v>
      </c>
      <c r="D29" s="1405" t="s">
        <v>4234</v>
      </c>
      <c r="E29" s="1413">
        <v>856</v>
      </c>
      <c r="F29" s="649">
        <v>0</v>
      </c>
      <c r="G29" s="631">
        <v>856</v>
      </c>
      <c r="H29" s="1403">
        <v>45023</v>
      </c>
      <c r="I29" s="2043"/>
      <c r="J29" s="1904"/>
      <c r="K29" s="1950"/>
      <c r="L29" s="226"/>
    </row>
    <row r="30" spans="1:14" ht="15">
      <c r="A30" s="1403">
        <v>45006</v>
      </c>
      <c r="B30" s="1403" t="s">
        <v>2644</v>
      </c>
      <c r="C30" s="1403" t="s">
        <v>5137</v>
      </c>
      <c r="D30" s="1405" t="s">
        <v>4559</v>
      </c>
      <c r="E30" s="1413">
        <v>1338.3</v>
      </c>
      <c r="F30" s="649">
        <v>0</v>
      </c>
      <c r="G30" s="631">
        <v>1338.3</v>
      </c>
      <c r="H30" s="1403">
        <v>45066</v>
      </c>
      <c r="I30" s="2043"/>
      <c r="J30" s="1904"/>
      <c r="K30" s="1950"/>
      <c r="L30" s="226"/>
    </row>
    <row r="31" spans="1:14" ht="42.75">
      <c r="A31" s="1403">
        <v>45037</v>
      </c>
      <c r="B31" s="1403" t="s">
        <v>2644</v>
      </c>
      <c r="C31" s="1403" t="s">
        <v>4413</v>
      </c>
      <c r="D31" s="1405" t="s">
        <v>4823</v>
      </c>
      <c r="E31" s="1413">
        <v>-14.25</v>
      </c>
      <c r="F31" s="649">
        <v>0</v>
      </c>
      <c r="G31" s="631">
        <v>-14.25</v>
      </c>
      <c r="H31" s="1403">
        <v>45038</v>
      </c>
      <c r="I31" s="2044"/>
      <c r="J31" s="1905"/>
      <c r="K31" s="1947"/>
      <c r="L31" s="366" t="s">
        <v>4824</v>
      </c>
    </row>
    <row r="32" spans="1:14" ht="15">
      <c r="A32" s="1484">
        <v>45036</v>
      </c>
      <c r="B32" s="1484" t="s">
        <v>2644</v>
      </c>
      <c r="C32" s="1484" t="s">
        <v>4413</v>
      </c>
      <c r="D32" s="1486" t="s">
        <v>4822</v>
      </c>
      <c r="E32" s="1488">
        <v>1151.55</v>
      </c>
      <c r="F32" s="649">
        <v>0</v>
      </c>
      <c r="G32" s="631">
        <v>1151.55</v>
      </c>
      <c r="H32" s="1484">
        <v>45096</v>
      </c>
      <c r="I32" s="1492">
        <v>1151.55</v>
      </c>
      <c r="J32" s="1484">
        <v>45096</v>
      </c>
      <c r="K32" s="1485" t="s">
        <v>5465</v>
      </c>
      <c r="L32" s="226"/>
    </row>
    <row r="33" spans="1:12" ht="15">
      <c r="A33" s="1549">
        <v>45058</v>
      </c>
      <c r="B33" s="1549" t="s">
        <v>2644</v>
      </c>
      <c r="C33" s="1549" t="s">
        <v>4413</v>
      </c>
      <c r="D33" s="1551" t="s">
        <v>4989</v>
      </c>
      <c r="E33" s="1555">
        <v>2861.7</v>
      </c>
      <c r="F33" s="649">
        <v>0</v>
      </c>
      <c r="G33" s="631">
        <v>2861.7</v>
      </c>
      <c r="H33" s="1549">
        <v>45118</v>
      </c>
      <c r="I33" s="2042">
        <v>2854.72</v>
      </c>
      <c r="J33" s="1903">
        <v>45128</v>
      </c>
      <c r="K33" s="1956" t="s">
        <v>5968</v>
      </c>
      <c r="L33" s="226"/>
    </row>
    <row r="34" spans="1:12" ht="15">
      <c r="A34" s="1549">
        <v>45096</v>
      </c>
      <c r="B34" s="1549" t="s">
        <v>2644</v>
      </c>
      <c r="C34" s="1549" t="s">
        <v>4413</v>
      </c>
      <c r="D34" s="1551" t="s">
        <v>5427</v>
      </c>
      <c r="E34" s="1555">
        <v>-6.98</v>
      </c>
      <c r="F34" s="649">
        <v>0</v>
      </c>
      <c r="G34" s="631">
        <v>-6.98</v>
      </c>
      <c r="H34" s="1549"/>
      <c r="I34" s="2044"/>
      <c r="J34" s="1905"/>
      <c r="K34" s="1957"/>
      <c r="L34" s="226"/>
    </row>
    <row r="35" spans="1:12" ht="15">
      <c r="A35" s="1549">
        <v>45061</v>
      </c>
      <c r="B35" s="1549" t="s">
        <v>2644</v>
      </c>
      <c r="C35" s="1549" t="s">
        <v>4413</v>
      </c>
      <c r="D35" s="1551" t="s">
        <v>5118</v>
      </c>
      <c r="E35" s="1555">
        <v>-315.32</v>
      </c>
      <c r="F35" s="649">
        <v>0</v>
      </c>
      <c r="G35" s="631">
        <v>-315.32</v>
      </c>
      <c r="H35" s="1549"/>
      <c r="I35" s="2042">
        <v>-321.55</v>
      </c>
      <c r="J35" s="1903">
        <v>45128</v>
      </c>
      <c r="K35" s="1956" t="s">
        <v>5672</v>
      </c>
      <c r="L35" s="226"/>
    </row>
    <row r="36" spans="1:12" ht="15">
      <c r="A36" s="1549">
        <v>45096</v>
      </c>
      <c r="B36" s="1549" t="s">
        <v>2644</v>
      </c>
      <c r="C36" s="1549" t="s">
        <v>4413</v>
      </c>
      <c r="D36" s="1551" t="s">
        <v>5429</v>
      </c>
      <c r="E36" s="1555">
        <v>-6.23</v>
      </c>
      <c r="F36" s="649">
        <v>0</v>
      </c>
      <c r="G36" s="631">
        <v>-6.23</v>
      </c>
      <c r="H36" s="1549"/>
      <c r="I36" s="2044"/>
      <c r="J36" s="1905"/>
      <c r="K36" s="1957"/>
      <c r="L36" s="226"/>
    </row>
    <row r="37" spans="1:12" ht="15">
      <c r="A37" s="1903">
        <v>45099</v>
      </c>
      <c r="B37" s="1903" t="s">
        <v>2644</v>
      </c>
      <c r="C37" s="1903" t="s">
        <v>4413</v>
      </c>
      <c r="D37" s="1909" t="s">
        <v>5428</v>
      </c>
      <c r="E37" s="1923">
        <v>7330.25</v>
      </c>
      <c r="F37" s="1927">
        <v>0</v>
      </c>
      <c r="G37" s="631">
        <f>7330.25-3521.71</f>
        <v>3808.54</v>
      </c>
      <c r="H37" s="1738">
        <v>45159</v>
      </c>
      <c r="I37" s="1755">
        <v>3808.54</v>
      </c>
      <c r="J37" s="1738">
        <v>45197</v>
      </c>
      <c r="K37" s="1736" t="s">
        <v>6287</v>
      </c>
      <c r="L37" s="226"/>
    </row>
    <row r="38" spans="1:12" ht="15">
      <c r="A38" s="1905"/>
      <c r="B38" s="1905"/>
      <c r="C38" s="1905"/>
      <c r="D38" s="1911"/>
      <c r="E38" s="1924"/>
      <c r="F38" s="1928"/>
      <c r="G38" s="631">
        <v>3521.71</v>
      </c>
      <c r="H38" s="1738">
        <v>45159</v>
      </c>
      <c r="I38" s="2042">
        <v>3500</v>
      </c>
      <c r="J38" s="1903">
        <v>45166</v>
      </c>
      <c r="K38" s="1938" t="s">
        <v>6285</v>
      </c>
      <c r="L38" s="226"/>
    </row>
    <row r="39" spans="1:12" ht="15">
      <c r="A39" s="1738">
        <v>45128</v>
      </c>
      <c r="B39" s="1738" t="s">
        <v>2644</v>
      </c>
      <c r="C39" s="1738" t="s">
        <v>4413</v>
      </c>
      <c r="D39" s="1742" t="s">
        <v>5646</v>
      </c>
      <c r="E39" s="1752">
        <v>-1.26</v>
      </c>
      <c r="F39" s="649">
        <v>0</v>
      </c>
      <c r="G39" s="631">
        <v>-1.26</v>
      </c>
      <c r="H39" s="1738"/>
      <c r="I39" s="2043"/>
      <c r="J39" s="1904"/>
      <c r="K39" s="1950"/>
      <c r="L39" s="226"/>
    </row>
    <row r="40" spans="1:12" ht="15">
      <c r="A40" s="1738">
        <v>45128</v>
      </c>
      <c r="B40" s="1738" t="s">
        <v>2644</v>
      </c>
      <c r="C40" s="1738" t="s">
        <v>4413</v>
      </c>
      <c r="D40" s="1742" t="s">
        <v>5647</v>
      </c>
      <c r="E40" s="1752">
        <v>-3.49</v>
      </c>
      <c r="F40" s="649">
        <v>0</v>
      </c>
      <c r="G40" s="631">
        <v>-3.49</v>
      </c>
      <c r="H40" s="1738"/>
      <c r="I40" s="2043"/>
      <c r="J40" s="1904"/>
      <c r="K40" s="1950"/>
      <c r="L40" s="226"/>
    </row>
    <row r="41" spans="1:12" ht="15">
      <c r="A41" s="1738">
        <v>45128</v>
      </c>
      <c r="B41" s="1738" t="s">
        <v>2644</v>
      </c>
      <c r="C41" s="1738" t="s">
        <v>4413</v>
      </c>
      <c r="D41" s="1742" t="s">
        <v>5648</v>
      </c>
      <c r="E41" s="1752">
        <v>-16.96</v>
      </c>
      <c r="F41" s="649">
        <v>0</v>
      </c>
      <c r="G41" s="631">
        <v>-16.96</v>
      </c>
      <c r="H41" s="1738"/>
      <c r="I41" s="2044"/>
      <c r="J41" s="1905"/>
      <c r="K41" s="1947"/>
      <c r="L41" s="226"/>
    </row>
    <row r="42" spans="1:12" ht="15">
      <c r="A42" s="1738">
        <v>45133</v>
      </c>
      <c r="B42" s="1738" t="s">
        <v>2644</v>
      </c>
      <c r="C42" s="1738" t="s">
        <v>4413</v>
      </c>
      <c r="D42" s="1742" t="s">
        <v>5691</v>
      </c>
      <c r="E42" s="1752">
        <v>4661.63</v>
      </c>
      <c r="F42" s="649">
        <v>0</v>
      </c>
      <c r="G42" s="631">
        <v>4661.63</v>
      </c>
      <c r="H42" s="1738">
        <v>45193</v>
      </c>
      <c r="I42" s="2042">
        <v>4600.87</v>
      </c>
      <c r="J42" s="1903">
        <v>45194</v>
      </c>
      <c r="K42" s="1938" t="s">
        <v>6286</v>
      </c>
      <c r="L42" s="226"/>
    </row>
    <row r="43" spans="1:12" ht="15">
      <c r="A43" s="1738">
        <v>45167</v>
      </c>
      <c r="B43" s="1738" t="s">
        <v>2644</v>
      </c>
      <c r="C43" s="1738" t="s">
        <v>4413</v>
      </c>
      <c r="D43" s="1742" t="s">
        <v>5961</v>
      </c>
      <c r="E43" s="1752">
        <v>-56.26</v>
      </c>
      <c r="F43" s="649">
        <v>0</v>
      </c>
      <c r="G43" s="631">
        <v>-56.26</v>
      </c>
      <c r="H43" s="1738" t="s">
        <v>1529</v>
      </c>
      <c r="I43" s="2043"/>
      <c r="J43" s="1904"/>
      <c r="K43" s="1950"/>
      <c r="L43" s="226"/>
    </row>
    <row r="44" spans="1:12" ht="15">
      <c r="A44" s="1738">
        <v>45167</v>
      </c>
      <c r="B44" s="1738" t="s">
        <v>2644</v>
      </c>
      <c r="C44" s="1738" t="s">
        <v>4413</v>
      </c>
      <c r="D44" s="1742" t="s">
        <v>5960</v>
      </c>
      <c r="E44" s="1752">
        <v>-4.5</v>
      </c>
      <c r="F44" s="649">
        <v>0</v>
      </c>
      <c r="G44" s="631">
        <v>-4.5</v>
      </c>
      <c r="H44" s="1738" t="s">
        <v>1529</v>
      </c>
      <c r="I44" s="2044"/>
      <c r="J44" s="1905"/>
      <c r="K44" s="1947"/>
      <c r="L44" s="226"/>
    </row>
    <row r="45" spans="1:12" ht="15">
      <c r="A45" s="1856">
        <v>45138</v>
      </c>
      <c r="B45" s="1856" t="s">
        <v>2644</v>
      </c>
      <c r="C45" s="1856" t="s">
        <v>4413</v>
      </c>
      <c r="D45" s="1858" t="s">
        <v>5835</v>
      </c>
      <c r="E45" s="1866">
        <v>141.44999999999999</v>
      </c>
      <c r="F45" s="649">
        <v>0</v>
      </c>
      <c r="G45" s="631">
        <v>141.44999999999999</v>
      </c>
      <c r="H45" s="1856">
        <v>45198</v>
      </c>
      <c r="I45" s="2042">
        <v>1714.63</v>
      </c>
      <c r="J45" s="1903">
        <v>45247</v>
      </c>
      <c r="K45" s="1938" t="s">
        <v>6617</v>
      </c>
      <c r="L45" s="226"/>
    </row>
    <row r="46" spans="1:12" ht="15">
      <c r="A46" s="1856">
        <v>45167</v>
      </c>
      <c r="B46" s="1856" t="s">
        <v>2644</v>
      </c>
      <c r="C46" s="1856" t="s">
        <v>4413</v>
      </c>
      <c r="D46" s="1858" t="s">
        <v>5959</v>
      </c>
      <c r="E46" s="1866">
        <v>1660.28</v>
      </c>
      <c r="F46" s="649">
        <v>0</v>
      </c>
      <c r="G46" s="631">
        <v>1660.28</v>
      </c>
      <c r="H46" s="1856">
        <v>45227.000497685185</v>
      </c>
      <c r="I46" s="2043"/>
      <c r="J46" s="1904"/>
      <c r="K46" s="1950"/>
      <c r="L46" s="226"/>
    </row>
    <row r="47" spans="1:12" ht="15">
      <c r="A47" s="1856">
        <v>45194</v>
      </c>
      <c r="B47" s="1856" t="s">
        <v>2644</v>
      </c>
      <c r="C47" s="1856" t="s">
        <v>4413</v>
      </c>
      <c r="D47" s="1858" t="s">
        <v>6236</v>
      </c>
      <c r="E47" s="1866">
        <v>-18.079999999999998</v>
      </c>
      <c r="F47" s="649">
        <v>0</v>
      </c>
      <c r="G47" s="631">
        <v>-18.079999999999998</v>
      </c>
      <c r="H47" s="1856"/>
      <c r="I47" s="2043"/>
      <c r="J47" s="1904"/>
      <c r="K47" s="1950"/>
      <c r="L47" s="226"/>
    </row>
    <row r="48" spans="1:12" s="388" customFormat="1" ht="15">
      <c r="A48" s="1856">
        <v>45194</v>
      </c>
      <c r="B48" s="1856" t="s">
        <v>2644</v>
      </c>
      <c r="C48" s="1856" t="s">
        <v>4413</v>
      </c>
      <c r="D48" s="1858" t="s">
        <v>6237</v>
      </c>
      <c r="E48" s="1866">
        <v>-10.58</v>
      </c>
      <c r="F48" s="649">
        <v>0</v>
      </c>
      <c r="G48" s="631">
        <v>-10.58</v>
      </c>
      <c r="H48" s="1856"/>
      <c r="I48" s="2043"/>
      <c r="J48" s="1904"/>
      <c r="K48" s="1950"/>
      <c r="L48" s="166"/>
    </row>
    <row r="49" spans="1:12" ht="15">
      <c r="A49" s="1856">
        <v>45212</v>
      </c>
      <c r="B49" s="1856" t="s">
        <v>2644</v>
      </c>
      <c r="C49" s="1856" t="s">
        <v>4413</v>
      </c>
      <c r="D49" s="1858" t="s">
        <v>6327</v>
      </c>
      <c r="E49" s="1866">
        <v>-45</v>
      </c>
      <c r="F49" s="649">
        <v>0</v>
      </c>
      <c r="G49" s="631">
        <v>-45</v>
      </c>
      <c r="H49" s="1856"/>
      <c r="I49" s="2043"/>
      <c r="J49" s="1904"/>
      <c r="K49" s="1950"/>
      <c r="L49" s="226"/>
    </row>
    <row r="50" spans="1:12" ht="15">
      <c r="A50" s="1856">
        <v>45212</v>
      </c>
      <c r="B50" s="1856" t="s">
        <v>2644</v>
      </c>
      <c r="C50" s="1856" t="s">
        <v>4413</v>
      </c>
      <c r="D50" s="1858" t="s">
        <v>6328</v>
      </c>
      <c r="E50" s="1866">
        <v>-13.44</v>
      </c>
      <c r="F50" s="649">
        <v>0</v>
      </c>
      <c r="G50" s="631">
        <v>-13.44</v>
      </c>
      <c r="H50" s="1856"/>
      <c r="I50" s="2044"/>
      <c r="J50" s="1905"/>
      <c r="K50" s="1947"/>
      <c r="L50" s="226"/>
    </row>
    <row r="51" spans="1:12" ht="15">
      <c r="A51" s="623">
        <v>45201</v>
      </c>
      <c r="B51" s="623" t="s">
        <v>2644</v>
      </c>
      <c r="C51" s="623" t="s">
        <v>4413</v>
      </c>
      <c r="D51" s="624" t="s">
        <v>6238</v>
      </c>
      <c r="E51" s="603">
        <v>2717.81</v>
      </c>
      <c r="F51" s="644">
        <v>0</v>
      </c>
      <c r="G51" s="606">
        <v>2717.81</v>
      </c>
      <c r="H51" s="623">
        <v>45260</v>
      </c>
      <c r="I51" s="1053"/>
      <c r="J51" s="1321"/>
      <c r="K51" s="1316"/>
      <c r="L51" s="226"/>
    </row>
    <row r="52" spans="1:12" ht="15">
      <c r="A52" s="623">
        <v>45247</v>
      </c>
      <c r="B52" s="623" t="s">
        <v>2644</v>
      </c>
      <c r="C52" s="623" t="s">
        <v>4413</v>
      </c>
      <c r="D52" s="624" t="s">
        <v>6572</v>
      </c>
      <c r="E52" s="603">
        <v>-70.8</v>
      </c>
      <c r="F52" s="644">
        <v>0</v>
      </c>
      <c r="G52" s="606">
        <v>-70.8</v>
      </c>
      <c r="H52" s="623"/>
      <c r="I52" s="1053"/>
      <c r="J52" s="1768"/>
      <c r="K52" s="1763"/>
      <c r="L52" s="226"/>
    </row>
    <row r="53" spans="1:12" ht="15">
      <c r="A53" s="623">
        <v>45247</v>
      </c>
      <c r="B53" s="623" t="s">
        <v>2644</v>
      </c>
      <c r="C53" s="623" t="s">
        <v>4413</v>
      </c>
      <c r="D53" s="624" t="s">
        <v>6573</v>
      </c>
      <c r="E53" s="603">
        <v>-3.71</v>
      </c>
      <c r="F53" s="644">
        <v>0</v>
      </c>
      <c r="G53" s="606">
        <v>-3.71</v>
      </c>
      <c r="H53" s="623"/>
      <c r="I53" s="1053"/>
      <c r="J53" s="1768"/>
      <c r="K53" s="1763"/>
      <c r="L53" s="226"/>
    </row>
    <row r="54" spans="1:12" ht="15">
      <c r="A54" s="623"/>
      <c r="B54" s="623"/>
      <c r="C54" s="623"/>
      <c r="D54" s="624"/>
      <c r="E54" s="603"/>
      <c r="F54" s="644"/>
      <c r="G54" s="606"/>
      <c r="H54" s="623"/>
      <c r="I54" s="1053"/>
      <c r="J54" s="1768"/>
      <c r="K54" s="1763"/>
      <c r="L54" s="226"/>
    </row>
    <row r="55" spans="1:12" ht="15">
      <c r="A55" s="623"/>
      <c r="B55" s="623"/>
      <c r="C55" s="623"/>
      <c r="D55" s="624"/>
      <c r="E55" s="603"/>
      <c r="F55" s="644"/>
      <c r="G55" s="606"/>
      <c r="H55" s="623"/>
      <c r="I55" s="1053"/>
      <c r="J55" s="1768"/>
      <c r="K55" s="1763"/>
      <c r="L55" s="226"/>
    </row>
    <row r="56" spans="1:12" ht="15">
      <c r="A56" s="623"/>
      <c r="B56" s="623"/>
      <c r="C56" s="623"/>
      <c r="D56" s="624"/>
      <c r="E56" s="603"/>
      <c r="F56" s="644"/>
      <c r="G56" s="606"/>
      <c r="H56" s="623"/>
      <c r="I56" s="1053"/>
      <c r="J56" s="1321"/>
      <c r="K56" s="1316"/>
      <c r="L56" s="226"/>
    </row>
    <row r="57" spans="1:12" ht="15">
      <c r="A57" s="623"/>
      <c r="B57" s="623"/>
      <c r="C57" s="623"/>
      <c r="D57" s="624"/>
      <c r="E57" s="603"/>
      <c r="F57" s="644"/>
      <c r="G57" s="606"/>
      <c r="H57" s="623"/>
      <c r="I57" s="1053"/>
      <c r="J57" s="1321"/>
      <c r="K57" s="1316"/>
      <c r="L57" s="226"/>
    </row>
    <row r="58" spans="1:12" ht="15">
      <c r="A58" s="623"/>
      <c r="B58" s="623"/>
      <c r="C58" s="623"/>
      <c r="D58" s="624"/>
      <c r="E58" s="603"/>
      <c r="F58" s="644"/>
      <c r="G58" s="606"/>
      <c r="H58" s="623"/>
      <c r="I58" s="1053"/>
      <c r="J58" s="1321"/>
      <c r="K58" s="1316"/>
      <c r="L58" s="226"/>
    </row>
    <row r="59" spans="1:12" ht="15">
      <c r="A59" s="623"/>
      <c r="B59" s="623"/>
      <c r="C59" s="623"/>
      <c r="D59" s="624"/>
      <c r="E59" s="603"/>
      <c r="F59" s="644"/>
      <c r="G59" s="606"/>
      <c r="H59" s="623"/>
      <c r="I59" s="1053"/>
      <c r="J59" s="632"/>
      <c r="K59" s="1111"/>
      <c r="L59" s="226"/>
    </row>
    <row r="60" spans="1:12" ht="15">
      <c r="A60" s="621"/>
      <c r="B60" s="1125"/>
      <c r="C60" s="1125"/>
      <c r="D60" s="621"/>
      <c r="E60" s="684"/>
      <c r="F60" s="1144" t="s">
        <v>545</v>
      </c>
      <c r="G60" s="625">
        <f>SUM(G2:G59)-SUM(I2:I59)</f>
        <v>2643.2999999999811</v>
      </c>
      <c r="H60" s="634"/>
      <c r="I60" s="1053"/>
      <c r="J60" s="632"/>
      <c r="K60" s="1111"/>
      <c r="L60" s="226"/>
    </row>
  </sheetData>
  <mergeCells count="54">
    <mergeCell ref="K45:K50"/>
    <mergeCell ref="J45:J50"/>
    <mergeCell ref="I45:I50"/>
    <mergeCell ref="K42:K44"/>
    <mergeCell ref="J42:J44"/>
    <mergeCell ref="I42:I44"/>
    <mergeCell ref="K35:K36"/>
    <mergeCell ref="J35:J36"/>
    <mergeCell ref="I35:I36"/>
    <mergeCell ref="K33:K34"/>
    <mergeCell ref="J33:J34"/>
    <mergeCell ref="I33:I34"/>
    <mergeCell ref="D23:D24"/>
    <mergeCell ref="A23:A24"/>
    <mergeCell ref="K22:K23"/>
    <mergeCell ref="J22:J23"/>
    <mergeCell ref="I22:I23"/>
    <mergeCell ref="K24:K25"/>
    <mergeCell ref="J24:J25"/>
    <mergeCell ref="I24:I25"/>
    <mergeCell ref="C23:C24"/>
    <mergeCell ref="B23:B24"/>
    <mergeCell ref="F23:F24"/>
    <mergeCell ref="E23:E24"/>
    <mergeCell ref="K28:K31"/>
    <mergeCell ref="I11:I15"/>
    <mergeCell ref="K11:K15"/>
    <mergeCell ref="J11:J15"/>
    <mergeCell ref="L11:L15"/>
    <mergeCell ref="L2:L5"/>
    <mergeCell ref="I2:I5"/>
    <mergeCell ref="K2:K5"/>
    <mergeCell ref="J2:J5"/>
    <mergeCell ref="I9:I10"/>
    <mergeCell ref="K9:K10"/>
    <mergeCell ref="J9:J10"/>
    <mergeCell ref="L9:L10"/>
    <mergeCell ref="J28:J31"/>
    <mergeCell ref="I28:I31"/>
    <mergeCell ref="K17:K21"/>
    <mergeCell ref="J17:J21"/>
    <mergeCell ref="I17:I21"/>
    <mergeCell ref="K26:K27"/>
    <mergeCell ref="J26:J27"/>
    <mergeCell ref="I26:I27"/>
    <mergeCell ref="A37:A38"/>
    <mergeCell ref="K38:K41"/>
    <mergeCell ref="J38:J41"/>
    <mergeCell ref="I38:I41"/>
    <mergeCell ref="F37:F38"/>
    <mergeCell ref="E37:E38"/>
    <mergeCell ref="D37:D38"/>
    <mergeCell ref="C37:C38"/>
    <mergeCell ref="B37:B38"/>
  </mergeCells>
  <phoneticPr fontId="15" type="noConversion"/>
  <hyperlinks>
    <hyperlink ref="F60" location="汇总!A1" display="剩余欠款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N103"/>
  <sheetViews>
    <sheetView workbookViewId="0">
      <pane ySplit="1" topLeftCell="A32" activePane="bottomLeft" state="frozen"/>
      <selection pane="bottomLeft" activeCell="F57" sqref="F57"/>
    </sheetView>
  </sheetViews>
  <sheetFormatPr defaultColWidth="8.75" defaultRowHeight="14.25"/>
  <cols>
    <col min="1" max="1" width="13" style="168" customWidth="1"/>
    <col min="2" max="2" width="8.875" style="168" bestFit="1" customWidth="1"/>
    <col min="3" max="3" width="21.625" style="168" bestFit="1" customWidth="1"/>
    <col min="4" max="4" width="15" style="168" customWidth="1"/>
    <col min="5" max="5" width="12.125" style="168" customWidth="1"/>
    <col min="6" max="6" width="10.625" style="168" customWidth="1"/>
    <col min="7" max="7" width="11.5" style="168" bestFit="1" customWidth="1"/>
    <col min="8" max="8" width="16.75" style="168" bestFit="1" customWidth="1"/>
    <col min="9" max="9" width="12.875" style="168" customWidth="1"/>
    <col min="10" max="10" width="12" style="168" bestFit="1" customWidth="1"/>
    <col min="11" max="11" width="12" style="168" customWidth="1"/>
    <col min="12" max="12" width="46" style="168" bestFit="1" customWidth="1"/>
    <col min="13" max="13" width="13.875" style="168" bestFit="1" customWidth="1"/>
    <col min="14" max="16384" width="8.75" style="168"/>
  </cols>
  <sheetData>
    <row r="1" spans="1:14" customFormat="1" ht="18.75">
      <c r="A1" s="255" t="s">
        <v>5237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7" t="s">
        <v>542</v>
      </c>
    </row>
    <row r="2" spans="1:14" ht="15">
      <c r="A2" s="620">
        <v>44680.000497685185</v>
      </c>
      <c r="B2" s="1124" t="s">
        <v>521</v>
      </c>
      <c r="C2" s="1124" t="s">
        <v>4118</v>
      </c>
      <c r="D2" s="621" t="s">
        <v>2038</v>
      </c>
      <c r="E2" s="639">
        <v>0.2</v>
      </c>
      <c r="F2" s="769">
        <v>0</v>
      </c>
      <c r="G2" s="639">
        <v>0.2</v>
      </c>
      <c r="H2" s="620">
        <v>44680.000497685185</v>
      </c>
      <c r="I2" s="1915">
        <v>1.69</v>
      </c>
      <c r="J2" s="1918">
        <v>44680</v>
      </c>
      <c r="K2" s="1929" t="s">
        <v>3127</v>
      </c>
      <c r="L2" s="1968" t="s">
        <v>2046</v>
      </c>
      <c r="M2" s="190"/>
      <c r="N2" s="190"/>
    </row>
    <row r="3" spans="1:14" ht="15">
      <c r="A3" s="620">
        <v>44680.000497685185</v>
      </c>
      <c r="B3" s="1124" t="s">
        <v>521</v>
      </c>
      <c r="C3" s="1124" t="s">
        <v>4118</v>
      </c>
      <c r="D3" s="621" t="s">
        <v>2039</v>
      </c>
      <c r="E3" s="639">
        <v>0.21</v>
      </c>
      <c r="F3" s="769">
        <v>0</v>
      </c>
      <c r="G3" s="639">
        <v>0.21</v>
      </c>
      <c r="H3" s="620">
        <v>44680.000497685185</v>
      </c>
      <c r="I3" s="1916"/>
      <c r="J3" s="1919"/>
      <c r="K3" s="1977"/>
      <c r="L3" s="1962"/>
      <c r="M3" s="190"/>
      <c r="N3" s="190"/>
    </row>
    <row r="4" spans="1:14" ht="15">
      <c r="A4" s="620">
        <v>44680.000497685185</v>
      </c>
      <c r="B4" s="1124" t="s">
        <v>521</v>
      </c>
      <c r="C4" s="1124" t="s">
        <v>4118</v>
      </c>
      <c r="D4" s="621" t="s">
        <v>2040</v>
      </c>
      <c r="E4" s="639">
        <v>0.2</v>
      </c>
      <c r="F4" s="769">
        <v>0</v>
      </c>
      <c r="G4" s="639">
        <v>0.2</v>
      </c>
      <c r="H4" s="620">
        <v>44680.000497685185</v>
      </c>
      <c r="I4" s="1916"/>
      <c r="J4" s="1919"/>
      <c r="K4" s="1977"/>
      <c r="L4" s="1962"/>
      <c r="M4" s="190"/>
      <c r="N4" s="190"/>
    </row>
    <row r="5" spans="1:14" ht="15">
      <c r="A5" s="620">
        <v>44680.000497685185</v>
      </c>
      <c r="B5" s="1124" t="s">
        <v>521</v>
      </c>
      <c r="C5" s="1124" t="s">
        <v>4118</v>
      </c>
      <c r="D5" s="621" t="s">
        <v>2041</v>
      </c>
      <c r="E5" s="639">
        <v>0.21</v>
      </c>
      <c r="F5" s="769">
        <v>0</v>
      </c>
      <c r="G5" s="639">
        <v>0.21</v>
      </c>
      <c r="H5" s="620">
        <v>44680.000497685185</v>
      </c>
      <c r="I5" s="1916"/>
      <c r="J5" s="1919"/>
      <c r="K5" s="1977"/>
      <c r="L5" s="1962"/>
      <c r="M5" s="190"/>
      <c r="N5" s="190"/>
    </row>
    <row r="6" spans="1:14" ht="15">
      <c r="A6" s="620">
        <v>44680.000497685185</v>
      </c>
      <c r="B6" s="1124" t="s">
        <v>521</v>
      </c>
      <c r="C6" s="1124" t="s">
        <v>4118</v>
      </c>
      <c r="D6" s="621" t="s">
        <v>2042</v>
      </c>
      <c r="E6" s="639">
        <v>0.21</v>
      </c>
      <c r="F6" s="769">
        <v>0</v>
      </c>
      <c r="G6" s="639">
        <v>0.21</v>
      </c>
      <c r="H6" s="620">
        <v>44680.000497685185</v>
      </c>
      <c r="I6" s="1916"/>
      <c r="J6" s="1919"/>
      <c r="K6" s="1977"/>
      <c r="L6" s="1962"/>
      <c r="M6" s="190"/>
      <c r="N6" s="190"/>
    </row>
    <row r="7" spans="1:14" ht="15">
      <c r="A7" s="620">
        <v>44680.000497685185</v>
      </c>
      <c r="B7" s="1124" t="s">
        <v>521</v>
      </c>
      <c r="C7" s="1124" t="s">
        <v>4118</v>
      </c>
      <c r="D7" s="621" t="s">
        <v>2043</v>
      </c>
      <c r="E7" s="639">
        <v>0.2</v>
      </c>
      <c r="F7" s="769">
        <v>0</v>
      </c>
      <c r="G7" s="639">
        <v>0.2</v>
      </c>
      <c r="H7" s="620">
        <v>44680.000497685185</v>
      </c>
      <c r="I7" s="1916"/>
      <c r="J7" s="1919"/>
      <c r="K7" s="1977"/>
      <c r="L7" s="1962"/>
      <c r="M7" s="190"/>
      <c r="N7" s="190"/>
    </row>
    <row r="8" spans="1:14" ht="15">
      <c r="A8" s="620">
        <v>44680.000497685185</v>
      </c>
      <c r="B8" s="1124" t="s">
        <v>521</v>
      </c>
      <c r="C8" s="1124" t="s">
        <v>4118</v>
      </c>
      <c r="D8" s="621" t="s">
        <v>2044</v>
      </c>
      <c r="E8" s="639">
        <v>0.25</v>
      </c>
      <c r="F8" s="769">
        <v>0</v>
      </c>
      <c r="G8" s="639">
        <v>0.25</v>
      </c>
      <c r="H8" s="620">
        <v>44680.000497685185</v>
      </c>
      <c r="I8" s="1916"/>
      <c r="J8" s="1919"/>
      <c r="K8" s="1977"/>
      <c r="L8" s="1962"/>
      <c r="M8" s="190"/>
      <c r="N8" s="190"/>
    </row>
    <row r="9" spans="1:14" ht="15">
      <c r="A9" s="620">
        <v>44680.000497685185</v>
      </c>
      <c r="B9" s="1124" t="s">
        <v>521</v>
      </c>
      <c r="C9" s="1124" t="s">
        <v>4118</v>
      </c>
      <c r="D9" s="621" t="s">
        <v>2045</v>
      </c>
      <c r="E9" s="639">
        <v>0.21</v>
      </c>
      <c r="F9" s="769">
        <v>0</v>
      </c>
      <c r="G9" s="639">
        <v>0.21</v>
      </c>
      <c r="H9" s="620">
        <v>44680.000497685185</v>
      </c>
      <c r="I9" s="1917"/>
      <c r="J9" s="1920"/>
      <c r="K9" s="1930"/>
      <c r="L9" s="1957"/>
      <c r="M9" s="190"/>
      <c r="N9" s="190"/>
    </row>
    <row r="10" spans="1:14" ht="15">
      <c r="A10" s="1903">
        <v>44684.000497685185</v>
      </c>
      <c r="B10" s="1918" t="s">
        <v>521</v>
      </c>
      <c r="C10" s="1918" t="s">
        <v>4118</v>
      </c>
      <c r="D10" s="1909" t="s">
        <v>2037</v>
      </c>
      <c r="E10" s="1923">
        <v>16258.69</v>
      </c>
      <c r="F10" s="1927">
        <v>0</v>
      </c>
      <c r="G10" s="611">
        <v>2000</v>
      </c>
      <c r="H10" s="632">
        <v>44744.000497685185</v>
      </c>
      <c r="I10" s="611">
        <v>2000</v>
      </c>
      <c r="J10" s="620">
        <v>44769</v>
      </c>
      <c r="K10" s="621" t="s">
        <v>3128</v>
      </c>
      <c r="L10" s="226"/>
      <c r="M10" s="190"/>
      <c r="N10" s="190"/>
    </row>
    <row r="11" spans="1:14" ht="15">
      <c r="A11" s="1904"/>
      <c r="B11" s="1919"/>
      <c r="C11" s="1919"/>
      <c r="D11" s="1910"/>
      <c r="E11" s="1961"/>
      <c r="F11" s="1960"/>
      <c r="G11" s="611">
        <v>5000</v>
      </c>
      <c r="H11" s="632">
        <v>44744.000497685185</v>
      </c>
      <c r="I11" s="611">
        <v>5000</v>
      </c>
      <c r="J11" s="632">
        <v>44781</v>
      </c>
      <c r="K11" s="621" t="s">
        <v>3129</v>
      </c>
      <c r="L11" s="226" t="s">
        <v>2725</v>
      </c>
      <c r="M11" s="190"/>
      <c r="N11" s="190"/>
    </row>
    <row r="12" spans="1:14" ht="15">
      <c r="A12" s="1904"/>
      <c r="B12" s="1919"/>
      <c r="C12" s="1919"/>
      <c r="D12" s="1910"/>
      <c r="E12" s="1961"/>
      <c r="F12" s="1960"/>
      <c r="G12" s="611">
        <v>2000</v>
      </c>
      <c r="H12" s="632">
        <v>44744.000497685185</v>
      </c>
      <c r="I12" s="611">
        <v>2000</v>
      </c>
      <c r="J12" s="630">
        <v>44784</v>
      </c>
      <c r="K12" s="807" t="s">
        <v>3128</v>
      </c>
      <c r="L12" s="226"/>
      <c r="M12" s="190"/>
      <c r="N12" s="190"/>
    </row>
    <row r="13" spans="1:14" ht="15">
      <c r="A13" s="1904"/>
      <c r="B13" s="1919"/>
      <c r="C13" s="1919"/>
      <c r="D13" s="1910"/>
      <c r="E13" s="1961"/>
      <c r="F13" s="1960"/>
      <c r="G13" s="611">
        <v>3560</v>
      </c>
      <c r="H13" s="632">
        <v>44744.000497685185</v>
      </c>
      <c r="I13" s="686">
        <v>3560</v>
      </c>
      <c r="J13" s="652">
        <v>44817</v>
      </c>
      <c r="K13" s="807" t="s">
        <v>3128</v>
      </c>
      <c r="L13" s="226"/>
      <c r="M13" s="190"/>
      <c r="N13" s="190"/>
    </row>
    <row r="14" spans="1:14" ht="15">
      <c r="A14" s="1904"/>
      <c r="B14" s="1919"/>
      <c r="C14" s="1919"/>
      <c r="D14" s="1910"/>
      <c r="E14" s="1961"/>
      <c r="F14" s="1960"/>
      <c r="G14" s="611">
        <f>16258.69-2000-5.53-5000-2000-3560</f>
        <v>3693.16</v>
      </c>
      <c r="H14" s="632">
        <v>44744.000497685185</v>
      </c>
      <c r="I14" s="686">
        <v>3693.16</v>
      </c>
      <c r="J14" s="652">
        <v>44823</v>
      </c>
      <c r="K14" s="621" t="s">
        <v>3129</v>
      </c>
      <c r="L14" s="226" t="s">
        <v>3083</v>
      </c>
      <c r="M14" s="190"/>
      <c r="N14" s="190"/>
    </row>
    <row r="15" spans="1:14" ht="15">
      <c r="A15" s="1905"/>
      <c r="B15" s="1920"/>
      <c r="C15" s="1920"/>
      <c r="D15" s="1911"/>
      <c r="E15" s="1924"/>
      <c r="F15" s="1928"/>
      <c r="G15" s="611">
        <v>5.53</v>
      </c>
      <c r="H15" s="632">
        <v>44744.000497685185</v>
      </c>
      <c r="I15" s="1921">
        <v>0</v>
      </c>
      <c r="J15" s="1918">
        <v>44775</v>
      </c>
      <c r="K15" s="1929" t="s">
        <v>3130</v>
      </c>
      <c r="L15" s="226"/>
      <c r="M15" s="190"/>
      <c r="N15" s="190"/>
    </row>
    <row r="16" spans="1:14" ht="15">
      <c r="A16" s="632">
        <v>44718</v>
      </c>
      <c r="B16" s="1124" t="s">
        <v>4119</v>
      </c>
      <c r="C16" s="1124" t="s">
        <v>4118</v>
      </c>
      <c r="D16" s="615" t="s">
        <v>2267</v>
      </c>
      <c r="E16" s="611">
        <v>-5.53</v>
      </c>
      <c r="F16" s="731">
        <v>0</v>
      </c>
      <c r="G16" s="611">
        <v>-5.53</v>
      </c>
      <c r="H16" s="632"/>
      <c r="I16" s="1922"/>
      <c r="J16" s="1920"/>
      <c r="K16" s="1930"/>
      <c r="L16" s="226"/>
      <c r="M16" s="190"/>
      <c r="N16" s="190"/>
    </row>
    <row r="17" spans="1:14" ht="15">
      <c r="A17" s="1903">
        <v>44761.000497685185</v>
      </c>
      <c r="B17" s="1918" t="s">
        <v>521</v>
      </c>
      <c r="C17" s="1918" t="s">
        <v>4118</v>
      </c>
      <c r="D17" s="1909" t="s">
        <v>2485</v>
      </c>
      <c r="E17" s="1923">
        <v>1391.73</v>
      </c>
      <c r="F17" s="1927">
        <v>0</v>
      </c>
      <c r="G17" s="873">
        <v>5.54</v>
      </c>
      <c r="H17" s="632">
        <v>44761</v>
      </c>
      <c r="I17" s="611">
        <v>5.54</v>
      </c>
      <c r="J17" s="620">
        <v>44823</v>
      </c>
      <c r="K17" s="621" t="s">
        <v>3129</v>
      </c>
      <c r="L17" s="226" t="s">
        <v>3083</v>
      </c>
      <c r="M17" s="190"/>
      <c r="N17" s="190"/>
    </row>
    <row r="18" spans="1:14" ht="15">
      <c r="A18" s="1905"/>
      <c r="B18" s="1920"/>
      <c r="C18" s="1920"/>
      <c r="D18" s="1911"/>
      <c r="E18" s="1924"/>
      <c r="F18" s="1928"/>
      <c r="G18" s="873">
        <f>1391.73-5.54</f>
        <v>1386.19</v>
      </c>
      <c r="H18" s="871">
        <v>44761</v>
      </c>
      <c r="I18" s="1915">
        <v>3000</v>
      </c>
      <c r="J18" s="1918">
        <v>44865</v>
      </c>
      <c r="K18" s="2175" t="s">
        <v>3386</v>
      </c>
      <c r="L18" s="226"/>
      <c r="M18" s="190"/>
      <c r="N18" s="190"/>
    </row>
    <row r="19" spans="1:14" ht="15">
      <c r="A19" s="871">
        <v>44781.000497685185</v>
      </c>
      <c r="B19" s="1124" t="s">
        <v>2644</v>
      </c>
      <c r="C19" s="1124" t="s">
        <v>4118</v>
      </c>
      <c r="D19" s="872" t="s">
        <v>2689</v>
      </c>
      <c r="E19" s="611">
        <v>135.9</v>
      </c>
      <c r="F19" s="731">
        <v>0</v>
      </c>
      <c r="G19" s="873">
        <v>135.9</v>
      </c>
      <c r="H19" s="871">
        <v>44782.000497685185</v>
      </c>
      <c r="I19" s="1916"/>
      <c r="J19" s="1919"/>
      <c r="K19" s="1977"/>
      <c r="L19" s="226"/>
      <c r="M19" s="190"/>
      <c r="N19" s="190"/>
    </row>
    <row r="20" spans="1:14" ht="15">
      <c r="A20" s="871">
        <v>44782.000497685185</v>
      </c>
      <c r="B20" s="1124" t="s">
        <v>2644</v>
      </c>
      <c r="C20" s="1124" t="s">
        <v>4118</v>
      </c>
      <c r="D20" s="872" t="s">
        <v>2690</v>
      </c>
      <c r="E20" s="611">
        <v>769.73</v>
      </c>
      <c r="F20" s="731">
        <v>0</v>
      </c>
      <c r="G20" s="873">
        <v>769.73</v>
      </c>
      <c r="H20" s="871">
        <v>44783.000497685185</v>
      </c>
      <c r="I20" s="1916"/>
      <c r="J20" s="1919"/>
      <c r="K20" s="1977"/>
      <c r="L20" s="166"/>
      <c r="M20" s="190"/>
      <c r="N20" s="190"/>
    </row>
    <row r="21" spans="1:14" ht="15">
      <c r="A21" s="871">
        <v>44783.000497685185</v>
      </c>
      <c r="B21" s="1124" t="s">
        <v>2644</v>
      </c>
      <c r="C21" s="1124" t="s">
        <v>4118</v>
      </c>
      <c r="D21" s="872" t="s">
        <v>2691</v>
      </c>
      <c r="E21" s="611">
        <v>-27.69</v>
      </c>
      <c r="F21" s="731">
        <v>0</v>
      </c>
      <c r="G21" s="873">
        <v>-27.69</v>
      </c>
      <c r="H21" s="871" t="s">
        <v>1529</v>
      </c>
      <c r="I21" s="1916"/>
      <c r="J21" s="1919"/>
      <c r="K21" s="1977"/>
      <c r="L21" s="166"/>
      <c r="M21" s="190"/>
      <c r="N21" s="190"/>
    </row>
    <row r="22" spans="1:14" ht="15">
      <c r="A22" s="991">
        <v>44806</v>
      </c>
      <c r="B22" s="1124" t="s">
        <v>2644</v>
      </c>
      <c r="C22" s="1124" t="s">
        <v>4118</v>
      </c>
      <c r="D22" s="992" t="s">
        <v>2917</v>
      </c>
      <c r="E22" s="611">
        <v>0.01</v>
      </c>
      <c r="F22" s="731">
        <v>0</v>
      </c>
      <c r="G22" s="993">
        <v>0.01</v>
      </c>
      <c r="H22" s="991">
        <v>44807</v>
      </c>
      <c r="I22" s="1916"/>
      <c r="J22" s="1919"/>
      <c r="K22" s="1977"/>
      <c r="L22" s="166" t="s">
        <v>2897</v>
      </c>
      <c r="M22" s="190"/>
      <c r="N22" s="190"/>
    </row>
    <row r="23" spans="1:14" ht="15">
      <c r="A23" s="1903">
        <v>44813</v>
      </c>
      <c r="B23" s="1918" t="s">
        <v>2644</v>
      </c>
      <c r="C23" s="1918" t="s">
        <v>4118</v>
      </c>
      <c r="D23" s="1909" t="s">
        <v>2960</v>
      </c>
      <c r="E23" s="1923">
        <v>839.7</v>
      </c>
      <c r="F23" s="1927">
        <v>0</v>
      </c>
      <c r="G23" s="611">
        <v>735.86</v>
      </c>
      <c r="H23" s="991">
        <v>44814</v>
      </c>
      <c r="I23" s="1917"/>
      <c r="J23" s="1920"/>
      <c r="K23" s="1930"/>
      <c r="L23" s="166"/>
      <c r="M23" s="190"/>
      <c r="N23" s="190"/>
    </row>
    <row r="24" spans="1:14" ht="15">
      <c r="A24" s="1905"/>
      <c r="B24" s="1920"/>
      <c r="C24" s="1920"/>
      <c r="D24" s="1911"/>
      <c r="E24" s="1924"/>
      <c r="F24" s="1928"/>
      <c r="G24" s="611">
        <f>839.7-735.86</f>
        <v>103.84000000000003</v>
      </c>
      <c r="H24" s="991">
        <v>44814</v>
      </c>
      <c r="I24" s="1915">
        <v>3082.19</v>
      </c>
      <c r="J24" s="1918">
        <v>44908</v>
      </c>
      <c r="K24" s="2175" t="s">
        <v>3725</v>
      </c>
      <c r="L24" s="226"/>
      <c r="M24" s="190"/>
      <c r="N24" s="190"/>
    </row>
    <row r="25" spans="1:14" ht="15">
      <c r="A25" s="991">
        <v>44820</v>
      </c>
      <c r="B25" s="1124" t="s">
        <v>2644</v>
      </c>
      <c r="C25" s="1124" t="s">
        <v>4118</v>
      </c>
      <c r="D25" s="992" t="s">
        <v>3014</v>
      </c>
      <c r="E25" s="611">
        <v>280</v>
      </c>
      <c r="F25" s="731">
        <v>0</v>
      </c>
      <c r="G25" s="611">
        <v>280</v>
      </c>
      <c r="H25" s="991">
        <v>44821</v>
      </c>
      <c r="I25" s="1916"/>
      <c r="J25" s="1919"/>
      <c r="K25" s="1977"/>
      <c r="L25" s="226"/>
      <c r="M25" s="190"/>
      <c r="N25" s="190"/>
    </row>
    <row r="26" spans="1:14" ht="15">
      <c r="A26" s="991">
        <v>44820</v>
      </c>
      <c r="B26" s="1124" t="s">
        <v>2644</v>
      </c>
      <c r="C26" s="1124" t="s">
        <v>4118</v>
      </c>
      <c r="D26" s="992" t="s">
        <v>3015</v>
      </c>
      <c r="E26" s="611">
        <v>2698.35</v>
      </c>
      <c r="F26" s="731">
        <v>0</v>
      </c>
      <c r="G26" s="611">
        <v>2698.35</v>
      </c>
      <c r="H26" s="991">
        <v>44821</v>
      </c>
      <c r="I26" s="1917"/>
      <c r="J26" s="1920"/>
      <c r="K26" s="1930"/>
      <c r="L26" s="226"/>
      <c r="M26" s="190"/>
      <c r="N26" s="190"/>
    </row>
    <row r="27" spans="1:14" ht="15">
      <c r="A27" s="1116">
        <v>44841</v>
      </c>
      <c r="B27" s="1124" t="s">
        <v>2644</v>
      </c>
      <c r="C27" s="1124" t="s">
        <v>4118</v>
      </c>
      <c r="D27" s="1117" t="s">
        <v>3222</v>
      </c>
      <c r="E27" s="611">
        <v>1269.68</v>
      </c>
      <c r="F27" s="731">
        <v>0</v>
      </c>
      <c r="G27" s="611">
        <v>1269.68</v>
      </c>
      <c r="H27" s="1116">
        <v>44842</v>
      </c>
      <c r="I27" s="1923">
        <v>2000</v>
      </c>
      <c r="J27" s="1918">
        <v>44911</v>
      </c>
      <c r="K27" s="2175" t="s">
        <v>3726</v>
      </c>
      <c r="L27" s="226"/>
      <c r="M27" s="190"/>
      <c r="N27" s="190"/>
    </row>
    <row r="28" spans="1:14" ht="15">
      <c r="A28" s="1116">
        <v>44861</v>
      </c>
      <c r="B28" s="1124" t="s">
        <v>2644</v>
      </c>
      <c r="C28" s="1124" t="s">
        <v>4118</v>
      </c>
      <c r="D28" s="1117" t="s">
        <v>3363</v>
      </c>
      <c r="E28" s="611">
        <v>302.85000000000002</v>
      </c>
      <c r="F28" s="731">
        <v>0</v>
      </c>
      <c r="G28" s="611">
        <v>302.85000000000002</v>
      </c>
      <c r="H28" s="1116">
        <v>44862</v>
      </c>
      <c r="I28" s="1961"/>
      <c r="J28" s="1919"/>
      <c r="K28" s="1977"/>
      <c r="L28" s="226"/>
      <c r="M28" s="190"/>
      <c r="N28" s="190"/>
    </row>
    <row r="29" spans="1:14" ht="15">
      <c r="A29" s="1903">
        <v>44886</v>
      </c>
      <c r="B29" s="1918" t="s">
        <v>2644</v>
      </c>
      <c r="C29" s="1918" t="s">
        <v>4118</v>
      </c>
      <c r="D29" s="1909" t="s">
        <v>3535</v>
      </c>
      <c r="E29" s="1923">
        <v>3281.66</v>
      </c>
      <c r="F29" s="1927">
        <v>0</v>
      </c>
      <c r="G29" s="611">
        <v>427.47</v>
      </c>
      <c r="H29" s="1116">
        <v>44887</v>
      </c>
      <c r="I29" s="1924"/>
      <c r="J29" s="1920"/>
      <c r="K29" s="1930"/>
      <c r="L29" s="226"/>
      <c r="M29" s="190"/>
      <c r="N29" s="190"/>
    </row>
    <row r="30" spans="1:14" ht="15">
      <c r="A30" s="1905"/>
      <c r="B30" s="1920"/>
      <c r="C30" s="1920"/>
      <c r="D30" s="1911"/>
      <c r="E30" s="1924"/>
      <c r="F30" s="1928"/>
      <c r="G30" s="611">
        <f>3281.66-427.47</f>
        <v>2854.1899999999996</v>
      </c>
      <c r="H30" s="1116">
        <v>44887</v>
      </c>
      <c r="I30" s="1951">
        <v>2824.17</v>
      </c>
      <c r="J30" s="1918">
        <v>44966</v>
      </c>
      <c r="K30" s="2175" t="s">
        <v>5238</v>
      </c>
      <c r="L30" s="226"/>
      <c r="M30" s="190"/>
      <c r="N30" s="190"/>
    </row>
    <row r="31" spans="1:14" ht="15">
      <c r="A31" s="1116">
        <v>44887</v>
      </c>
      <c r="B31" s="1124" t="s">
        <v>2644</v>
      </c>
      <c r="C31" s="1124" t="s">
        <v>4118</v>
      </c>
      <c r="D31" s="1117" t="s">
        <v>3536</v>
      </c>
      <c r="E31" s="611">
        <v>-66.02</v>
      </c>
      <c r="F31" s="731">
        <v>0</v>
      </c>
      <c r="G31" s="611">
        <v>-66.02</v>
      </c>
      <c r="H31" s="1116"/>
      <c r="I31" s="1952"/>
      <c r="J31" s="1919"/>
      <c r="K31" s="1977"/>
      <c r="L31" s="226"/>
      <c r="M31" s="190"/>
      <c r="N31" s="190"/>
    </row>
    <row r="32" spans="1:14" ht="15">
      <c r="A32" s="1116">
        <v>44907</v>
      </c>
      <c r="B32" s="1124" t="s">
        <v>2644</v>
      </c>
      <c r="C32" s="1124" t="s">
        <v>4118</v>
      </c>
      <c r="D32" s="1117" t="s">
        <v>3705</v>
      </c>
      <c r="E32" s="611">
        <v>180</v>
      </c>
      <c r="F32" s="731">
        <v>0</v>
      </c>
      <c r="G32" s="611">
        <v>180</v>
      </c>
      <c r="H32" s="1116">
        <v>44952</v>
      </c>
      <c r="I32" s="1952"/>
      <c r="J32" s="1919"/>
      <c r="K32" s="1977"/>
      <c r="L32" s="226"/>
      <c r="M32" s="190"/>
      <c r="N32" s="190"/>
    </row>
    <row r="33" spans="1:14" ht="15">
      <c r="A33" s="1116">
        <v>44925</v>
      </c>
      <c r="B33" s="1124" t="s">
        <v>2644</v>
      </c>
      <c r="C33" s="1124" t="s">
        <v>4118</v>
      </c>
      <c r="D33" s="1117" t="s">
        <v>4012</v>
      </c>
      <c r="E33" s="611">
        <v>-144</v>
      </c>
      <c r="F33" s="731">
        <v>0</v>
      </c>
      <c r="G33" s="611">
        <v>-144</v>
      </c>
      <c r="H33" s="1116"/>
      <c r="I33" s="1953"/>
      <c r="J33" s="1920"/>
      <c r="K33" s="1930"/>
      <c r="L33" s="226" t="s">
        <v>4013</v>
      </c>
      <c r="M33" s="190"/>
      <c r="N33" s="190"/>
    </row>
    <row r="34" spans="1:14" ht="15">
      <c r="A34" s="1427">
        <v>44942</v>
      </c>
      <c r="B34" s="1427" t="s">
        <v>2644</v>
      </c>
      <c r="C34" s="1427" t="s">
        <v>4118</v>
      </c>
      <c r="D34" s="1428" t="s">
        <v>3975</v>
      </c>
      <c r="E34" s="611">
        <v>1527.19</v>
      </c>
      <c r="F34" s="731">
        <v>0</v>
      </c>
      <c r="G34" s="611">
        <v>1527.19</v>
      </c>
      <c r="H34" s="1427">
        <v>45002</v>
      </c>
      <c r="I34" s="1951">
        <v>3000</v>
      </c>
      <c r="J34" s="1903">
        <v>45040</v>
      </c>
      <c r="K34" s="2180" t="s">
        <v>4898</v>
      </c>
      <c r="L34" s="226"/>
      <c r="M34" s="190"/>
      <c r="N34" s="190"/>
    </row>
    <row r="35" spans="1:14" ht="15">
      <c r="A35" s="1903">
        <v>44944</v>
      </c>
      <c r="B35" s="1903" t="s">
        <v>2644</v>
      </c>
      <c r="C35" s="1903" t="s">
        <v>4118</v>
      </c>
      <c r="D35" s="1909" t="s">
        <v>3976</v>
      </c>
      <c r="E35" s="1951">
        <v>5023.95</v>
      </c>
      <c r="F35" s="1933">
        <v>0</v>
      </c>
      <c r="G35" s="611">
        <v>1472.81</v>
      </c>
      <c r="H35" s="1427">
        <v>45004</v>
      </c>
      <c r="I35" s="1953"/>
      <c r="J35" s="1905"/>
      <c r="K35" s="1911"/>
      <c r="L35" s="226"/>
      <c r="M35" s="190"/>
      <c r="N35" s="190"/>
    </row>
    <row r="36" spans="1:14" ht="15">
      <c r="A36" s="1905"/>
      <c r="B36" s="1905"/>
      <c r="C36" s="1905"/>
      <c r="D36" s="1911"/>
      <c r="E36" s="1953"/>
      <c r="F36" s="1934"/>
      <c r="G36" s="611">
        <f>5023.95-1472.81</f>
        <v>3551.14</v>
      </c>
      <c r="H36" s="1427">
        <v>45004</v>
      </c>
      <c r="I36" s="1951">
        <v>2757.16</v>
      </c>
      <c r="J36" s="1903">
        <v>45070</v>
      </c>
      <c r="K36" s="2180" t="s">
        <v>5239</v>
      </c>
      <c r="L36" s="226"/>
      <c r="M36" s="190"/>
      <c r="N36" s="190"/>
    </row>
    <row r="37" spans="1:14" ht="15">
      <c r="A37" s="1427">
        <v>44959.000497685185</v>
      </c>
      <c r="B37" s="1427" t="s">
        <v>2644</v>
      </c>
      <c r="C37" s="1427" t="s">
        <v>4118</v>
      </c>
      <c r="D37" s="1428" t="s">
        <v>4030</v>
      </c>
      <c r="E37" s="611">
        <v>-255.85</v>
      </c>
      <c r="F37" s="731">
        <v>0</v>
      </c>
      <c r="G37" s="611">
        <v>-255.85</v>
      </c>
      <c r="H37" s="1427"/>
      <c r="I37" s="1952"/>
      <c r="J37" s="1904"/>
      <c r="K37" s="1910"/>
      <c r="L37" s="226"/>
      <c r="M37" s="190"/>
      <c r="N37" s="190"/>
    </row>
    <row r="38" spans="1:14" ht="15">
      <c r="A38" s="1427">
        <v>44959.000497685185</v>
      </c>
      <c r="B38" s="1427" t="s">
        <v>2644</v>
      </c>
      <c r="C38" s="1427" t="s">
        <v>4118</v>
      </c>
      <c r="D38" s="1428" t="s">
        <v>4031</v>
      </c>
      <c r="E38" s="611">
        <v>-2008.58</v>
      </c>
      <c r="F38" s="731">
        <v>0</v>
      </c>
      <c r="G38" s="611">
        <v>-2008.58</v>
      </c>
      <c r="H38" s="1427"/>
      <c r="I38" s="1952"/>
      <c r="J38" s="1904"/>
      <c r="K38" s="1910"/>
      <c r="L38" s="226"/>
      <c r="M38" s="190"/>
      <c r="N38" s="190"/>
    </row>
    <row r="39" spans="1:14" ht="15">
      <c r="A39" s="1427">
        <v>44974</v>
      </c>
      <c r="B39" s="1427" t="s">
        <v>2644</v>
      </c>
      <c r="C39" s="1427" t="s">
        <v>4118</v>
      </c>
      <c r="D39" s="1428" t="s">
        <v>4183</v>
      </c>
      <c r="E39" s="611">
        <v>1470.45</v>
      </c>
      <c r="F39" s="731">
        <v>0</v>
      </c>
      <c r="G39" s="611">
        <v>1470.45</v>
      </c>
      <c r="H39" s="1427">
        <v>45019</v>
      </c>
      <c r="I39" s="1953"/>
      <c r="J39" s="1905"/>
      <c r="K39" s="1911"/>
      <c r="L39" s="226"/>
      <c r="M39" s="190"/>
      <c r="N39" s="190"/>
    </row>
    <row r="40" spans="1:14" ht="15">
      <c r="A40" s="1484">
        <v>45020</v>
      </c>
      <c r="B40" s="1484" t="s">
        <v>2644</v>
      </c>
      <c r="C40" s="1484" t="s">
        <v>4118</v>
      </c>
      <c r="D40" s="1486" t="s">
        <v>4685</v>
      </c>
      <c r="E40" s="611">
        <v>1664.4</v>
      </c>
      <c r="F40" s="731">
        <v>0</v>
      </c>
      <c r="G40" s="611">
        <v>1664.4</v>
      </c>
      <c r="H40" s="1484">
        <v>45080</v>
      </c>
      <c r="I40" s="1951">
        <v>2696.96</v>
      </c>
      <c r="J40" s="2057">
        <v>45096</v>
      </c>
      <c r="K40" s="2175" t="s">
        <v>6341</v>
      </c>
      <c r="L40" s="226"/>
      <c r="M40" s="190"/>
      <c r="N40" s="190"/>
    </row>
    <row r="41" spans="1:14" ht="15">
      <c r="A41" s="1484">
        <v>45036</v>
      </c>
      <c r="B41" s="1484" t="s">
        <v>2644</v>
      </c>
      <c r="C41" s="1484" t="s">
        <v>4118</v>
      </c>
      <c r="D41" s="1486" t="s">
        <v>4818</v>
      </c>
      <c r="E41" s="611">
        <v>1032.56</v>
      </c>
      <c r="F41" s="731">
        <v>0</v>
      </c>
      <c r="G41" s="611">
        <v>1032.56</v>
      </c>
      <c r="H41" s="1484">
        <v>45096</v>
      </c>
      <c r="I41" s="1953"/>
      <c r="J41" s="1905"/>
      <c r="K41" s="1930"/>
      <c r="L41" s="226"/>
      <c r="M41" s="190"/>
      <c r="N41" s="190"/>
    </row>
    <row r="42" spans="1:14" ht="15">
      <c r="A42" s="1903">
        <v>45068</v>
      </c>
      <c r="B42" s="1903" t="s">
        <v>2644</v>
      </c>
      <c r="C42" s="1903" t="s">
        <v>4118</v>
      </c>
      <c r="D42" s="1909" t="s">
        <v>5217</v>
      </c>
      <c r="E42" s="1951">
        <v>3112.35</v>
      </c>
      <c r="F42" s="1933">
        <v>0</v>
      </c>
      <c r="G42" s="611">
        <v>303.04000000000002</v>
      </c>
      <c r="H42" s="1768">
        <v>45128</v>
      </c>
      <c r="I42" s="611">
        <v>303.04000000000002</v>
      </c>
      <c r="J42" s="1768">
        <v>45096</v>
      </c>
      <c r="K42" s="1727" t="s">
        <v>5464</v>
      </c>
      <c r="L42" s="226"/>
      <c r="M42" s="190"/>
      <c r="N42" s="190"/>
    </row>
    <row r="43" spans="1:14" ht="15">
      <c r="A43" s="1904"/>
      <c r="B43" s="1904"/>
      <c r="C43" s="1904"/>
      <c r="D43" s="1910"/>
      <c r="E43" s="1952"/>
      <c r="F43" s="2134"/>
      <c r="G43" s="611">
        <v>1522.28</v>
      </c>
      <c r="H43" s="1768">
        <v>45128</v>
      </c>
      <c r="I43" s="611">
        <v>1522.28</v>
      </c>
      <c r="J43" s="1768">
        <v>45131</v>
      </c>
      <c r="K43" s="1727" t="s">
        <v>5706</v>
      </c>
      <c r="L43" s="226"/>
      <c r="M43" s="190"/>
      <c r="N43" s="190"/>
    </row>
    <row r="44" spans="1:14" ht="15">
      <c r="A44" s="1904"/>
      <c r="B44" s="1904"/>
      <c r="C44" s="1904"/>
      <c r="D44" s="1910"/>
      <c r="E44" s="1952"/>
      <c r="F44" s="2134"/>
      <c r="G44" s="611">
        <v>1000</v>
      </c>
      <c r="H44" s="1768">
        <v>45128</v>
      </c>
      <c r="I44" s="611">
        <v>1000</v>
      </c>
      <c r="J44" s="1768">
        <v>45166</v>
      </c>
      <c r="K44" s="1727" t="s">
        <v>4898</v>
      </c>
      <c r="L44" s="226"/>
      <c r="M44" s="190"/>
      <c r="N44" s="190"/>
    </row>
    <row r="45" spans="1:14" ht="15">
      <c r="A45" s="1905"/>
      <c r="B45" s="1905"/>
      <c r="C45" s="1905"/>
      <c r="D45" s="1911"/>
      <c r="E45" s="1953"/>
      <c r="F45" s="1934"/>
      <c r="G45" s="611">
        <f>3112.35-303.04-1522.28-1000</f>
        <v>287.02999999999997</v>
      </c>
      <c r="H45" s="1768">
        <v>45128</v>
      </c>
      <c r="I45" s="1951">
        <v>914.48</v>
      </c>
      <c r="J45" s="1903">
        <v>45212</v>
      </c>
      <c r="K45" s="2183" t="s">
        <v>6342</v>
      </c>
      <c r="L45" s="226"/>
      <c r="M45" s="190"/>
      <c r="N45" s="190"/>
    </row>
    <row r="46" spans="1:14" ht="15">
      <c r="A46" s="1768">
        <v>45078</v>
      </c>
      <c r="B46" s="1768" t="s">
        <v>2644</v>
      </c>
      <c r="C46" s="1768" t="s">
        <v>4118</v>
      </c>
      <c r="D46" s="1769" t="s">
        <v>5278</v>
      </c>
      <c r="E46" s="611">
        <v>911.03</v>
      </c>
      <c r="F46" s="731">
        <v>0</v>
      </c>
      <c r="G46" s="611">
        <v>911.03</v>
      </c>
      <c r="H46" s="1768">
        <v>45138</v>
      </c>
      <c r="I46" s="1952"/>
      <c r="J46" s="1904"/>
      <c r="K46" s="1910"/>
      <c r="L46" s="226"/>
      <c r="M46" s="190"/>
      <c r="N46" s="190"/>
    </row>
    <row r="47" spans="1:14" ht="15">
      <c r="A47" s="1768">
        <v>45170</v>
      </c>
      <c r="B47" s="1768" t="s">
        <v>2644</v>
      </c>
      <c r="C47" s="1768" t="s">
        <v>4118</v>
      </c>
      <c r="D47" s="1769" t="s">
        <v>5949</v>
      </c>
      <c r="E47" s="611">
        <v>-40.090000000000003</v>
      </c>
      <c r="F47" s="731">
        <v>0</v>
      </c>
      <c r="G47" s="611">
        <v>-40.090000000000003</v>
      </c>
      <c r="H47" s="1768" t="s">
        <v>1529</v>
      </c>
      <c r="I47" s="1952"/>
      <c r="J47" s="1904"/>
      <c r="K47" s="1910"/>
      <c r="L47" s="226"/>
      <c r="M47" s="190"/>
      <c r="N47" s="190"/>
    </row>
    <row r="48" spans="1:14" ht="15">
      <c r="A48" s="1768">
        <v>45170</v>
      </c>
      <c r="B48" s="1768" t="s">
        <v>2644</v>
      </c>
      <c r="C48" s="1768" t="s">
        <v>4118</v>
      </c>
      <c r="D48" s="1769" t="s">
        <v>5950</v>
      </c>
      <c r="E48" s="611">
        <v>-243.49</v>
      </c>
      <c r="F48" s="731">
        <v>0</v>
      </c>
      <c r="G48" s="611">
        <v>-243.49</v>
      </c>
      <c r="H48" s="1768" t="s">
        <v>1529</v>
      </c>
      <c r="I48" s="1953"/>
      <c r="J48" s="1905"/>
      <c r="K48" s="1911"/>
      <c r="L48" s="226"/>
      <c r="M48" s="190"/>
      <c r="N48" s="190"/>
    </row>
    <row r="49" spans="1:14" ht="15">
      <c r="A49" s="623">
        <v>45212</v>
      </c>
      <c r="B49" s="623" t="s">
        <v>2644</v>
      </c>
      <c r="C49" s="623" t="s">
        <v>4118</v>
      </c>
      <c r="D49" s="624" t="s">
        <v>6326</v>
      </c>
      <c r="E49" s="605">
        <v>956.33</v>
      </c>
      <c r="F49" s="732">
        <v>0</v>
      </c>
      <c r="G49" s="605">
        <v>956.33</v>
      </c>
      <c r="H49" s="623">
        <v>45271</v>
      </c>
      <c r="I49" s="639"/>
      <c r="J49" s="1437"/>
      <c r="K49" s="1438"/>
      <c r="L49" s="226"/>
      <c r="M49" s="190"/>
      <c r="N49" s="190"/>
    </row>
    <row r="50" spans="1:14" ht="15">
      <c r="A50" s="623"/>
      <c r="B50" s="623"/>
      <c r="C50" s="623"/>
      <c r="D50" s="624"/>
      <c r="E50" s="605"/>
      <c r="F50" s="732"/>
      <c r="G50" s="605"/>
      <c r="H50" s="623"/>
      <c r="I50" s="639"/>
      <c r="J50" s="1437"/>
      <c r="K50" s="1438"/>
      <c r="L50" s="226"/>
      <c r="M50" s="190"/>
      <c r="N50" s="190"/>
    </row>
    <row r="51" spans="1:14" ht="15">
      <c r="A51" s="623"/>
      <c r="B51" s="623"/>
      <c r="C51" s="623"/>
      <c r="D51" s="624"/>
      <c r="E51" s="605"/>
      <c r="F51" s="732"/>
      <c r="G51" s="605"/>
      <c r="H51" s="623"/>
      <c r="I51" s="639"/>
      <c r="J51" s="1317"/>
      <c r="K51" s="1318"/>
      <c r="L51" s="226"/>
      <c r="M51" s="190"/>
      <c r="N51" s="190"/>
    </row>
    <row r="52" spans="1:14" ht="15">
      <c r="A52" s="623"/>
      <c r="B52" s="623"/>
      <c r="C52" s="623"/>
      <c r="D52" s="624"/>
      <c r="E52" s="605"/>
      <c r="F52" s="732"/>
      <c r="G52" s="605"/>
      <c r="H52" s="623"/>
      <c r="I52" s="639"/>
      <c r="J52" s="1317"/>
      <c r="K52" s="1318"/>
      <c r="L52" s="226"/>
      <c r="M52" s="190"/>
      <c r="N52" s="190"/>
    </row>
    <row r="53" spans="1:14" ht="15">
      <c r="A53" s="623"/>
      <c r="B53" s="623"/>
      <c r="C53" s="623"/>
      <c r="D53" s="624"/>
      <c r="E53" s="605"/>
      <c r="F53" s="732"/>
      <c r="G53" s="605"/>
      <c r="H53" s="623"/>
      <c r="I53" s="639"/>
      <c r="J53" s="1317"/>
      <c r="K53" s="1318"/>
      <c r="L53" s="226"/>
      <c r="M53" s="190"/>
      <c r="N53" s="190"/>
    </row>
    <row r="54" spans="1:14" ht="15">
      <c r="A54" s="623"/>
      <c r="B54" s="623"/>
      <c r="C54" s="623"/>
      <c r="D54" s="624"/>
      <c r="E54" s="605"/>
      <c r="F54" s="732"/>
      <c r="G54" s="605"/>
      <c r="H54" s="623"/>
      <c r="I54" s="639"/>
      <c r="J54" s="1317"/>
      <c r="K54" s="1318"/>
      <c r="L54" s="226"/>
      <c r="M54" s="190"/>
      <c r="N54" s="190"/>
    </row>
    <row r="55" spans="1:14" ht="15">
      <c r="A55" s="623"/>
      <c r="B55" s="623"/>
      <c r="C55" s="623"/>
      <c r="D55" s="624"/>
      <c r="E55" s="605"/>
      <c r="F55" s="732"/>
      <c r="G55" s="605"/>
      <c r="H55" s="623"/>
      <c r="I55" s="639"/>
      <c r="J55" s="919"/>
      <c r="K55" s="1113"/>
      <c r="L55" s="226"/>
      <c r="M55" s="190"/>
      <c r="N55" s="190"/>
    </row>
    <row r="56" spans="1:14" ht="15">
      <c r="A56" s="623"/>
      <c r="B56" s="623"/>
      <c r="C56" s="623"/>
      <c r="D56" s="624"/>
      <c r="E56" s="605"/>
      <c r="F56" s="732"/>
      <c r="G56" s="605"/>
      <c r="H56" s="623"/>
      <c r="I56" s="639"/>
      <c r="J56" s="620"/>
      <c r="K56" s="1113"/>
      <c r="L56" s="226"/>
      <c r="M56" s="190"/>
      <c r="N56" s="190"/>
    </row>
    <row r="57" spans="1:14" ht="15">
      <c r="A57" s="621"/>
      <c r="B57" s="1125"/>
      <c r="C57" s="1125"/>
      <c r="D57" s="619"/>
      <c r="E57" s="619"/>
      <c r="F57" s="1144" t="s">
        <v>545</v>
      </c>
      <c r="G57" s="651">
        <f>SUM(G2:G56)-SUM(I2:I56)</f>
        <v>956.32999999999447</v>
      </c>
      <c r="H57" s="634"/>
      <c r="I57" s="639"/>
      <c r="J57" s="620"/>
      <c r="K57" s="1113"/>
      <c r="L57" s="226"/>
      <c r="M57" s="190"/>
      <c r="N57" s="190"/>
    </row>
    <row r="58" spans="1:14">
      <c r="M58" s="190"/>
      <c r="N58" s="190"/>
    </row>
    <row r="59" spans="1:14">
      <c r="M59" s="190"/>
      <c r="N59" s="190"/>
    </row>
    <row r="60" spans="1:14">
      <c r="M60" s="190"/>
      <c r="N60" s="190"/>
    </row>
    <row r="61" spans="1:14">
      <c r="M61" s="190"/>
      <c r="N61" s="190"/>
    </row>
    <row r="62" spans="1:14">
      <c r="M62" s="190"/>
      <c r="N62" s="190"/>
    </row>
    <row r="63" spans="1:14">
      <c r="M63" s="190"/>
      <c r="N63" s="190"/>
    </row>
    <row r="64" spans="1:14">
      <c r="M64" s="190"/>
      <c r="N64" s="190"/>
    </row>
    <row r="65" spans="13:14">
      <c r="M65" s="190"/>
      <c r="N65" s="190"/>
    </row>
    <row r="66" spans="13:14">
      <c r="M66" s="190"/>
      <c r="N66" s="190"/>
    </row>
    <row r="67" spans="13:14">
      <c r="M67" s="190"/>
      <c r="N67" s="190"/>
    </row>
    <row r="68" spans="13:14">
      <c r="M68" s="190"/>
      <c r="N68" s="190"/>
    </row>
    <row r="69" spans="13:14">
      <c r="M69" s="190"/>
      <c r="N69" s="190"/>
    </row>
    <row r="70" spans="13:14">
      <c r="M70" s="190"/>
      <c r="N70" s="190"/>
    </row>
    <row r="71" spans="13:14">
      <c r="M71" s="190"/>
      <c r="N71" s="190"/>
    </row>
    <row r="72" spans="13:14">
      <c r="M72" s="190"/>
      <c r="N72" s="190"/>
    </row>
    <row r="73" spans="13:14">
      <c r="M73" s="190"/>
      <c r="N73" s="190"/>
    </row>
    <row r="74" spans="13:14">
      <c r="M74" s="190"/>
      <c r="N74" s="190"/>
    </row>
    <row r="75" spans="13:14">
      <c r="M75" s="190"/>
      <c r="N75" s="190"/>
    </row>
    <row r="76" spans="13:14">
      <c r="M76" s="190"/>
      <c r="N76" s="190"/>
    </row>
    <row r="77" spans="13:14">
      <c r="M77" s="190"/>
      <c r="N77" s="190"/>
    </row>
    <row r="78" spans="13:14">
      <c r="M78" s="190"/>
      <c r="N78" s="190"/>
    </row>
    <row r="79" spans="13:14">
      <c r="M79" s="190"/>
      <c r="N79" s="190"/>
    </row>
    <row r="80" spans="13:14">
      <c r="M80" s="190"/>
      <c r="N80" s="190"/>
    </row>
    <row r="81" spans="13:14">
      <c r="M81" s="190"/>
      <c r="N81" s="190"/>
    </row>
    <row r="82" spans="13:14">
      <c r="M82" s="190"/>
      <c r="N82" s="190"/>
    </row>
    <row r="83" spans="13:14">
      <c r="M83" s="190"/>
      <c r="N83" s="190"/>
    </row>
    <row r="84" spans="13:14">
      <c r="M84" s="190"/>
      <c r="N84" s="190"/>
    </row>
    <row r="85" spans="13:14">
      <c r="M85" s="190"/>
      <c r="N85" s="190"/>
    </row>
    <row r="86" spans="13:14">
      <c r="M86" s="190"/>
      <c r="N86" s="190"/>
    </row>
    <row r="87" spans="13:14">
      <c r="M87" s="190"/>
      <c r="N87" s="190"/>
    </row>
    <row r="88" spans="13:14">
      <c r="M88" s="190"/>
      <c r="N88" s="190"/>
    </row>
    <row r="89" spans="13:14">
      <c r="M89" s="190"/>
      <c r="N89" s="190"/>
    </row>
    <row r="90" spans="13:14">
      <c r="M90" s="190"/>
      <c r="N90" s="190"/>
    </row>
    <row r="91" spans="13:14">
      <c r="M91" s="190"/>
      <c r="N91" s="190"/>
    </row>
    <row r="92" spans="13:14">
      <c r="M92" s="190"/>
      <c r="N92" s="190"/>
    </row>
    <row r="93" spans="13:14">
      <c r="M93" s="190"/>
      <c r="N93" s="190"/>
    </row>
    <row r="94" spans="13:14">
      <c r="M94" s="190"/>
      <c r="N94" s="190"/>
    </row>
    <row r="95" spans="13:14">
      <c r="M95" s="190"/>
      <c r="N95" s="190"/>
    </row>
    <row r="96" spans="13:14">
      <c r="M96" s="190"/>
      <c r="N96" s="190"/>
    </row>
    <row r="97" spans="13:14">
      <c r="M97" s="190"/>
      <c r="N97" s="190"/>
    </row>
    <row r="98" spans="13:14">
      <c r="M98" s="190"/>
      <c r="N98" s="190"/>
    </row>
    <row r="99" spans="13:14">
      <c r="M99" s="190"/>
      <c r="N99" s="190"/>
    </row>
    <row r="100" spans="13:14">
      <c r="M100" s="190"/>
      <c r="N100" s="190"/>
    </row>
    <row r="101" spans="13:14">
      <c r="M101" s="190"/>
      <c r="N101" s="190"/>
    </row>
    <row r="102" spans="13:14">
      <c r="M102" s="190"/>
      <c r="N102" s="190"/>
    </row>
    <row r="103" spans="13:14">
      <c r="M103" s="190"/>
      <c r="N103" s="190"/>
    </row>
  </sheetData>
  <mergeCells count="67">
    <mergeCell ref="A23:A24"/>
    <mergeCell ref="K18:K23"/>
    <mergeCell ref="J18:J23"/>
    <mergeCell ref="I18:I23"/>
    <mergeCell ref="F17:F18"/>
    <mergeCell ref="E17:E18"/>
    <mergeCell ref="D17:D18"/>
    <mergeCell ref="A17:A18"/>
    <mergeCell ref="K24:K26"/>
    <mergeCell ref="J24:J26"/>
    <mergeCell ref="I24:I26"/>
    <mergeCell ref="C23:C24"/>
    <mergeCell ref="B23:B24"/>
    <mergeCell ref="C17:C18"/>
    <mergeCell ref="B17:B18"/>
    <mergeCell ref="F23:F24"/>
    <mergeCell ref="L2:L9"/>
    <mergeCell ref="D10:D15"/>
    <mergeCell ref="A10:A15"/>
    <mergeCell ref="K15:K16"/>
    <mergeCell ref="J15:J16"/>
    <mergeCell ref="I15:I16"/>
    <mergeCell ref="I2:I9"/>
    <mergeCell ref="K2:K9"/>
    <mergeCell ref="J2:J9"/>
    <mergeCell ref="F10:F15"/>
    <mergeCell ref="E10:E15"/>
    <mergeCell ref="C10:C15"/>
    <mergeCell ref="B10:B15"/>
    <mergeCell ref="E23:E24"/>
    <mergeCell ref="D23:D24"/>
    <mergeCell ref="F29:F30"/>
    <mergeCell ref="E29:E30"/>
    <mergeCell ref="D29:D30"/>
    <mergeCell ref="A29:A30"/>
    <mergeCell ref="K27:K29"/>
    <mergeCell ref="J27:J29"/>
    <mergeCell ref="I27:I29"/>
    <mergeCell ref="I30:I33"/>
    <mergeCell ref="K30:K33"/>
    <mergeCell ref="J30:J33"/>
    <mergeCell ref="C29:C30"/>
    <mergeCell ref="B29:B30"/>
    <mergeCell ref="A35:A36"/>
    <mergeCell ref="K34:K35"/>
    <mergeCell ref="J34:J35"/>
    <mergeCell ref="I34:I35"/>
    <mergeCell ref="F35:F36"/>
    <mergeCell ref="E35:E36"/>
    <mergeCell ref="D35:D36"/>
    <mergeCell ref="C35:C36"/>
    <mergeCell ref="B35:B36"/>
    <mergeCell ref="K36:K39"/>
    <mergeCell ref="J36:J39"/>
    <mergeCell ref="I36:I39"/>
    <mergeCell ref="D42:D45"/>
    <mergeCell ref="C42:C45"/>
    <mergeCell ref="B42:B45"/>
    <mergeCell ref="A42:A45"/>
    <mergeCell ref="K40:K41"/>
    <mergeCell ref="J40:J41"/>
    <mergeCell ref="I40:I41"/>
    <mergeCell ref="F42:F45"/>
    <mergeCell ref="E42:E45"/>
    <mergeCell ref="K45:K48"/>
    <mergeCell ref="J45:J48"/>
    <mergeCell ref="I45:I48"/>
  </mergeCells>
  <phoneticPr fontId="63" type="noConversion"/>
  <hyperlinks>
    <hyperlink ref="F57" location="汇总!A1" display="剩余欠款"/>
  </hyperlinks>
  <pageMargins left="0.7" right="0.7" top="0.75" bottom="0.75" header="0.3" footer="0.3"/>
  <pageSetup paperSize="9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N69"/>
  <sheetViews>
    <sheetView workbookViewId="0">
      <pane ySplit="1" topLeftCell="A41" activePane="bottomLeft" state="frozen"/>
      <selection pane="bottomLeft" activeCell="F68" sqref="F68"/>
    </sheetView>
  </sheetViews>
  <sheetFormatPr defaultColWidth="8.75" defaultRowHeight="14.25"/>
  <cols>
    <col min="1" max="1" width="13" style="168" customWidth="1"/>
    <col min="2" max="2" width="8.875" style="168" bestFit="1" customWidth="1"/>
    <col min="3" max="3" width="25.75" style="168" bestFit="1" customWidth="1"/>
    <col min="4" max="4" width="15" style="168" customWidth="1"/>
    <col min="5" max="5" width="12" style="168" customWidth="1"/>
    <col min="6" max="6" width="12" style="527" customWidth="1"/>
    <col min="7" max="7" width="11.5" style="168" bestFit="1" customWidth="1"/>
    <col min="8" max="8" width="16.75" style="168" bestFit="1" customWidth="1"/>
    <col min="9" max="9" width="12.875" style="168" customWidth="1"/>
    <col min="10" max="10" width="12" style="168" bestFit="1" customWidth="1"/>
    <col min="11" max="11" width="18.375" style="168" bestFit="1" customWidth="1"/>
    <col min="12" max="12" width="47.75" style="168" customWidth="1"/>
    <col min="13" max="16384" width="8.75" style="168"/>
  </cols>
  <sheetData>
    <row r="1" spans="1:12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7" t="s">
        <v>542</v>
      </c>
    </row>
    <row r="2" spans="1:12" ht="15">
      <c r="A2" s="632">
        <v>44697</v>
      </c>
      <c r="B2" s="1124" t="s">
        <v>521</v>
      </c>
      <c r="C2" s="1124" t="s">
        <v>4414</v>
      </c>
      <c r="D2" s="615" t="s">
        <v>2148</v>
      </c>
      <c r="E2" s="631">
        <v>9742.84</v>
      </c>
      <c r="F2" s="731">
        <v>0</v>
      </c>
      <c r="G2" s="631">
        <v>9742.84</v>
      </c>
      <c r="H2" s="632">
        <v>44757</v>
      </c>
      <c r="I2" s="1906">
        <v>9541.24</v>
      </c>
      <c r="J2" s="1903">
        <v>44774</v>
      </c>
      <c r="K2" s="1968" t="s">
        <v>2637</v>
      </c>
      <c r="L2" s="1968"/>
    </row>
    <row r="3" spans="1:12" ht="15">
      <c r="A3" s="632">
        <v>44699</v>
      </c>
      <c r="B3" s="1124" t="s">
        <v>521</v>
      </c>
      <c r="C3" s="1124" t="s">
        <v>4414</v>
      </c>
      <c r="D3" s="615" t="s">
        <v>2149</v>
      </c>
      <c r="E3" s="631">
        <v>-201.6</v>
      </c>
      <c r="F3" s="731">
        <v>0</v>
      </c>
      <c r="G3" s="631">
        <v>-201.6</v>
      </c>
      <c r="H3" s="632"/>
      <c r="I3" s="1908"/>
      <c r="J3" s="1905"/>
      <c r="K3" s="1957"/>
      <c r="L3" s="1957"/>
    </row>
    <row r="4" spans="1:12" ht="15">
      <c r="A4" s="632">
        <v>44711</v>
      </c>
      <c r="B4" s="1124" t="s">
        <v>521</v>
      </c>
      <c r="C4" s="1124" t="s">
        <v>4414</v>
      </c>
      <c r="D4" s="615" t="s">
        <v>2247</v>
      </c>
      <c r="E4" s="631">
        <v>1616.82</v>
      </c>
      <c r="F4" s="731">
        <v>0</v>
      </c>
      <c r="G4" s="631">
        <v>1616.82</v>
      </c>
      <c r="H4" s="632">
        <v>44771</v>
      </c>
      <c r="I4" s="1906">
        <v>0</v>
      </c>
      <c r="J4" s="1903">
        <v>44711</v>
      </c>
      <c r="K4" s="1968" t="s">
        <v>2638</v>
      </c>
      <c r="L4" s="1968"/>
    </row>
    <row r="5" spans="1:12" ht="15">
      <c r="A5" s="632">
        <v>44711</v>
      </c>
      <c r="B5" s="1124" t="s">
        <v>521</v>
      </c>
      <c r="C5" s="1124" t="s">
        <v>4414</v>
      </c>
      <c r="D5" s="615" t="s">
        <v>2249</v>
      </c>
      <c r="E5" s="631">
        <v>-1616.82</v>
      </c>
      <c r="F5" s="731">
        <v>0</v>
      </c>
      <c r="G5" s="631">
        <v>-1616.82</v>
      </c>
      <c r="H5" s="632"/>
      <c r="I5" s="1908"/>
      <c r="J5" s="1905"/>
      <c r="K5" s="1957"/>
      <c r="L5" s="1957"/>
    </row>
    <row r="6" spans="1:12" ht="15">
      <c r="A6" s="632">
        <v>44711</v>
      </c>
      <c r="B6" s="1124" t="s">
        <v>521</v>
      </c>
      <c r="C6" s="1124" t="s">
        <v>4414</v>
      </c>
      <c r="D6" s="615" t="s">
        <v>2248</v>
      </c>
      <c r="E6" s="631">
        <v>1500.42</v>
      </c>
      <c r="F6" s="731">
        <v>0</v>
      </c>
      <c r="G6" s="631">
        <v>1500.42</v>
      </c>
      <c r="H6" s="632">
        <v>44711</v>
      </c>
      <c r="I6" s="1906">
        <v>1921.85</v>
      </c>
      <c r="J6" s="1903">
        <v>44802</v>
      </c>
      <c r="K6" s="1935" t="s">
        <v>2944</v>
      </c>
      <c r="L6" s="226"/>
    </row>
    <row r="7" spans="1:12" ht="15">
      <c r="A7" s="632">
        <v>44712</v>
      </c>
      <c r="B7" s="1124" t="s">
        <v>521</v>
      </c>
      <c r="C7" s="1124" t="s">
        <v>4414</v>
      </c>
      <c r="D7" s="615" t="s">
        <v>2250</v>
      </c>
      <c r="E7" s="631">
        <v>1240.32</v>
      </c>
      <c r="F7" s="731">
        <v>0</v>
      </c>
      <c r="G7" s="631">
        <v>1240.32</v>
      </c>
      <c r="H7" s="632">
        <v>44712</v>
      </c>
      <c r="I7" s="1907"/>
      <c r="J7" s="1904"/>
      <c r="K7" s="1950"/>
      <c r="L7" s="226"/>
    </row>
    <row r="8" spans="1:12" ht="15">
      <c r="A8" s="632">
        <v>44790.000497685185</v>
      </c>
      <c r="B8" s="1124" t="s">
        <v>2644</v>
      </c>
      <c r="C8" s="1124" t="s">
        <v>4414</v>
      </c>
      <c r="D8" s="615" t="s">
        <v>2818</v>
      </c>
      <c r="E8" s="631">
        <v>-804.6</v>
      </c>
      <c r="F8" s="731">
        <v>0</v>
      </c>
      <c r="G8" s="631">
        <v>-804.6</v>
      </c>
      <c r="H8" s="632" t="s">
        <v>1529</v>
      </c>
      <c r="I8" s="1907"/>
      <c r="J8" s="1904"/>
      <c r="K8" s="1950"/>
      <c r="L8" s="226"/>
    </row>
    <row r="9" spans="1:12" ht="15">
      <c r="A9" s="632">
        <v>44802</v>
      </c>
      <c r="B9" s="1124" t="s">
        <v>2644</v>
      </c>
      <c r="C9" s="1124" t="s">
        <v>4414</v>
      </c>
      <c r="D9" s="615" t="s">
        <v>2924</v>
      </c>
      <c r="E9" s="631">
        <v>-14.29</v>
      </c>
      <c r="F9" s="731">
        <v>0</v>
      </c>
      <c r="G9" s="631">
        <v>-14.29</v>
      </c>
      <c r="H9" s="632"/>
      <c r="I9" s="1908"/>
      <c r="J9" s="1905"/>
      <c r="K9" s="1947"/>
      <c r="L9" s="226"/>
    </row>
    <row r="10" spans="1:12" ht="15">
      <c r="A10" s="632">
        <v>44740</v>
      </c>
      <c r="B10" s="1124" t="s">
        <v>521</v>
      </c>
      <c r="C10" s="1124" t="s">
        <v>4414</v>
      </c>
      <c r="D10" s="615" t="s">
        <v>2382</v>
      </c>
      <c r="E10" s="631">
        <v>0.01</v>
      </c>
      <c r="F10" s="731">
        <v>0</v>
      </c>
      <c r="G10" s="631">
        <v>0.01</v>
      </c>
      <c r="H10" s="632">
        <v>44740</v>
      </c>
      <c r="I10" s="631">
        <v>0.01</v>
      </c>
      <c r="J10" s="632">
        <v>44746</v>
      </c>
      <c r="K10" s="445" t="s">
        <v>2422</v>
      </c>
      <c r="L10" s="226" t="s">
        <v>2383</v>
      </c>
    </row>
    <row r="11" spans="1:12" ht="15">
      <c r="A11" s="632">
        <v>44770</v>
      </c>
      <c r="B11" s="1124" t="s">
        <v>521</v>
      </c>
      <c r="C11" s="1124" t="s">
        <v>4414</v>
      </c>
      <c r="D11" s="615" t="s">
        <v>2556</v>
      </c>
      <c r="E11" s="631">
        <v>210</v>
      </c>
      <c r="F11" s="731">
        <v>0</v>
      </c>
      <c r="G11" s="631">
        <v>210</v>
      </c>
      <c r="H11" s="632">
        <v>44770</v>
      </c>
      <c r="I11" s="1906">
        <v>193.04</v>
      </c>
      <c r="J11" s="1903">
        <v>44774</v>
      </c>
      <c r="K11" s="1968" t="s">
        <v>2637</v>
      </c>
      <c r="L11" s="1968"/>
    </row>
    <row r="12" spans="1:12" ht="15">
      <c r="A12" s="632">
        <v>44774</v>
      </c>
      <c r="B12" s="1124" t="s">
        <v>521</v>
      </c>
      <c r="C12" s="1124" t="s">
        <v>4414</v>
      </c>
      <c r="D12" s="615" t="s">
        <v>2619</v>
      </c>
      <c r="E12" s="631">
        <v>-16.95</v>
      </c>
      <c r="F12" s="731">
        <v>0</v>
      </c>
      <c r="G12" s="631">
        <v>-16.96</v>
      </c>
      <c r="H12" s="632"/>
      <c r="I12" s="1908"/>
      <c r="J12" s="1905"/>
      <c r="K12" s="1957"/>
      <c r="L12" s="1957"/>
    </row>
    <row r="13" spans="1:12" ht="15">
      <c r="A13" s="841">
        <v>44718</v>
      </c>
      <c r="B13" s="1124" t="s">
        <v>521</v>
      </c>
      <c r="C13" s="1124" t="s">
        <v>4414</v>
      </c>
      <c r="D13" s="842" t="s">
        <v>2270</v>
      </c>
      <c r="E13" s="631">
        <v>811.95</v>
      </c>
      <c r="F13" s="731">
        <v>0</v>
      </c>
      <c r="G13" s="631">
        <v>811.95</v>
      </c>
      <c r="H13" s="841">
        <v>44718</v>
      </c>
      <c r="I13" s="1906">
        <v>2858.89</v>
      </c>
      <c r="J13" s="1903">
        <v>44844</v>
      </c>
      <c r="K13" s="1968" t="s">
        <v>3276</v>
      </c>
      <c r="L13" s="1968"/>
    </row>
    <row r="14" spans="1:12" ht="15">
      <c r="A14" s="841">
        <v>44733</v>
      </c>
      <c r="B14" s="1124" t="s">
        <v>521</v>
      </c>
      <c r="C14" s="1124" t="s">
        <v>4414</v>
      </c>
      <c r="D14" s="842" t="s">
        <v>2342</v>
      </c>
      <c r="E14" s="631">
        <v>600</v>
      </c>
      <c r="F14" s="731">
        <v>0</v>
      </c>
      <c r="G14" s="631">
        <v>600</v>
      </c>
      <c r="H14" s="841">
        <v>44733</v>
      </c>
      <c r="I14" s="1907"/>
      <c r="J14" s="1904"/>
      <c r="K14" s="1962"/>
      <c r="L14" s="1962"/>
    </row>
    <row r="15" spans="1:12" ht="15">
      <c r="A15" s="841">
        <v>44739</v>
      </c>
      <c r="B15" s="1124" t="s">
        <v>521</v>
      </c>
      <c r="C15" s="1124" t="s">
        <v>4414</v>
      </c>
      <c r="D15" s="842" t="s">
        <v>2380</v>
      </c>
      <c r="E15" s="631">
        <v>2815.65</v>
      </c>
      <c r="F15" s="731">
        <v>0</v>
      </c>
      <c r="G15" s="631">
        <v>2815.65</v>
      </c>
      <c r="H15" s="841">
        <v>44739</v>
      </c>
      <c r="I15" s="1907"/>
      <c r="J15" s="1904"/>
      <c r="K15" s="1962"/>
      <c r="L15" s="1962"/>
    </row>
    <row r="16" spans="1:12" ht="15">
      <c r="A16" s="841">
        <v>44739</v>
      </c>
      <c r="B16" s="1124" t="s">
        <v>521</v>
      </c>
      <c r="C16" s="1124" t="s">
        <v>4414</v>
      </c>
      <c r="D16" s="842" t="s">
        <v>2381</v>
      </c>
      <c r="E16" s="631">
        <v>255</v>
      </c>
      <c r="F16" s="731">
        <v>0</v>
      </c>
      <c r="G16" s="631">
        <v>255</v>
      </c>
      <c r="H16" s="841">
        <v>44739</v>
      </c>
      <c r="I16" s="1907"/>
      <c r="J16" s="1904"/>
      <c r="K16" s="1962"/>
      <c r="L16" s="1962"/>
    </row>
    <row r="17" spans="1:14" ht="15">
      <c r="A17" s="841">
        <v>44823</v>
      </c>
      <c r="B17" s="1124" t="s">
        <v>2644</v>
      </c>
      <c r="C17" s="1124" t="s">
        <v>4414</v>
      </c>
      <c r="D17" s="842" t="s">
        <v>3065</v>
      </c>
      <c r="E17" s="631">
        <v>-681.71</v>
      </c>
      <c r="F17" s="731">
        <v>0</v>
      </c>
      <c r="G17" s="631">
        <v>-681.71</v>
      </c>
      <c r="H17" s="841"/>
      <c r="I17" s="1907"/>
      <c r="J17" s="1904"/>
      <c r="K17" s="1962"/>
      <c r="L17" s="1962"/>
    </row>
    <row r="18" spans="1:14" ht="15">
      <c r="A18" s="841">
        <v>44826</v>
      </c>
      <c r="B18" s="1124" t="s">
        <v>2644</v>
      </c>
      <c r="C18" s="1124" t="s">
        <v>4414</v>
      </c>
      <c r="D18" s="842" t="s">
        <v>3066</v>
      </c>
      <c r="E18" s="631">
        <v>-942</v>
      </c>
      <c r="F18" s="731">
        <v>0</v>
      </c>
      <c r="G18" s="631">
        <v>-942</v>
      </c>
      <c r="H18" s="841"/>
      <c r="I18" s="1908"/>
      <c r="J18" s="1905"/>
      <c r="K18" s="1957"/>
      <c r="L18" s="1957"/>
    </row>
    <row r="19" spans="1:14" ht="15">
      <c r="A19" s="871">
        <v>44775</v>
      </c>
      <c r="B19" s="1124" t="s">
        <v>521</v>
      </c>
      <c r="C19" s="1124" t="s">
        <v>4414</v>
      </c>
      <c r="D19" s="872" t="s">
        <v>2620</v>
      </c>
      <c r="E19" s="631">
        <v>326.39999999999998</v>
      </c>
      <c r="F19" s="731">
        <v>0</v>
      </c>
      <c r="G19" s="631">
        <v>326.39999999999998</v>
      </c>
      <c r="H19" s="871">
        <v>44775</v>
      </c>
      <c r="I19" s="1906">
        <v>4572</v>
      </c>
      <c r="J19" s="1903">
        <v>44865</v>
      </c>
      <c r="K19" s="1968" t="s">
        <v>3390</v>
      </c>
      <c r="L19" s="1968"/>
    </row>
    <row r="20" spans="1:14" ht="15">
      <c r="A20" s="1903">
        <v>44775</v>
      </c>
      <c r="B20" s="1918" t="s">
        <v>521</v>
      </c>
      <c r="C20" s="1918" t="s">
        <v>4414</v>
      </c>
      <c r="D20" s="1909" t="s">
        <v>2621</v>
      </c>
      <c r="E20" s="1906">
        <v>4246.43</v>
      </c>
      <c r="F20" s="1927">
        <v>0</v>
      </c>
      <c r="G20" s="631">
        <v>4245.6000000000004</v>
      </c>
      <c r="H20" s="991">
        <v>44775</v>
      </c>
      <c r="I20" s="1908"/>
      <c r="J20" s="1905"/>
      <c r="K20" s="1957"/>
      <c r="L20" s="1957"/>
      <c r="M20" s="190"/>
      <c r="N20" s="190"/>
    </row>
    <row r="21" spans="1:14" ht="15">
      <c r="A21" s="1905"/>
      <c r="B21" s="1920"/>
      <c r="C21" s="1920"/>
      <c r="D21" s="1911"/>
      <c r="E21" s="1908"/>
      <c r="F21" s="1928"/>
      <c r="G21" s="631">
        <f>4246.43-4245.6</f>
        <v>0.82999999999992724</v>
      </c>
      <c r="H21" s="991">
        <v>44775</v>
      </c>
      <c r="I21" s="631">
        <v>0.82999999999992724</v>
      </c>
      <c r="J21" s="871">
        <v>44911</v>
      </c>
      <c r="K21" s="987" t="s">
        <v>3727</v>
      </c>
      <c r="L21" s="226"/>
      <c r="M21" s="190"/>
      <c r="N21" s="190"/>
    </row>
    <row r="22" spans="1:14" ht="15">
      <c r="A22" s="922">
        <v>44862</v>
      </c>
      <c r="B22" s="1124" t="s">
        <v>2644</v>
      </c>
      <c r="C22" s="1124" t="s">
        <v>4414</v>
      </c>
      <c r="D22" s="923" t="s">
        <v>3368</v>
      </c>
      <c r="E22" s="631">
        <v>1370.7</v>
      </c>
      <c r="F22" s="731">
        <v>0</v>
      </c>
      <c r="G22" s="631">
        <v>1370.7</v>
      </c>
      <c r="H22" s="922">
        <v>44863</v>
      </c>
      <c r="I22" s="1906">
        <v>1361.04</v>
      </c>
      <c r="J22" s="1903">
        <v>44886</v>
      </c>
      <c r="K22" s="1938" t="s">
        <v>3583</v>
      </c>
      <c r="L22" s="226"/>
      <c r="M22" s="190"/>
      <c r="N22" s="190"/>
    </row>
    <row r="23" spans="1:14" ht="15">
      <c r="A23" s="922">
        <v>44867.000497685185</v>
      </c>
      <c r="B23" s="1124" t="s">
        <v>2644</v>
      </c>
      <c r="C23" s="1124" t="s">
        <v>4414</v>
      </c>
      <c r="D23" s="923" t="s">
        <v>3415</v>
      </c>
      <c r="E23" s="631">
        <v>-9.66</v>
      </c>
      <c r="F23" s="731">
        <v>0</v>
      </c>
      <c r="G23" s="631">
        <v>-9.66</v>
      </c>
      <c r="H23" s="922" t="s">
        <v>1529</v>
      </c>
      <c r="I23" s="1908"/>
      <c r="J23" s="1905"/>
      <c r="K23" s="1947"/>
      <c r="L23" s="226"/>
      <c r="M23" s="190"/>
      <c r="N23" s="190"/>
    </row>
    <row r="24" spans="1:14" ht="15">
      <c r="A24" s="991">
        <v>44840</v>
      </c>
      <c r="B24" s="1124" t="s">
        <v>2644</v>
      </c>
      <c r="C24" s="1124" t="s">
        <v>4414</v>
      </c>
      <c r="D24" s="992" t="s">
        <v>3226</v>
      </c>
      <c r="E24" s="631">
        <v>2525.6999999999998</v>
      </c>
      <c r="F24" s="731">
        <v>0</v>
      </c>
      <c r="G24" s="631">
        <v>2525.6999999999998</v>
      </c>
      <c r="H24" s="991">
        <v>44841</v>
      </c>
      <c r="I24" s="1906">
        <v>2509.0500000000002</v>
      </c>
      <c r="J24" s="1903">
        <v>44911</v>
      </c>
      <c r="K24" s="1938" t="s">
        <v>3728</v>
      </c>
      <c r="L24" s="226"/>
      <c r="M24" s="190"/>
      <c r="N24" s="190"/>
    </row>
    <row r="25" spans="1:14" ht="15">
      <c r="A25" s="991">
        <v>44867.000497685185</v>
      </c>
      <c r="B25" s="1124" t="s">
        <v>2644</v>
      </c>
      <c r="C25" s="1124" t="s">
        <v>4414</v>
      </c>
      <c r="D25" s="992" t="s">
        <v>3414</v>
      </c>
      <c r="E25" s="631">
        <v>-16.649999999999999</v>
      </c>
      <c r="F25" s="731">
        <v>0</v>
      </c>
      <c r="G25" s="631">
        <v>-16.649999999999999</v>
      </c>
      <c r="H25" s="991" t="s">
        <v>1529</v>
      </c>
      <c r="I25" s="1908"/>
      <c r="J25" s="1905"/>
      <c r="K25" s="1947"/>
      <c r="L25" s="226"/>
      <c r="M25" s="190"/>
      <c r="N25" s="190"/>
    </row>
    <row r="26" spans="1:14" ht="15">
      <c r="A26" s="1116">
        <v>44886</v>
      </c>
      <c r="B26" s="1124" t="s">
        <v>2644</v>
      </c>
      <c r="C26" s="1124" t="s">
        <v>4414</v>
      </c>
      <c r="D26" s="1117" t="s">
        <v>3539</v>
      </c>
      <c r="E26" s="631">
        <v>834</v>
      </c>
      <c r="F26" s="731">
        <v>0</v>
      </c>
      <c r="G26" s="631">
        <v>834</v>
      </c>
      <c r="H26" s="1116">
        <v>44887</v>
      </c>
      <c r="I26" s="1936">
        <v>2997.74</v>
      </c>
      <c r="J26" s="1903">
        <v>44963</v>
      </c>
      <c r="K26" s="1956" t="s">
        <v>4090</v>
      </c>
      <c r="L26" s="226"/>
      <c r="M26" s="190"/>
      <c r="N26" s="190"/>
    </row>
    <row r="27" spans="1:14" ht="15">
      <c r="A27" s="1116">
        <v>44889</v>
      </c>
      <c r="B27" s="1124" t="s">
        <v>2644</v>
      </c>
      <c r="C27" s="1124" t="s">
        <v>4414</v>
      </c>
      <c r="D27" s="1117" t="s">
        <v>3540</v>
      </c>
      <c r="E27" s="631">
        <v>93.6</v>
      </c>
      <c r="F27" s="731">
        <v>0</v>
      </c>
      <c r="G27" s="631">
        <v>93.6</v>
      </c>
      <c r="H27" s="1116">
        <v>44890</v>
      </c>
      <c r="I27" s="2247"/>
      <c r="J27" s="1904"/>
      <c r="K27" s="1962"/>
      <c r="L27" s="226"/>
      <c r="M27" s="190"/>
      <c r="N27" s="190"/>
    </row>
    <row r="28" spans="1:14" ht="15">
      <c r="A28" s="1116">
        <v>44890</v>
      </c>
      <c r="B28" s="1124" t="s">
        <v>2644</v>
      </c>
      <c r="C28" s="1124" t="s">
        <v>4414</v>
      </c>
      <c r="D28" s="1117" t="s">
        <v>3541</v>
      </c>
      <c r="E28" s="631">
        <v>1276.43</v>
      </c>
      <c r="F28" s="731">
        <v>0</v>
      </c>
      <c r="G28" s="631">
        <v>1276.43</v>
      </c>
      <c r="H28" s="1116">
        <v>44891</v>
      </c>
      <c r="I28" s="2247"/>
      <c r="J28" s="1904"/>
      <c r="K28" s="1962"/>
      <c r="L28" s="226"/>
      <c r="M28" s="190"/>
      <c r="N28" s="190"/>
    </row>
    <row r="29" spans="1:14" ht="15">
      <c r="A29" s="1116">
        <v>44896</v>
      </c>
      <c r="B29" s="1124" t="s">
        <v>2644</v>
      </c>
      <c r="C29" s="1124" t="s">
        <v>4414</v>
      </c>
      <c r="D29" s="1117" t="s">
        <v>3621</v>
      </c>
      <c r="E29" s="631">
        <v>803.25</v>
      </c>
      <c r="F29" s="731">
        <v>0</v>
      </c>
      <c r="G29" s="631">
        <v>803.25</v>
      </c>
      <c r="H29" s="1116">
        <v>44897</v>
      </c>
      <c r="I29" s="2247"/>
      <c r="J29" s="1904"/>
      <c r="K29" s="1962"/>
      <c r="L29" s="226"/>
    </row>
    <row r="30" spans="1:14" ht="15">
      <c r="A30" s="1116">
        <v>44914</v>
      </c>
      <c r="B30" s="1124" t="s">
        <v>2644</v>
      </c>
      <c r="C30" s="1124" t="s">
        <v>4414</v>
      </c>
      <c r="D30" s="1117" t="s">
        <v>3791</v>
      </c>
      <c r="E30" s="631">
        <v>-9.5399999999999991</v>
      </c>
      <c r="F30" s="731">
        <v>0</v>
      </c>
      <c r="G30" s="631">
        <v>-9.5399999999999991</v>
      </c>
      <c r="H30" s="1116"/>
      <c r="I30" s="1937"/>
      <c r="J30" s="1905"/>
      <c r="K30" s="1957"/>
      <c r="L30" s="226"/>
    </row>
    <row r="31" spans="1:14" ht="15">
      <c r="A31" s="1258">
        <v>44914</v>
      </c>
      <c r="B31" s="1258" t="s">
        <v>2644</v>
      </c>
      <c r="C31" s="1258" t="s">
        <v>4414</v>
      </c>
      <c r="D31" s="1262" t="s">
        <v>3792</v>
      </c>
      <c r="E31" s="631">
        <v>585.45000000000005</v>
      </c>
      <c r="F31" s="731">
        <v>0</v>
      </c>
      <c r="G31" s="631">
        <v>585.45000000000005</v>
      </c>
      <c r="H31" s="1258">
        <v>44959</v>
      </c>
      <c r="I31" s="1936">
        <v>1968</v>
      </c>
      <c r="J31" s="1903">
        <v>45007</v>
      </c>
      <c r="K31" s="1956" t="s">
        <v>4591</v>
      </c>
      <c r="L31" s="226"/>
    </row>
    <row r="32" spans="1:14" ht="15">
      <c r="A32" s="1258">
        <v>44924</v>
      </c>
      <c r="B32" s="1258" t="s">
        <v>2644</v>
      </c>
      <c r="C32" s="1258" t="s">
        <v>4414</v>
      </c>
      <c r="D32" s="1262" t="s">
        <v>3826</v>
      </c>
      <c r="E32" s="631">
        <v>803.25</v>
      </c>
      <c r="F32" s="731">
        <v>0</v>
      </c>
      <c r="G32" s="631">
        <v>803.25</v>
      </c>
      <c r="H32" s="1258">
        <v>44969</v>
      </c>
      <c r="I32" s="2247"/>
      <c r="J32" s="1904"/>
      <c r="K32" s="1962"/>
      <c r="L32" s="226"/>
    </row>
    <row r="33" spans="1:12" ht="15">
      <c r="A33" s="1258">
        <v>44936</v>
      </c>
      <c r="B33" s="1258" t="s">
        <v>2644</v>
      </c>
      <c r="C33" s="1258" t="s">
        <v>4414</v>
      </c>
      <c r="D33" s="1262" t="s">
        <v>3906</v>
      </c>
      <c r="E33" s="631">
        <v>710.1</v>
      </c>
      <c r="F33" s="731">
        <v>0</v>
      </c>
      <c r="G33" s="631">
        <v>710.1</v>
      </c>
      <c r="H33" s="1258">
        <v>44981</v>
      </c>
      <c r="I33" s="2247"/>
      <c r="J33" s="1904"/>
      <c r="K33" s="1962"/>
      <c r="L33" s="226"/>
    </row>
    <row r="34" spans="1:12" ht="15">
      <c r="A34" s="1321">
        <v>45007</v>
      </c>
      <c r="B34" s="1321" t="s">
        <v>2644</v>
      </c>
      <c r="C34" s="1321" t="s">
        <v>4414</v>
      </c>
      <c r="D34" s="1324" t="s">
        <v>4561</v>
      </c>
      <c r="E34" s="631">
        <v>-130.80000000000001</v>
      </c>
      <c r="F34" s="731">
        <v>0</v>
      </c>
      <c r="G34" s="631">
        <v>-130.80000000000001</v>
      </c>
      <c r="H34" s="1258"/>
      <c r="I34" s="1937"/>
      <c r="J34" s="1905"/>
      <c r="K34" s="1957"/>
      <c r="L34" s="226"/>
    </row>
    <row r="35" spans="1:12" ht="15">
      <c r="A35" s="1321">
        <v>45034</v>
      </c>
      <c r="B35" s="1321" t="s">
        <v>2644</v>
      </c>
      <c r="C35" s="1321" t="s">
        <v>4414</v>
      </c>
      <c r="D35" s="1324" t="s">
        <v>4826</v>
      </c>
      <c r="E35" s="631">
        <v>-0.32</v>
      </c>
      <c r="F35" s="731">
        <v>0</v>
      </c>
      <c r="G35" s="631">
        <v>-0.32</v>
      </c>
      <c r="H35" s="1321">
        <v>45035</v>
      </c>
      <c r="I35" s="1936">
        <v>566.39</v>
      </c>
      <c r="J35" s="1903">
        <v>45033</v>
      </c>
      <c r="K35" s="1956" t="s">
        <v>4852</v>
      </c>
      <c r="L35" s="226" t="s">
        <v>4827</v>
      </c>
    </row>
    <row r="36" spans="1:12" ht="15">
      <c r="A36" s="1903">
        <v>44964</v>
      </c>
      <c r="B36" s="1903" t="s">
        <v>2644</v>
      </c>
      <c r="C36" s="1903" t="s">
        <v>4414</v>
      </c>
      <c r="D36" s="1909" t="s">
        <v>4059</v>
      </c>
      <c r="E36" s="1936">
        <v>772.65</v>
      </c>
      <c r="F36" s="1933">
        <v>0</v>
      </c>
      <c r="G36" s="631">
        <v>566.71</v>
      </c>
      <c r="H36" s="1321">
        <v>45024</v>
      </c>
      <c r="I36" s="1937"/>
      <c r="J36" s="1905"/>
      <c r="K36" s="1957"/>
      <c r="L36" s="226"/>
    </row>
    <row r="37" spans="1:12" ht="15">
      <c r="A37" s="1905"/>
      <c r="B37" s="1905"/>
      <c r="C37" s="1905"/>
      <c r="D37" s="1911"/>
      <c r="E37" s="1937"/>
      <c r="F37" s="1934"/>
      <c r="G37" s="631">
        <f>772.65-566.71</f>
        <v>205.93999999999994</v>
      </c>
      <c r="H37" s="1321">
        <v>45024</v>
      </c>
      <c r="I37" s="1936">
        <v>2815.65</v>
      </c>
      <c r="J37" s="1903">
        <v>45033</v>
      </c>
      <c r="K37" s="1968" t="s">
        <v>4853</v>
      </c>
      <c r="L37" s="226"/>
    </row>
    <row r="38" spans="1:12" ht="15">
      <c r="A38" s="1321">
        <v>44965</v>
      </c>
      <c r="B38" s="1321" t="s">
        <v>2644</v>
      </c>
      <c r="C38" s="1321" t="s">
        <v>4414</v>
      </c>
      <c r="D38" s="1324" t="s">
        <v>4060</v>
      </c>
      <c r="E38" s="631">
        <v>-12.48</v>
      </c>
      <c r="F38" s="731">
        <v>0</v>
      </c>
      <c r="G38" s="631">
        <v>-12.48</v>
      </c>
      <c r="H38" s="1321"/>
      <c r="I38" s="2247"/>
      <c r="J38" s="1904"/>
      <c r="K38" s="1962"/>
      <c r="L38" s="226"/>
    </row>
    <row r="39" spans="1:12" ht="15">
      <c r="A39" s="1321">
        <v>45001</v>
      </c>
      <c r="B39" s="1321" t="s">
        <v>2644</v>
      </c>
      <c r="C39" s="1321" t="s">
        <v>4414</v>
      </c>
      <c r="D39" s="1324" t="s">
        <v>4507</v>
      </c>
      <c r="E39" s="631">
        <v>1697.89</v>
      </c>
      <c r="F39" s="731">
        <v>0</v>
      </c>
      <c r="G39" s="631">
        <v>1697.89</v>
      </c>
      <c r="H39" s="1321">
        <v>45002</v>
      </c>
      <c r="I39" s="2247"/>
      <c r="J39" s="1904"/>
      <c r="K39" s="1962"/>
      <c r="L39" s="226"/>
    </row>
    <row r="40" spans="1:12" ht="15">
      <c r="A40" s="1321">
        <v>45002</v>
      </c>
      <c r="B40" s="1321" t="s">
        <v>2644</v>
      </c>
      <c r="C40" s="1321" t="s">
        <v>4414</v>
      </c>
      <c r="D40" s="1324" t="s">
        <v>4508</v>
      </c>
      <c r="E40" s="631">
        <v>930</v>
      </c>
      <c r="F40" s="731">
        <v>0</v>
      </c>
      <c r="G40" s="631">
        <v>930</v>
      </c>
      <c r="H40" s="1321">
        <v>45062</v>
      </c>
      <c r="I40" s="2247"/>
      <c r="J40" s="1904"/>
      <c r="K40" s="1962"/>
      <c r="L40" s="226"/>
    </row>
    <row r="41" spans="1:12" ht="15">
      <c r="A41" s="1321">
        <v>45033</v>
      </c>
      <c r="B41" s="1321" t="s">
        <v>2644</v>
      </c>
      <c r="C41" s="1321" t="s">
        <v>4414</v>
      </c>
      <c r="D41" s="1324" t="s">
        <v>4825</v>
      </c>
      <c r="E41" s="631">
        <v>-5.7</v>
      </c>
      <c r="F41" s="731">
        <v>0</v>
      </c>
      <c r="G41" s="631">
        <v>-5.7</v>
      </c>
      <c r="H41" s="1321"/>
      <c r="I41" s="1937"/>
      <c r="J41" s="1905"/>
      <c r="K41" s="1957"/>
      <c r="L41" s="226"/>
    </row>
    <row r="42" spans="1:12" ht="15">
      <c r="A42" s="1527">
        <v>45030.000497685185</v>
      </c>
      <c r="B42" s="1527" t="s">
        <v>2644</v>
      </c>
      <c r="C42" s="1527" t="s">
        <v>4414</v>
      </c>
      <c r="D42" s="1530" t="s">
        <v>4728</v>
      </c>
      <c r="E42" s="631">
        <v>1667.85</v>
      </c>
      <c r="F42" s="731">
        <v>0</v>
      </c>
      <c r="G42" s="631">
        <v>1667.85</v>
      </c>
      <c r="H42" s="1527">
        <v>45090</v>
      </c>
      <c r="I42" s="631">
        <v>1667.85</v>
      </c>
      <c r="J42" s="1527">
        <v>45121</v>
      </c>
      <c r="K42" s="1288" t="s">
        <v>5615</v>
      </c>
      <c r="L42" s="226"/>
    </row>
    <row r="43" spans="1:12" ht="15">
      <c r="A43" s="1527">
        <v>45058</v>
      </c>
      <c r="B43" s="1527" t="s">
        <v>2644</v>
      </c>
      <c r="C43" s="1527" t="s">
        <v>4414</v>
      </c>
      <c r="D43" s="1530" t="s">
        <v>4990</v>
      </c>
      <c r="E43" s="631">
        <v>1870.5</v>
      </c>
      <c r="F43" s="731">
        <v>0</v>
      </c>
      <c r="G43" s="631">
        <v>1870.5</v>
      </c>
      <c r="H43" s="1527">
        <v>45118</v>
      </c>
      <c r="I43" s="631">
        <v>1870.5</v>
      </c>
      <c r="J43" s="1377"/>
      <c r="K43" s="1373"/>
      <c r="L43" s="226"/>
    </row>
    <row r="44" spans="1:12" ht="15">
      <c r="A44" s="1657">
        <v>45075</v>
      </c>
      <c r="B44" s="1657" t="s">
        <v>2644</v>
      </c>
      <c r="C44" s="1657" t="s">
        <v>4414</v>
      </c>
      <c r="D44" s="1661" t="s">
        <v>5281</v>
      </c>
      <c r="E44" s="631">
        <v>-14.4</v>
      </c>
      <c r="F44" s="731">
        <v>0</v>
      </c>
      <c r="G44" s="631">
        <v>-14.4</v>
      </c>
      <c r="H44" s="1657">
        <v>45076</v>
      </c>
      <c r="I44" s="631">
        <v>-14.4</v>
      </c>
      <c r="J44" s="1657">
        <v>45121</v>
      </c>
      <c r="K44" s="1658" t="s">
        <v>5614</v>
      </c>
      <c r="L44" s="226" t="s">
        <v>5282</v>
      </c>
    </row>
    <row r="45" spans="1:12" ht="15">
      <c r="A45" s="1657">
        <v>45085</v>
      </c>
      <c r="B45" s="1657" t="s">
        <v>2644</v>
      </c>
      <c r="C45" s="1657" t="s">
        <v>4414</v>
      </c>
      <c r="D45" s="1661" t="s">
        <v>5335</v>
      </c>
      <c r="E45" s="631">
        <v>1929.39</v>
      </c>
      <c r="F45" s="731">
        <v>0</v>
      </c>
      <c r="G45" s="631">
        <v>1929.39</v>
      </c>
      <c r="H45" s="1657">
        <v>45145</v>
      </c>
      <c r="I45" s="631">
        <v>1929.39</v>
      </c>
      <c r="J45" s="1657">
        <v>45166</v>
      </c>
      <c r="K45" s="1658" t="s">
        <v>5972</v>
      </c>
      <c r="L45" s="226"/>
    </row>
    <row r="46" spans="1:12" ht="15">
      <c r="A46" s="1527">
        <v>45121</v>
      </c>
      <c r="B46" s="1527" t="s">
        <v>2644</v>
      </c>
      <c r="C46" s="1527" t="s">
        <v>4414</v>
      </c>
      <c r="D46" s="1530" t="s">
        <v>5589</v>
      </c>
      <c r="E46" s="631">
        <v>-12.83</v>
      </c>
      <c r="F46" s="731">
        <v>0</v>
      </c>
      <c r="G46" s="631">
        <v>-12.83</v>
      </c>
      <c r="H46" s="1527"/>
      <c r="I46" s="631">
        <v>-12.83</v>
      </c>
      <c r="J46" s="1527">
        <v>45121</v>
      </c>
      <c r="K46" s="1520" t="s">
        <v>5614</v>
      </c>
      <c r="L46" s="226"/>
    </row>
    <row r="47" spans="1:12" ht="15">
      <c r="A47" s="1527">
        <v>45121</v>
      </c>
      <c r="B47" s="1527" t="s">
        <v>2644</v>
      </c>
      <c r="C47" s="1527" t="s">
        <v>4414</v>
      </c>
      <c r="D47" s="1530" t="s">
        <v>5590</v>
      </c>
      <c r="E47" s="631">
        <v>-21.13</v>
      </c>
      <c r="F47" s="731">
        <v>0</v>
      </c>
      <c r="G47" s="631">
        <v>-21.13</v>
      </c>
      <c r="H47" s="1527"/>
      <c r="I47" s="631">
        <v>-21.13</v>
      </c>
      <c r="J47" s="1527">
        <v>45121</v>
      </c>
      <c r="K47" s="1520" t="s">
        <v>5614</v>
      </c>
      <c r="L47" s="226"/>
    </row>
    <row r="48" spans="1:12" ht="15">
      <c r="A48" s="1738">
        <v>45125</v>
      </c>
      <c r="B48" s="1738" t="s">
        <v>2644</v>
      </c>
      <c r="C48" s="1738" t="s">
        <v>4414</v>
      </c>
      <c r="D48" s="1742" t="s">
        <v>5651</v>
      </c>
      <c r="E48" s="631">
        <v>1508.4</v>
      </c>
      <c r="F48" s="731">
        <v>0</v>
      </c>
      <c r="G48" s="631">
        <v>1508.4</v>
      </c>
      <c r="H48" s="1738">
        <v>45185</v>
      </c>
      <c r="I48" s="1936">
        <v>1503.9</v>
      </c>
      <c r="J48" s="1903">
        <v>45194</v>
      </c>
      <c r="K48" s="1968" t="s">
        <v>6288</v>
      </c>
      <c r="L48" s="226"/>
    </row>
    <row r="49" spans="1:12" ht="15">
      <c r="A49" s="1738">
        <v>45167</v>
      </c>
      <c r="B49" s="1738" t="s">
        <v>2644</v>
      </c>
      <c r="C49" s="1738" t="s">
        <v>4414</v>
      </c>
      <c r="D49" s="1742" t="s">
        <v>5957</v>
      </c>
      <c r="E49" s="631">
        <v>-3.45</v>
      </c>
      <c r="F49" s="731">
        <v>0</v>
      </c>
      <c r="G49" s="631">
        <v>-3.45</v>
      </c>
      <c r="H49" s="1738" t="s">
        <v>1529</v>
      </c>
      <c r="I49" s="2247"/>
      <c r="J49" s="1904"/>
      <c r="K49" s="1962"/>
      <c r="L49" s="226"/>
    </row>
    <row r="50" spans="1:12" ht="15">
      <c r="A50" s="1738">
        <v>45167</v>
      </c>
      <c r="B50" s="1738" t="s">
        <v>2644</v>
      </c>
      <c r="C50" s="1738" t="s">
        <v>4414</v>
      </c>
      <c r="D50" s="1742" t="s">
        <v>5958</v>
      </c>
      <c r="E50" s="631">
        <v>-1.05</v>
      </c>
      <c r="F50" s="731">
        <v>0</v>
      </c>
      <c r="G50" s="631">
        <v>-1.05</v>
      </c>
      <c r="H50" s="1738" t="s">
        <v>1529</v>
      </c>
      <c r="I50" s="1937"/>
      <c r="J50" s="1905"/>
      <c r="K50" s="1957"/>
      <c r="L50" s="226"/>
    </row>
    <row r="51" spans="1:12" ht="15">
      <c r="A51" s="1856">
        <v>45166</v>
      </c>
      <c r="B51" s="1856" t="s">
        <v>2644</v>
      </c>
      <c r="C51" s="1856" t="s">
        <v>4414</v>
      </c>
      <c r="D51" s="1858" t="s">
        <v>5956</v>
      </c>
      <c r="E51" s="631">
        <v>2254.2800000000002</v>
      </c>
      <c r="F51" s="731">
        <v>0</v>
      </c>
      <c r="G51" s="631">
        <v>2254.2800000000002</v>
      </c>
      <c r="H51" s="1856">
        <v>45226.000497685185</v>
      </c>
      <c r="I51" s="1936">
        <v>1986.07</v>
      </c>
      <c r="J51" s="1903">
        <v>45247</v>
      </c>
      <c r="K51" s="1968" t="s">
        <v>6620</v>
      </c>
      <c r="L51" s="226"/>
    </row>
    <row r="52" spans="1:12" ht="15">
      <c r="A52" s="1856">
        <v>45194</v>
      </c>
      <c r="B52" s="1856" t="s">
        <v>2644</v>
      </c>
      <c r="C52" s="1856" t="s">
        <v>4414</v>
      </c>
      <c r="D52" s="1858" t="s">
        <v>6240</v>
      </c>
      <c r="E52" s="631">
        <v>-2.2999999999999998</v>
      </c>
      <c r="F52" s="731">
        <v>0</v>
      </c>
      <c r="G52" s="631">
        <v>-2.2999999999999998</v>
      </c>
      <c r="H52" s="1856"/>
      <c r="I52" s="2247"/>
      <c r="J52" s="1904"/>
      <c r="K52" s="1962"/>
      <c r="L52" s="226"/>
    </row>
    <row r="53" spans="1:12" ht="15">
      <c r="A53" s="1856">
        <v>45194</v>
      </c>
      <c r="B53" s="1856" t="s">
        <v>2644</v>
      </c>
      <c r="C53" s="1856" t="s">
        <v>4414</v>
      </c>
      <c r="D53" s="1858" t="s">
        <v>6241</v>
      </c>
      <c r="E53" s="631">
        <v>-265.91000000000003</v>
      </c>
      <c r="F53" s="731">
        <v>0</v>
      </c>
      <c r="G53" s="631">
        <v>-265.91000000000003</v>
      </c>
      <c r="H53" s="1856"/>
      <c r="I53" s="1937"/>
      <c r="J53" s="1905"/>
      <c r="K53" s="1957"/>
      <c r="L53" s="226"/>
    </row>
    <row r="54" spans="1:12" ht="15">
      <c r="A54" s="623">
        <v>45201</v>
      </c>
      <c r="B54" s="623" t="s">
        <v>2644</v>
      </c>
      <c r="C54" s="623" t="s">
        <v>4414</v>
      </c>
      <c r="D54" s="624" t="s">
        <v>6242</v>
      </c>
      <c r="E54" s="606">
        <v>1254.3800000000001</v>
      </c>
      <c r="F54" s="732">
        <v>0</v>
      </c>
      <c r="G54" s="606">
        <v>1254.3800000000001</v>
      </c>
      <c r="H54" s="623">
        <v>45260</v>
      </c>
      <c r="I54" s="631"/>
      <c r="J54" s="1738"/>
      <c r="K54" s="1731"/>
      <c r="L54" s="226"/>
    </row>
    <row r="55" spans="1:12" ht="15">
      <c r="A55" s="623">
        <v>45217.333831018521</v>
      </c>
      <c r="B55" s="623" t="s">
        <v>2644</v>
      </c>
      <c r="C55" s="623" t="s">
        <v>4414</v>
      </c>
      <c r="D55" s="624" t="s">
        <v>6374</v>
      </c>
      <c r="E55" s="606">
        <v>216.83</v>
      </c>
      <c r="F55" s="732">
        <v>0</v>
      </c>
      <c r="G55" s="606">
        <v>216.83</v>
      </c>
      <c r="H55" s="623">
        <v>45276.333831018521</v>
      </c>
      <c r="I55" s="631"/>
      <c r="J55" s="1738"/>
      <c r="K55" s="1731"/>
      <c r="L55" s="226"/>
    </row>
    <row r="56" spans="1:12" ht="15">
      <c r="A56" s="623">
        <v>45217.333831018521</v>
      </c>
      <c r="B56" s="623" t="s">
        <v>2644</v>
      </c>
      <c r="C56" s="623" t="s">
        <v>4414</v>
      </c>
      <c r="D56" s="624" t="s">
        <v>6375</v>
      </c>
      <c r="E56" s="606">
        <v>1891.8</v>
      </c>
      <c r="F56" s="732">
        <v>0</v>
      </c>
      <c r="G56" s="606">
        <v>1891.8</v>
      </c>
      <c r="H56" s="623">
        <v>45276.333831018521</v>
      </c>
      <c r="I56" s="631"/>
      <c r="J56" s="1738"/>
      <c r="K56" s="1731"/>
      <c r="L56" s="226"/>
    </row>
    <row r="57" spans="1:12" ht="15">
      <c r="A57" s="623"/>
      <c r="B57" s="623"/>
      <c r="C57" s="623"/>
      <c r="D57" s="624"/>
      <c r="E57" s="606"/>
      <c r="F57" s="732"/>
      <c r="G57" s="606"/>
      <c r="H57" s="623"/>
      <c r="I57" s="631"/>
      <c r="J57" s="1738"/>
      <c r="K57" s="1731"/>
      <c r="L57" s="226"/>
    </row>
    <row r="58" spans="1:12" ht="15">
      <c r="A58" s="623"/>
      <c r="B58" s="623"/>
      <c r="C58" s="623"/>
      <c r="D58" s="624"/>
      <c r="E58" s="606"/>
      <c r="F58" s="732"/>
      <c r="G58" s="606"/>
      <c r="H58" s="623"/>
      <c r="I58" s="631"/>
      <c r="J58" s="1738"/>
      <c r="K58" s="1731"/>
      <c r="L58" s="226"/>
    </row>
    <row r="59" spans="1:12" ht="15">
      <c r="A59" s="623"/>
      <c r="B59" s="623"/>
      <c r="C59" s="623"/>
      <c r="D59" s="624"/>
      <c r="E59" s="606"/>
      <c r="F59" s="732"/>
      <c r="G59" s="606"/>
      <c r="H59" s="623"/>
      <c r="I59" s="631"/>
      <c r="J59" s="1738"/>
      <c r="K59" s="1731"/>
      <c r="L59" s="226"/>
    </row>
    <row r="60" spans="1:12" ht="15">
      <c r="A60" s="623"/>
      <c r="B60" s="623"/>
      <c r="C60" s="623"/>
      <c r="D60" s="624"/>
      <c r="E60" s="606"/>
      <c r="F60" s="732"/>
      <c r="G60" s="606"/>
      <c r="H60" s="623"/>
      <c r="I60" s="631"/>
      <c r="J60" s="1738"/>
      <c r="K60" s="1731"/>
      <c r="L60" s="226"/>
    </row>
    <row r="61" spans="1:12" ht="15">
      <c r="A61" s="623"/>
      <c r="B61" s="623"/>
      <c r="C61" s="623"/>
      <c r="D61" s="624"/>
      <c r="E61" s="606"/>
      <c r="F61" s="732"/>
      <c r="G61" s="606"/>
      <c r="H61" s="623"/>
      <c r="I61" s="631"/>
      <c r="J61" s="1738"/>
      <c r="K61" s="1731"/>
      <c r="L61" s="226"/>
    </row>
    <row r="62" spans="1:12" ht="15">
      <c r="A62" s="623"/>
      <c r="B62" s="623"/>
      <c r="C62" s="623"/>
      <c r="D62" s="624"/>
      <c r="E62" s="606"/>
      <c r="F62" s="732"/>
      <c r="G62" s="606"/>
      <c r="H62" s="623"/>
      <c r="I62" s="631"/>
      <c r="J62" s="1527"/>
      <c r="K62" s="1520"/>
      <c r="L62" s="226"/>
    </row>
    <row r="63" spans="1:12" ht="15">
      <c r="A63" s="623"/>
      <c r="B63" s="623"/>
      <c r="C63" s="623"/>
      <c r="D63" s="624"/>
      <c r="E63" s="606"/>
      <c r="F63" s="732"/>
      <c r="G63" s="606"/>
      <c r="H63" s="623"/>
      <c r="I63" s="631"/>
      <c r="J63" s="1527"/>
      <c r="K63" s="1520"/>
      <c r="L63" s="226"/>
    </row>
    <row r="64" spans="1:12" ht="15">
      <c r="A64" s="623"/>
      <c r="B64" s="623"/>
      <c r="C64" s="623"/>
      <c r="D64" s="624"/>
      <c r="E64" s="606"/>
      <c r="F64" s="732"/>
      <c r="G64" s="606"/>
      <c r="H64" s="623"/>
      <c r="I64" s="631"/>
      <c r="J64" s="1377"/>
      <c r="K64" s="1373"/>
      <c r="L64" s="226"/>
    </row>
    <row r="65" spans="1:12" ht="15">
      <c r="A65" s="623"/>
      <c r="B65" s="623"/>
      <c r="C65" s="623"/>
      <c r="D65" s="624"/>
      <c r="E65" s="606"/>
      <c r="F65" s="732"/>
      <c r="G65" s="606"/>
      <c r="H65" s="623"/>
      <c r="I65" s="631"/>
      <c r="J65" s="1235"/>
      <c r="K65" s="1231"/>
      <c r="L65" s="226"/>
    </row>
    <row r="66" spans="1:12" ht="15">
      <c r="A66" s="623"/>
      <c r="B66" s="623"/>
      <c r="C66" s="623"/>
      <c r="D66" s="624"/>
      <c r="E66" s="606"/>
      <c r="F66" s="732"/>
      <c r="G66" s="606"/>
      <c r="H66" s="623"/>
      <c r="I66" s="631"/>
      <c r="J66" s="1235"/>
      <c r="K66" s="1231"/>
      <c r="L66" s="226"/>
    </row>
    <row r="67" spans="1:12" ht="15">
      <c r="A67" s="623"/>
      <c r="B67" s="623"/>
      <c r="C67" s="623"/>
      <c r="D67" s="624"/>
      <c r="E67" s="606"/>
      <c r="F67" s="732"/>
      <c r="G67" s="606"/>
      <c r="H67" s="623"/>
      <c r="I67" s="631"/>
      <c r="J67" s="632"/>
      <c r="K67" s="987"/>
      <c r="L67" s="226"/>
    </row>
    <row r="68" spans="1:12" ht="15">
      <c r="A68" s="621"/>
      <c r="B68" s="1125"/>
      <c r="C68" s="1125"/>
      <c r="D68" s="621"/>
      <c r="E68" s="619"/>
      <c r="F68" s="1144" t="s">
        <v>545</v>
      </c>
      <c r="G68" s="625">
        <f>SUM(G2:G67)-SUM(I2:I67)</f>
        <v>3363.0099999999875</v>
      </c>
      <c r="H68" s="634"/>
      <c r="I68" s="631"/>
      <c r="J68" s="632"/>
      <c r="K68" s="987"/>
      <c r="L68" s="226"/>
    </row>
    <row r="69" spans="1:12">
      <c r="K69" s="237"/>
    </row>
  </sheetData>
  <mergeCells count="59">
    <mergeCell ref="K51:K53"/>
    <mergeCell ref="J51:J53"/>
    <mergeCell ref="I51:I53"/>
    <mergeCell ref="K48:K50"/>
    <mergeCell ref="J48:J50"/>
    <mergeCell ref="I48:I50"/>
    <mergeCell ref="A36:A37"/>
    <mergeCell ref="K35:K36"/>
    <mergeCell ref="J35:J36"/>
    <mergeCell ref="I35:I36"/>
    <mergeCell ref="K37:K41"/>
    <mergeCell ref="J37:J41"/>
    <mergeCell ref="I37:I41"/>
    <mergeCell ref="F36:F37"/>
    <mergeCell ref="E36:E37"/>
    <mergeCell ref="D36:D37"/>
    <mergeCell ref="C36:C37"/>
    <mergeCell ref="B36:B37"/>
    <mergeCell ref="K31:K34"/>
    <mergeCell ref="J31:J34"/>
    <mergeCell ref="I31:I34"/>
    <mergeCell ref="L19:L20"/>
    <mergeCell ref="F20:F21"/>
    <mergeCell ref="I22:I23"/>
    <mergeCell ref="K22:K23"/>
    <mergeCell ref="J22:J23"/>
    <mergeCell ref="K26:K30"/>
    <mergeCell ref="J26:J30"/>
    <mergeCell ref="I26:I30"/>
    <mergeCell ref="K24:K25"/>
    <mergeCell ref="J24:J25"/>
    <mergeCell ref="I24:I25"/>
    <mergeCell ref="E20:E21"/>
    <mergeCell ref="D20:D21"/>
    <mergeCell ref="A20:A21"/>
    <mergeCell ref="K19:K20"/>
    <mergeCell ref="J19:J20"/>
    <mergeCell ref="I19:I20"/>
    <mergeCell ref="C20:C21"/>
    <mergeCell ref="B20:B21"/>
    <mergeCell ref="L2:L3"/>
    <mergeCell ref="K4:K5"/>
    <mergeCell ref="J4:J5"/>
    <mergeCell ref="I4:I5"/>
    <mergeCell ref="L4:L5"/>
    <mergeCell ref="J2:J3"/>
    <mergeCell ref="K2:K3"/>
    <mergeCell ref="I2:I3"/>
    <mergeCell ref="L13:L18"/>
    <mergeCell ref="K6:K9"/>
    <mergeCell ref="J6:J9"/>
    <mergeCell ref="I6:I9"/>
    <mergeCell ref="L11:L12"/>
    <mergeCell ref="J11:J12"/>
    <mergeCell ref="K11:K12"/>
    <mergeCell ref="I11:I12"/>
    <mergeCell ref="K13:K18"/>
    <mergeCell ref="J13:J18"/>
    <mergeCell ref="I13:I18"/>
  </mergeCells>
  <phoneticPr fontId="64" type="noConversion"/>
  <hyperlinks>
    <hyperlink ref="F68" location="汇总!A1" display="剩余欠款"/>
  </hyperlinks>
  <pageMargins left="0.7" right="0.7" top="0.75" bottom="0.75" header="0.3" footer="0.3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N16"/>
  <sheetViews>
    <sheetView workbookViewId="0">
      <selection activeCell="F16" sqref="F16"/>
    </sheetView>
  </sheetViews>
  <sheetFormatPr defaultColWidth="8.75" defaultRowHeight="14.25"/>
  <cols>
    <col min="1" max="1" width="13" style="168" customWidth="1"/>
    <col min="2" max="2" width="8.875" style="168" bestFit="1" customWidth="1"/>
    <col min="3" max="3" width="27.875" style="168" bestFit="1" customWidth="1"/>
    <col min="4" max="4" width="15" style="168" customWidth="1"/>
    <col min="5" max="5" width="11.875" style="168" customWidth="1"/>
    <col min="6" max="6" width="11.875" style="527" customWidth="1"/>
    <col min="7" max="7" width="11.5" style="168" bestFit="1" customWidth="1"/>
    <col min="8" max="8" width="16.75" style="168" bestFit="1" customWidth="1"/>
    <col min="9" max="9" width="12.875" style="168" customWidth="1"/>
    <col min="10" max="10" width="12" style="168" bestFit="1" customWidth="1"/>
    <col min="11" max="11" width="13.875" style="168" bestFit="1" customWidth="1"/>
    <col min="12" max="12" width="39.375" style="168" bestFit="1" customWidth="1"/>
    <col min="13" max="16384" width="8.75" style="168"/>
  </cols>
  <sheetData>
    <row r="1" spans="1:14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7" t="s">
        <v>542</v>
      </c>
    </row>
    <row r="2" spans="1:14" ht="15">
      <c r="A2" s="632">
        <v>44708</v>
      </c>
      <c r="B2" s="1124" t="s">
        <v>521</v>
      </c>
      <c r="C2" s="1124" t="s">
        <v>4604</v>
      </c>
      <c r="D2" s="615" t="s">
        <v>2165</v>
      </c>
      <c r="E2" s="631">
        <v>2647.36</v>
      </c>
      <c r="F2" s="731">
        <v>0</v>
      </c>
      <c r="G2" s="631">
        <v>2647.36</v>
      </c>
      <c r="H2" s="632">
        <v>44708</v>
      </c>
      <c r="I2" s="631">
        <v>2647.36</v>
      </c>
      <c r="J2" s="632">
        <v>44768</v>
      </c>
      <c r="K2" s="485" t="s">
        <v>2580</v>
      </c>
      <c r="L2" s="166"/>
    </row>
    <row r="3" spans="1:14" ht="15">
      <c r="A3" s="632">
        <v>44742</v>
      </c>
      <c r="B3" s="1124" t="s">
        <v>4116</v>
      </c>
      <c r="C3" s="1124" t="s">
        <v>4604</v>
      </c>
      <c r="D3" s="615" t="s">
        <v>2360</v>
      </c>
      <c r="E3" s="631">
        <v>1186.5</v>
      </c>
      <c r="F3" s="731">
        <v>0</v>
      </c>
      <c r="G3" s="631">
        <v>1186.5</v>
      </c>
      <c r="H3" s="632">
        <v>44742</v>
      </c>
      <c r="I3" s="631">
        <v>1186.5</v>
      </c>
      <c r="J3" s="632">
        <v>44768</v>
      </c>
      <c r="K3" s="485" t="s">
        <v>2580</v>
      </c>
      <c r="L3" s="166"/>
    </row>
    <row r="4" spans="1:14" ht="15">
      <c r="A4" s="1015">
        <v>44767</v>
      </c>
      <c r="B4" s="1124" t="s">
        <v>4116</v>
      </c>
      <c r="C4" s="1124" t="s">
        <v>4604</v>
      </c>
      <c r="D4" s="1016" t="s">
        <v>2534</v>
      </c>
      <c r="E4" s="631">
        <v>-3.5</v>
      </c>
      <c r="F4" s="731">
        <v>0</v>
      </c>
      <c r="G4" s="631">
        <v>-3.5</v>
      </c>
      <c r="H4" s="1015"/>
      <c r="I4" s="1906">
        <v>1916.3</v>
      </c>
      <c r="J4" s="1903">
        <v>44875</v>
      </c>
      <c r="K4" s="1935" t="s">
        <v>3466</v>
      </c>
      <c r="L4" s="166"/>
    </row>
    <row r="5" spans="1:14" ht="15">
      <c r="A5" s="1015">
        <v>44767</v>
      </c>
      <c r="B5" s="1124" t="s">
        <v>4116</v>
      </c>
      <c r="C5" s="1124" t="s">
        <v>4604</v>
      </c>
      <c r="D5" s="1016" t="s">
        <v>2535</v>
      </c>
      <c r="E5" s="631">
        <v>1042.5</v>
      </c>
      <c r="F5" s="731">
        <v>0</v>
      </c>
      <c r="G5" s="631">
        <v>1042.5</v>
      </c>
      <c r="H5" s="1015">
        <v>44767</v>
      </c>
      <c r="I5" s="1907"/>
      <c r="J5" s="1904"/>
      <c r="K5" s="1950"/>
      <c r="L5" s="166"/>
    </row>
    <row r="6" spans="1:14" ht="15">
      <c r="A6" s="1015">
        <v>44782.000497685185</v>
      </c>
      <c r="B6" s="1124" t="s">
        <v>4116</v>
      </c>
      <c r="C6" s="1124" t="s">
        <v>4604</v>
      </c>
      <c r="D6" s="1016" t="s">
        <v>2668</v>
      </c>
      <c r="E6" s="631">
        <v>-69.5</v>
      </c>
      <c r="F6" s="731">
        <v>0</v>
      </c>
      <c r="G6" s="631">
        <v>-69.5</v>
      </c>
      <c r="H6" s="1015">
        <v>44782.000497685185</v>
      </c>
      <c r="I6" s="1907"/>
      <c r="J6" s="1904"/>
      <c r="K6" s="1950"/>
      <c r="L6" s="166" t="s">
        <v>2670</v>
      </c>
    </row>
    <row r="7" spans="1:14" ht="15">
      <c r="A7" s="1903">
        <v>44782.000497685185</v>
      </c>
      <c r="B7" s="1918" t="s">
        <v>4116</v>
      </c>
      <c r="C7" s="1918" t="s">
        <v>4604</v>
      </c>
      <c r="D7" s="1909" t="s">
        <v>2669</v>
      </c>
      <c r="E7" s="1906">
        <v>973</v>
      </c>
      <c r="F7" s="1927">
        <v>0</v>
      </c>
      <c r="G7" s="631">
        <v>946.8</v>
      </c>
      <c r="H7" s="1015">
        <v>44782.000497685185</v>
      </c>
      <c r="I7" s="1908"/>
      <c r="J7" s="1905"/>
      <c r="K7" s="1947"/>
      <c r="L7" s="166"/>
      <c r="M7" s="190"/>
      <c r="N7" s="190"/>
    </row>
    <row r="8" spans="1:14" ht="15">
      <c r="A8" s="1904"/>
      <c r="B8" s="1919"/>
      <c r="C8" s="1919"/>
      <c r="D8" s="1910"/>
      <c r="E8" s="1907"/>
      <c r="F8" s="1960"/>
      <c r="G8" s="631">
        <f>973-946.8-25.87</f>
        <v>0.33000000000004448</v>
      </c>
      <c r="H8" s="1015">
        <v>44782.000497685185</v>
      </c>
      <c r="I8" s="611">
        <v>0.33</v>
      </c>
      <c r="J8" s="1015">
        <v>44924</v>
      </c>
      <c r="K8" s="1013" t="s">
        <v>3842</v>
      </c>
      <c r="L8" s="226"/>
      <c r="M8" s="190"/>
      <c r="N8" s="190"/>
    </row>
    <row r="9" spans="1:14" ht="15">
      <c r="A9" s="1905"/>
      <c r="B9" s="1920"/>
      <c r="C9" s="1920"/>
      <c r="D9" s="1911"/>
      <c r="E9" s="1908"/>
      <c r="F9" s="1928"/>
      <c r="G9" s="631">
        <v>25.87</v>
      </c>
      <c r="H9" s="1015">
        <v>44782.000497685185</v>
      </c>
      <c r="I9" s="1927">
        <v>0</v>
      </c>
      <c r="J9" s="1903">
        <v>44924</v>
      </c>
      <c r="K9" s="1935" t="s">
        <v>3843</v>
      </c>
      <c r="L9" s="226"/>
      <c r="M9" s="190"/>
      <c r="N9" s="190"/>
    </row>
    <row r="10" spans="1:14" ht="15">
      <c r="A10" s="1015">
        <v>44875</v>
      </c>
      <c r="B10" s="1124" t="s">
        <v>521</v>
      </c>
      <c r="C10" s="1124" t="s">
        <v>4604</v>
      </c>
      <c r="D10" s="1016" t="s">
        <v>3438</v>
      </c>
      <c r="E10" s="631">
        <v>-25.87</v>
      </c>
      <c r="F10" s="731">
        <v>0</v>
      </c>
      <c r="G10" s="631">
        <v>-25.87</v>
      </c>
      <c r="H10" s="1015"/>
      <c r="I10" s="1928"/>
      <c r="J10" s="1905"/>
      <c r="K10" s="1947"/>
      <c r="L10" s="226"/>
      <c r="M10" s="190"/>
      <c r="N10" s="190"/>
    </row>
    <row r="11" spans="1:14" ht="15">
      <c r="A11" s="623"/>
      <c r="B11" s="623"/>
      <c r="C11" s="623"/>
      <c r="D11" s="624"/>
      <c r="E11" s="606"/>
      <c r="F11" s="732"/>
      <c r="G11" s="606"/>
      <c r="H11" s="623"/>
      <c r="I11" s="639"/>
      <c r="J11" s="623"/>
      <c r="K11" s="226"/>
      <c r="L11" s="226"/>
    </row>
    <row r="12" spans="1:14" ht="15">
      <c r="A12" s="623"/>
      <c r="B12" s="623"/>
      <c r="C12" s="623"/>
      <c r="D12" s="624"/>
      <c r="E12" s="606"/>
      <c r="F12" s="732"/>
      <c r="G12" s="606"/>
      <c r="H12" s="623"/>
      <c r="I12" s="639"/>
      <c r="J12" s="623"/>
      <c r="K12" s="226"/>
      <c r="L12" s="226"/>
    </row>
    <row r="13" spans="1:14" ht="15">
      <c r="A13" s="623"/>
      <c r="B13" s="623"/>
      <c r="C13" s="623"/>
      <c r="D13" s="624"/>
      <c r="E13" s="606"/>
      <c r="F13" s="732"/>
      <c r="G13" s="606"/>
      <c r="H13" s="623"/>
      <c r="I13" s="639"/>
      <c r="J13" s="623"/>
      <c r="K13" s="226"/>
      <c r="L13" s="226"/>
    </row>
    <row r="14" spans="1:14" ht="15">
      <c r="A14" s="623"/>
      <c r="B14" s="623"/>
      <c r="C14" s="623"/>
      <c r="D14" s="624"/>
      <c r="E14" s="606"/>
      <c r="F14" s="732"/>
      <c r="G14" s="606"/>
      <c r="H14" s="623"/>
      <c r="I14" s="639"/>
      <c r="J14" s="623"/>
      <c r="K14" s="226"/>
      <c r="L14" s="226"/>
    </row>
    <row r="15" spans="1:14" ht="15">
      <c r="A15" s="623"/>
      <c r="B15" s="623"/>
      <c r="C15" s="623"/>
      <c r="D15" s="624"/>
      <c r="E15" s="606"/>
      <c r="F15" s="732"/>
      <c r="G15" s="606"/>
      <c r="H15" s="623"/>
      <c r="I15" s="639"/>
      <c r="J15" s="623"/>
      <c r="K15" s="226"/>
      <c r="L15" s="226"/>
    </row>
    <row r="16" spans="1:14" ht="15">
      <c r="A16" s="621"/>
      <c r="B16" s="1125"/>
      <c r="C16" s="1125"/>
      <c r="D16" s="621"/>
      <c r="E16" s="619"/>
      <c r="F16" s="1144" t="s">
        <v>545</v>
      </c>
      <c r="G16" s="625">
        <f>SUM(G2:G15)-SUM(I2:I15)</f>
        <v>0</v>
      </c>
      <c r="H16" s="634"/>
      <c r="I16" s="639"/>
      <c r="J16" s="623"/>
      <c r="K16" s="226"/>
      <c r="L16" s="226"/>
    </row>
  </sheetData>
  <mergeCells count="12">
    <mergeCell ref="D7:D9"/>
    <mergeCell ref="A7:A9"/>
    <mergeCell ref="K9:K10"/>
    <mergeCell ref="J9:J10"/>
    <mergeCell ref="I9:I10"/>
    <mergeCell ref="K4:K7"/>
    <mergeCell ref="J4:J7"/>
    <mergeCell ref="I4:I7"/>
    <mergeCell ref="F7:F9"/>
    <mergeCell ref="E7:E9"/>
    <mergeCell ref="C7:C9"/>
    <mergeCell ref="B7:B9"/>
  </mergeCells>
  <phoneticPr fontId="15" type="noConversion"/>
  <hyperlinks>
    <hyperlink ref="F16" location="汇总!A1" display="剩余欠款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46"/>
  <sheetViews>
    <sheetView workbookViewId="0">
      <pane ySplit="1" topLeftCell="A17" activePane="bottomLeft" state="frozen"/>
      <selection activeCell="C33" sqref="C33"/>
      <selection pane="bottomLeft" activeCell="F46" sqref="F46"/>
    </sheetView>
  </sheetViews>
  <sheetFormatPr defaultRowHeight="14.25"/>
  <cols>
    <col min="1" max="1" width="12" style="102" bestFit="1" customWidth="1"/>
    <col min="2" max="2" width="8.875" style="168" bestFit="1" customWidth="1"/>
    <col min="3" max="3" width="26.25" style="168" customWidth="1"/>
    <col min="4" max="4" width="16.125" style="102" bestFit="1" customWidth="1"/>
    <col min="5" max="5" width="12" style="168" bestFit="1" customWidth="1"/>
    <col min="6" max="6" width="10.625" style="168" customWidth="1"/>
    <col min="7" max="7" width="12" style="110" bestFit="1" customWidth="1"/>
    <col min="8" max="8" width="16.75" style="102" bestFit="1" customWidth="1"/>
    <col min="9" max="9" width="14.125" style="102" bestFit="1" customWidth="1"/>
    <col min="10" max="10" width="12" style="102" bestFit="1" customWidth="1"/>
    <col min="11" max="11" width="15.125" style="102" customWidth="1"/>
    <col min="12" max="12" width="79" style="102" customWidth="1"/>
    <col min="13" max="16384" width="9" style="102"/>
  </cols>
  <sheetData>
    <row r="1" spans="1:12" customFormat="1" ht="18.75">
      <c r="A1" s="255" t="s">
        <v>536</v>
      </c>
      <c r="B1" s="255" t="s">
        <v>516</v>
      </c>
      <c r="C1" s="255" t="s">
        <v>515</v>
      </c>
      <c r="D1" s="256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6" t="s">
        <v>4100</v>
      </c>
      <c r="K1" s="257" t="s">
        <v>541</v>
      </c>
      <c r="L1" s="256" t="s">
        <v>542</v>
      </c>
    </row>
    <row r="2" spans="1:12" ht="15">
      <c r="A2" s="620">
        <v>44470</v>
      </c>
      <c r="B2" s="1124" t="s">
        <v>522</v>
      </c>
      <c r="C2" s="1124" t="s">
        <v>4392</v>
      </c>
      <c r="D2" s="621" t="s">
        <v>580</v>
      </c>
      <c r="E2" s="613">
        <v>1324.5</v>
      </c>
      <c r="F2" s="633">
        <v>0</v>
      </c>
      <c r="G2" s="639">
        <v>1324.5</v>
      </c>
      <c r="H2" s="620">
        <v>44471</v>
      </c>
      <c r="I2" s="639">
        <v>1324.5</v>
      </c>
      <c r="J2" s="620">
        <v>44690</v>
      </c>
      <c r="K2" s="376" t="s">
        <v>2081</v>
      </c>
      <c r="L2" s="226" t="s">
        <v>2504</v>
      </c>
    </row>
    <row r="3" spans="1:12" ht="15">
      <c r="A3" s="620">
        <v>44474</v>
      </c>
      <c r="B3" s="1124" t="s">
        <v>522</v>
      </c>
      <c r="C3" s="1124" t="s">
        <v>4392</v>
      </c>
      <c r="D3" s="621" t="s">
        <v>581</v>
      </c>
      <c r="E3" s="613">
        <v>166.5</v>
      </c>
      <c r="F3" s="633">
        <v>0</v>
      </c>
      <c r="G3" s="639">
        <v>166.5</v>
      </c>
      <c r="H3" s="620">
        <v>44475</v>
      </c>
      <c r="I3" s="639">
        <v>166.5</v>
      </c>
      <c r="J3" s="620">
        <v>44690</v>
      </c>
      <c r="K3" s="376" t="s">
        <v>2081</v>
      </c>
      <c r="L3" s="226" t="s">
        <v>2505</v>
      </c>
    </row>
    <row r="4" spans="1:12" ht="15">
      <c r="A4" s="620">
        <v>44600</v>
      </c>
      <c r="B4" s="1124" t="s">
        <v>521</v>
      </c>
      <c r="C4" s="1124" t="s">
        <v>4392</v>
      </c>
      <c r="D4" s="621" t="s">
        <v>583</v>
      </c>
      <c r="E4" s="613">
        <v>1322.1</v>
      </c>
      <c r="F4" s="633">
        <v>0</v>
      </c>
      <c r="G4" s="639">
        <v>1322.1</v>
      </c>
      <c r="H4" s="620">
        <v>44601</v>
      </c>
      <c r="I4" s="639">
        <v>1322.1</v>
      </c>
      <c r="J4" s="620">
        <v>44690</v>
      </c>
      <c r="K4" s="376" t="s">
        <v>2081</v>
      </c>
      <c r="L4" s="226" t="s">
        <v>2506</v>
      </c>
    </row>
    <row r="5" spans="1:12" ht="15">
      <c r="A5" s="620">
        <v>44600</v>
      </c>
      <c r="B5" s="1124" t="s">
        <v>521</v>
      </c>
      <c r="C5" s="1124" t="s">
        <v>4392</v>
      </c>
      <c r="D5" s="621" t="s">
        <v>582</v>
      </c>
      <c r="E5" s="613">
        <v>1329</v>
      </c>
      <c r="F5" s="633">
        <v>0</v>
      </c>
      <c r="G5" s="639">
        <v>1329</v>
      </c>
      <c r="H5" s="620">
        <v>44601</v>
      </c>
      <c r="I5" s="1912">
        <v>0</v>
      </c>
      <c r="J5" s="1918">
        <v>44704</v>
      </c>
      <c r="K5" s="1968" t="s">
        <v>2413</v>
      </c>
      <c r="L5" s="1968"/>
    </row>
    <row r="6" spans="1:12" ht="15">
      <c r="A6" s="620">
        <v>44600</v>
      </c>
      <c r="B6" s="1124" t="s">
        <v>521</v>
      </c>
      <c r="C6" s="1124" t="s">
        <v>4392</v>
      </c>
      <c r="D6" s="647" t="s">
        <v>1827</v>
      </c>
      <c r="E6" s="613">
        <v>-1329</v>
      </c>
      <c r="F6" s="633">
        <v>0</v>
      </c>
      <c r="G6" s="639">
        <v>-1329</v>
      </c>
      <c r="H6" s="620" t="s">
        <v>1529</v>
      </c>
      <c r="I6" s="1914"/>
      <c r="J6" s="1920"/>
      <c r="K6" s="1957"/>
      <c r="L6" s="1957"/>
    </row>
    <row r="7" spans="1:12" ht="15">
      <c r="A7" s="620">
        <v>44635</v>
      </c>
      <c r="B7" s="1124" t="s">
        <v>521</v>
      </c>
      <c r="C7" s="1124" t="s">
        <v>4392</v>
      </c>
      <c r="D7" s="647" t="s">
        <v>1748</v>
      </c>
      <c r="E7" s="613">
        <v>1410</v>
      </c>
      <c r="F7" s="633">
        <v>0</v>
      </c>
      <c r="G7" s="639">
        <v>1410</v>
      </c>
      <c r="H7" s="620">
        <v>44636</v>
      </c>
      <c r="I7" s="639">
        <v>1410</v>
      </c>
      <c r="J7" s="620">
        <v>44704</v>
      </c>
      <c r="K7" s="397" t="s">
        <v>1953</v>
      </c>
      <c r="L7" s="226" t="s">
        <v>2506</v>
      </c>
    </row>
    <row r="8" spans="1:12" s="168" customFormat="1" ht="15">
      <c r="A8" s="620">
        <v>44663</v>
      </c>
      <c r="B8" s="1124" t="s">
        <v>521</v>
      </c>
      <c r="C8" s="1124" t="s">
        <v>4392</v>
      </c>
      <c r="D8" s="647" t="s">
        <v>1915</v>
      </c>
      <c r="E8" s="613">
        <v>555</v>
      </c>
      <c r="F8" s="633">
        <v>0</v>
      </c>
      <c r="G8" s="639">
        <v>555</v>
      </c>
      <c r="H8" s="620">
        <v>44664</v>
      </c>
      <c r="I8" s="639">
        <v>555</v>
      </c>
      <c r="J8" s="620">
        <v>44704</v>
      </c>
      <c r="K8" s="397" t="s">
        <v>1953</v>
      </c>
      <c r="L8" s="226" t="s">
        <v>2506</v>
      </c>
    </row>
    <row r="9" spans="1:12" s="168" customFormat="1" ht="15">
      <c r="A9" s="620">
        <v>44686</v>
      </c>
      <c r="B9" s="1124" t="s">
        <v>521</v>
      </c>
      <c r="C9" s="1124" t="s">
        <v>4392</v>
      </c>
      <c r="D9" s="647" t="s">
        <v>2017</v>
      </c>
      <c r="E9" s="613">
        <v>0.02</v>
      </c>
      <c r="F9" s="633">
        <v>0</v>
      </c>
      <c r="G9" s="639">
        <v>0.02</v>
      </c>
      <c r="H9" s="620">
        <v>44687</v>
      </c>
      <c r="I9" s="639">
        <v>0.02</v>
      </c>
      <c r="J9" s="620">
        <v>44687</v>
      </c>
      <c r="K9" s="370" t="s">
        <v>2019</v>
      </c>
      <c r="L9" s="226" t="s">
        <v>2018</v>
      </c>
    </row>
    <row r="10" spans="1:12" s="168" customFormat="1" ht="15">
      <c r="A10" s="632">
        <v>44691</v>
      </c>
      <c r="B10" s="1124" t="s">
        <v>521</v>
      </c>
      <c r="C10" s="1124" t="s">
        <v>4392</v>
      </c>
      <c r="D10" s="648" t="s">
        <v>2082</v>
      </c>
      <c r="E10" s="609">
        <v>861</v>
      </c>
      <c r="F10" s="649">
        <v>0</v>
      </c>
      <c r="G10" s="611">
        <v>861</v>
      </c>
      <c r="H10" s="632">
        <v>44692</v>
      </c>
      <c r="I10" s="1923">
        <v>2490.75</v>
      </c>
      <c r="J10" s="1918">
        <v>44809</v>
      </c>
      <c r="K10" s="1968" t="s">
        <v>2978</v>
      </c>
      <c r="L10" s="1968"/>
    </row>
    <row r="11" spans="1:12" s="168" customFormat="1" ht="15">
      <c r="A11" s="632">
        <v>44719</v>
      </c>
      <c r="B11" s="1124" t="s">
        <v>521</v>
      </c>
      <c r="C11" s="1124" t="s">
        <v>4392</v>
      </c>
      <c r="D11" s="648" t="s">
        <v>2255</v>
      </c>
      <c r="E11" s="609">
        <v>318</v>
      </c>
      <c r="F11" s="649">
        <v>0</v>
      </c>
      <c r="G11" s="611">
        <v>318</v>
      </c>
      <c r="H11" s="632">
        <v>44720</v>
      </c>
      <c r="I11" s="1961"/>
      <c r="J11" s="1919"/>
      <c r="K11" s="1962"/>
      <c r="L11" s="1962"/>
    </row>
    <row r="12" spans="1:12" s="168" customFormat="1" ht="15">
      <c r="A12" s="632">
        <v>44735</v>
      </c>
      <c r="B12" s="1124" t="s">
        <v>521</v>
      </c>
      <c r="C12" s="1124" t="s">
        <v>4392</v>
      </c>
      <c r="D12" s="648" t="s">
        <v>2311</v>
      </c>
      <c r="E12" s="609">
        <v>607.5</v>
      </c>
      <c r="F12" s="649">
        <v>0</v>
      </c>
      <c r="G12" s="611">
        <v>607.5</v>
      </c>
      <c r="H12" s="632">
        <v>44736</v>
      </c>
      <c r="I12" s="1961"/>
      <c r="J12" s="1919"/>
      <c r="K12" s="1962"/>
      <c r="L12" s="1962"/>
    </row>
    <row r="13" spans="1:12" s="168" customFormat="1" ht="15">
      <c r="A13" s="632">
        <v>44747.000497685185</v>
      </c>
      <c r="B13" s="1124" t="s">
        <v>521</v>
      </c>
      <c r="C13" s="1124" t="s">
        <v>4392</v>
      </c>
      <c r="D13" s="648" t="s">
        <v>2403</v>
      </c>
      <c r="E13" s="609">
        <v>704.25</v>
      </c>
      <c r="F13" s="649">
        <v>0</v>
      </c>
      <c r="G13" s="611">
        <v>704.25</v>
      </c>
      <c r="H13" s="632">
        <v>44748.000497685185</v>
      </c>
      <c r="I13" s="1924"/>
      <c r="J13" s="1920"/>
      <c r="K13" s="1957"/>
      <c r="L13" s="1957"/>
    </row>
    <row r="14" spans="1:12" s="168" customFormat="1" ht="15">
      <c r="A14" s="908">
        <v>44768</v>
      </c>
      <c r="B14" s="1124" t="s">
        <v>521</v>
      </c>
      <c r="C14" s="1124" t="s">
        <v>4392</v>
      </c>
      <c r="D14" s="648" t="s">
        <v>2522</v>
      </c>
      <c r="E14" s="913">
        <v>594.55999999999995</v>
      </c>
      <c r="F14" s="649">
        <v>0</v>
      </c>
      <c r="G14" s="611">
        <v>594.55999999999995</v>
      </c>
      <c r="H14" s="908">
        <v>44769</v>
      </c>
      <c r="I14" s="1923">
        <v>1405.31</v>
      </c>
      <c r="J14" s="1918">
        <v>44882</v>
      </c>
      <c r="K14" s="1968" t="s">
        <v>3507</v>
      </c>
      <c r="L14" s="1968"/>
    </row>
    <row r="15" spans="1:12" s="168" customFormat="1" ht="15">
      <c r="A15" s="908">
        <v>44804</v>
      </c>
      <c r="B15" s="1124" t="s">
        <v>521</v>
      </c>
      <c r="C15" s="1124" t="s">
        <v>4392</v>
      </c>
      <c r="D15" s="648" t="s">
        <v>2892</v>
      </c>
      <c r="E15" s="913">
        <v>810.75</v>
      </c>
      <c r="F15" s="649">
        <v>0</v>
      </c>
      <c r="G15" s="611">
        <v>810.75</v>
      </c>
      <c r="H15" s="908">
        <v>44805</v>
      </c>
      <c r="I15" s="1924"/>
      <c r="J15" s="1920"/>
      <c r="K15" s="1957"/>
      <c r="L15" s="1957"/>
    </row>
    <row r="16" spans="1:12" s="168" customFormat="1" ht="15">
      <c r="A16" s="1015">
        <v>44811</v>
      </c>
      <c r="B16" s="1124" t="s">
        <v>521</v>
      </c>
      <c r="C16" s="1124" t="s">
        <v>4392</v>
      </c>
      <c r="D16" s="648" t="s">
        <v>2949</v>
      </c>
      <c r="E16" s="1017">
        <v>519</v>
      </c>
      <c r="F16" s="649">
        <v>0</v>
      </c>
      <c r="G16" s="611">
        <v>519</v>
      </c>
      <c r="H16" s="1015">
        <v>44812</v>
      </c>
      <c r="I16" s="1923">
        <v>2918.03</v>
      </c>
      <c r="J16" s="1918">
        <v>44924</v>
      </c>
      <c r="K16" s="1968" t="s">
        <v>3838</v>
      </c>
      <c r="L16" s="226"/>
    </row>
    <row r="17" spans="1:12" s="168" customFormat="1" ht="15">
      <c r="A17" s="1015">
        <v>44824</v>
      </c>
      <c r="B17" s="1124" t="s">
        <v>521</v>
      </c>
      <c r="C17" s="1124" t="s">
        <v>4392</v>
      </c>
      <c r="D17" s="648" t="s">
        <v>3045</v>
      </c>
      <c r="E17" s="1017">
        <v>322.13</v>
      </c>
      <c r="F17" s="649">
        <v>0</v>
      </c>
      <c r="G17" s="611">
        <v>322.13</v>
      </c>
      <c r="H17" s="1015">
        <v>44825</v>
      </c>
      <c r="I17" s="1961"/>
      <c r="J17" s="1919"/>
      <c r="K17" s="1962"/>
      <c r="L17" s="226"/>
    </row>
    <row r="18" spans="1:12" s="168" customFormat="1" ht="15">
      <c r="A18" s="1015">
        <v>44832</v>
      </c>
      <c r="B18" s="1124" t="s">
        <v>521</v>
      </c>
      <c r="C18" s="1124" t="s">
        <v>4392</v>
      </c>
      <c r="D18" s="648" t="s">
        <v>3141</v>
      </c>
      <c r="E18" s="1017">
        <v>828</v>
      </c>
      <c r="F18" s="649">
        <v>0</v>
      </c>
      <c r="G18" s="611">
        <v>828</v>
      </c>
      <c r="H18" s="1015">
        <v>44833.000497685185</v>
      </c>
      <c r="I18" s="1961"/>
      <c r="J18" s="1919"/>
      <c r="K18" s="1962"/>
      <c r="L18" s="226"/>
    </row>
    <row r="19" spans="1:12" s="168" customFormat="1" ht="15">
      <c r="A19" s="1015">
        <v>44879</v>
      </c>
      <c r="B19" s="1124" t="s">
        <v>521</v>
      </c>
      <c r="C19" s="1124" t="s">
        <v>4392</v>
      </c>
      <c r="D19" s="648" t="s">
        <v>3473</v>
      </c>
      <c r="E19" s="1017">
        <v>618</v>
      </c>
      <c r="F19" s="649">
        <v>0</v>
      </c>
      <c r="G19" s="611">
        <v>618</v>
      </c>
      <c r="H19" s="1015">
        <v>44880</v>
      </c>
      <c r="I19" s="1961"/>
      <c r="J19" s="1919"/>
      <c r="K19" s="1962"/>
      <c r="L19" s="226"/>
    </row>
    <row r="20" spans="1:12" s="168" customFormat="1" ht="15">
      <c r="A20" s="1015">
        <v>44894</v>
      </c>
      <c r="B20" s="1124" t="s">
        <v>521</v>
      </c>
      <c r="C20" s="1124" t="s">
        <v>4392</v>
      </c>
      <c r="D20" s="648" t="s">
        <v>3588</v>
      </c>
      <c r="E20" s="1017">
        <v>630.9</v>
      </c>
      <c r="F20" s="649">
        <v>0</v>
      </c>
      <c r="G20" s="611">
        <v>630.9</v>
      </c>
      <c r="H20" s="1015">
        <v>44895</v>
      </c>
      <c r="I20" s="1924"/>
      <c r="J20" s="1920"/>
      <c r="K20" s="1957"/>
      <c r="L20" s="226"/>
    </row>
    <row r="21" spans="1:12" s="168" customFormat="1" ht="15">
      <c r="A21" s="1364">
        <v>44929</v>
      </c>
      <c r="B21" s="1364" t="s">
        <v>2644</v>
      </c>
      <c r="C21" s="1364" t="s">
        <v>4392</v>
      </c>
      <c r="D21" s="648" t="s">
        <v>3851</v>
      </c>
      <c r="E21" s="1369">
        <v>459</v>
      </c>
      <c r="F21" s="649">
        <v>0</v>
      </c>
      <c r="G21" s="611">
        <v>459</v>
      </c>
      <c r="H21" s="1364">
        <v>44930.000497685185</v>
      </c>
      <c r="I21" s="1951">
        <v>2627.03</v>
      </c>
      <c r="J21" s="1903">
        <v>45050</v>
      </c>
      <c r="K21" s="1938" t="s">
        <v>5658</v>
      </c>
      <c r="L21" s="226"/>
    </row>
    <row r="22" spans="1:12" s="168" customFormat="1" ht="15">
      <c r="A22" s="1364">
        <v>44949</v>
      </c>
      <c r="B22" s="1364" t="s">
        <v>2644</v>
      </c>
      <c r="C22" s="1364" t="s">
        <v>4392</v>
      </c>
      <c r="D22" s="648" t="s">
        <v>3938</v>
      </c>
      <c r="E22" s="1369">
        <v>745.13</v>
      </c>
      <c r="F22" s="649">
        <v>0</v>
      </c>
      <c r="G22" s="611">
        <v>745.13</v>
      </c>
      <c r="H22" s="1364">
        <v>45009</v>
      </c>
      <c r="I22" s="1952"/>
      <c r="J22" s="1904"/>
      <c r="K22" s="1950"/>
      <c r="L22" s="226"/>
    </row>
    <row r="23" spans="1:12" s="168" customFormat="1" ht="15">
      <c r="A23" s="1364">
        <v>44963.000497685185</v>
      </c>
      <c r="B23" s="1364" t="s">
        <v>2644</v>
      </c>
      <c r="C23" s="1364" t="s">
        <v>4392</v>
      </c>
      <c r="D23" s="648" t="s">
        <v>4075</v>
      </c>
      <c r="E23" s="1369">
        <v>495.9</v>
      </c>
      <c r="F23" s="649">
        <v>0</v>
      </c>
      <c r="G23" s="611">
        <v>495.9</v>
      </c>
      <c r="H23" s="1364">
        <v>45008.000497685185</v>
      </c>
      <c r="I23" s="1952"/>
      <c r="J23" s="1904"/>
      <c r="K23" s="1950"/>
      <c r="L23" s="226"/>
    </row>
    <row r="24" spans="1:12" s="168" customFormat="1" ht="15">
      <c r="A24" s="1364">
        <v>44991</v>
      </c>
      <c r="B24" s="1364" t="s">
        <v>2644</v>
      </c>
      <c r="C24" s="1364" t="s">
        <v>4936</v>
      </c>
      <c r="D24" s="648" t="s">
        <v>4418</v>
      </c>
      <c r="E24" s="1369">
        <v>927</v>
      </c>
      <c r="F24" s="649">
        <v>0</v>
      </c>
      <c r="G24" s="611">
        <v>927</v>
      </c>
      <c r="H24" s="1364">
        <v>44991</v>
      </c>
      <c r="I24" s="1953"/>
      <c r="J24" s="1905"/>
      <c r="K24" s="1947"/>
      <c r="L24" s="226"/>
    </row>
    <row r="25" spans="1:12" s="168" customFormat="1" ht="15">
      <c r="A25" s="1549">
        <v>45013</v>
      </c>
      <c r="B25" s="1549" t="s">
        <v>2644</v>
      </c>
      <c r="C25" s="1549" t="s">
        <v>4392</v>
      </c>
      <c r="D25" s="648" t="s">
        <v>4617</v>
      </c>
      <c r="E25" s="1555">
        <v>1158</v>
      </c>
      <c r="F25" s="649">
        <v>0</v>
      </c>
      <c r="G25" s="611">
        <v>1158</v>
      </c>
      <c r="H25" s="1549">
        <v>45073</v>
      </c>
      <c r="I25" s="1951">
        <v>1811.44</v>
      </c>
      <c r="J25" s="1903">
        <v>45125</v>
      </c>
      <c r="K25" s="1938" t="s">
        <v>5659</v>
      </c>
      <c r="L25" s="226"/>
    </row>
    <row r="26" spans="1:12" s="168" customFormat="1" ht="15">
      <c r="A26" s="1549">
        <v>45034</v>
      </c>
      <c r="B26" s="1549" t="s">
        <v>2644</v>
      </c>
      <c r="C26" s="1549" t="s">
        <v>4392</v>
      </c>
      <c r="D26" s="648" t="s">
        <v>4777</v>
      </c>
      <c r="E26" s="1555">
        <v>700.2</v>
      </c>
      <c r="F26" s="649">
        <v>0</v>
      </c>
      <c r="G26" s="611">
        <v>700.2</v>
      </c>
      <c r="H26" s="1549">
        <v>45094</v>
      </c>
      <c r="I26" s="1952"/>
      <c r="J26" s="1904"/>
      <c r="K26" s="1950"/>
      <c r="L26" s="226"/>
    </row>
    <row r="27" spans="1:12" s="168" customFormat="1" ht="15">
      <c r="A27" s="1549">
        <v>45110</v>
      </c>
      <c r="B27" s="1549" t="s">
        <v>2644</v>
      </c>
      <c r="C27" s="1549" t="s">
        <v>4392</v>
      </c>
      <c r="D27" s="648" t="s">
        <v>5531</v>
      </c>
      <c r="E27" s="1555">
        <v>-46.76</v>
      </c>
      <c r="F27" s="649">
        <v>0</v>
      </c>
      <c r="G27" s="611">
        <v>-46.76</v>
      </c>
      <c r="H27" s="1549"/>
      <c r="I27" s="1953"/>
      <c r="J27" s="1905"/>
      <c r="K27" s="1947"/>
      <c r="L27" s="226"/>
    </row>
    <row r="28" spans="1:12" s="168" customFormat="1" ht="15">
      <c r="A28" s="1549">
        <v>45056</v>
      </c>
      <c r="B28" s="1549" t="s">
        <v>2644</v>
      </c>
      <c r="C28" s="1549" t="s">
        <v>4392</v>
      </c>
      <c r="D28" s="648" t="s">
        <v>4949</v>
      </c>
      <c r="E28" s="1555">
        <v>1150.58</v>
      </c>
      <c r="F28" s="649">
        <v>0</v>
      </c>
      <c r="G28" s="611">
        <v>1150.58</v>
      </c>
      <c r="H28" s="1549">
        <v>45116</v>
      </c>
      <c r="I28" s="1951">
        <v>1129.33</v>
      </c>
      <c r="J28" s="1903">
        <v>45125</v>
      </c>
      <c r="K28" s="1938" t="s">
        <v>5660</v>
      </c>
      <c r="L28" s="226"/>
    </row>
    <row r="29" spans="1:12" s="168" customFormat="1" ht="15">
      <c r="A29" s="1549">
        <v>45058</v>
      </c>
      <c r="B29" s="1549" t="s">
        <v>2644</v>
      </c>
      <c r="C29" s="1549" t="s">
        <v>4392</v>
      </c>
      <c r="D29" s="648" t="s">
        <v>4950</v>
      </c>
      <c r="E29" s="1555">
        <v>-21.25</v>
      </c>
      <c r="F29" s="649">
        <v>0</v>
      </c>
      <c r="G29" s="611">
        <v>-21.25</v>
      </c>
      <c r="H29" s="1549">
        <v>45059</v>
      </c>
      <c r="I29" s="1953"/>
      <c r="J29" s="1905"/>
      <c r="K29" s="1947"/>
      <c r="L29" s="226" t="s">
        <v>4951</v>
      </c>
    </row>
    <row r="30" spans="1:12" s="168" customFormat="1" ht="15">
      <c r="A30" s="623">
        <v>45107</v>
      </c>
      <c r="B30" s="623" t="s">
        <v>2644</v>
      </c>
      <c r="C30" s="623" t="s">
        <v>4392</v>
      </c>
      <c r="D30" s="650" t="s">
        <v>5476</v>
      </c>
      <c r="E30" s="603">
        <v>1394.78</v>
      </c>
      <c r="F30" s="644">
        <v>0</v>
      </c>
      <c r="G30" s="605">
        <v>1394.78</v>
      </c>
      <c r="H30" s="623">
        <v>45167</v>
      </c>
      <c r="I30" s="639"/>
      <c r="J30" s="1494"/>
      <c r="K30" s="1493"/>
      <c r="L30" s="226"/>
    </row>
    <row r="31" spans="1:12" s="168" customFormat="1" ht="15">
      <c r="A31" s="623">
        <v>45148</v>
      </c>
      <c r="B31" s="623" t="s">
        <v>2644</v>
      </c>
      <c r="C31" s="623" t="s">
        <v>4392</v>
      </c>
      <c r="D31" s="650" t="s">
        <v>5854</v>
      </c>
      <c r="E31" s="603">
        <v>948.6</v>
      </c>
      <c r="F31" s="644">
        <v>0</v>
      </c>
      <c r="G31" s="605">
        <v>948.6</v>
      </c>
      <c r="H31" s="623">
        <v>45208</v>
      </c>
      <c r="I31" s="639"/>
      <c r="J31" s="1505"/>
      <c r="K31" s="1504"/>
      <c r="L31" s="226"/>
    </row>
    <row r="32" spans="1:12" s="168" customFormat="1" ht="15">
      <c r="A32" s="623">
        <v>45169</v>
      </c>
      <c r="B32" s="623" t="s">
        <v>2644</v>
      </c>
      <c r="C32" s="623" t="s">
        <v>4392</v>
      </c>
      <c r="D32" s="650" t="s">
        <v>5939</v>
      </c>
      <c r="E32" s="603">
        <v>677.7</v>
      </c>
      <c r="F32" s="644">
        <v>0</v>
      </c>
      <c r="G32" s="605">
        <v>677.7</v>
      </c>
      <c r="H32" s="623">
        <v>45229.000497685185</v>
      </c>
      <c r="I32" s="639"/>
      <c r="J32" s="1505"/>
      <c r="K32" s="1504"/>
      <c r="L32" s="226"/>
    </row>
    <row r="33" spans="1:12" s="168" customFormat="1" ht="15">
      <c r="A33" s="623">
        <v>45202</v>
      </c>
      <c r="B33" s="623" t="s">
        <v>2644</v>
      </c>
      <c r="C33" s="623" t="s">
        <v>4392</v>
      </c>
      <c r="D33" s="650" t="s">
        <v>6146</v>
      </c>
      <c r="E33" s="603">
        <v>577.24</v>
      </c>
      <c r="F33" s="644">
        <v>0</v>
      </c>
      <c r="G33" s="605">
        <v>577.24</v>
      </c>
      <c r="H33" s="623">
        <v>45261</v>
      </c>
      <c r="I33" s="639"/>
      <c r="J33" s="1733"/>
      <c r="K33" s="1731"/>
      <c r="L33" s="226"/>
    </row>
    <row r="34" spans="1:12" s="168" customFormat="1" ht="15">
      <c r="A34" s="623">
        <v>45245</v>
      </c>
      <c r="B34" s="623" t="s">
        <v>2644</v>
      </c>
      <c r="C34" s="623" t="s">
        <v>4392</v>
      </c>
      <c r="D34" s="650" t="s">
        <v>6546</v>
      </c>
      <c r="E34" s="603">
        <v>481.5</v>
      </c>
      <c r="F34" s="644">
        <v>0</v>
      </c>
      <c r="G34" s="605">
        <v>481.5</v>
      </c>
      <c r="H34" s="623">
        <v>45305</v>
      </c>
      <c r="I34" s="639"/>
      <c r="J34" s="1733"/>
      <c r="K34" s="1731"/>
      <c r="L34" s="226"/>
    </row>
    <row r="35" spans="1:12" s="168" customFormat="1" ht="15">
      <c r="A35" s="623"/>
      <c r="B35" s="623"/>
      <c r="C35" s="623"/>
      <c r="D35" s="650"/>
      <c r="E35" s="603"/>
      <c r="F35" s="644"/>
      <c r="G35" s="605"/>
      <c r="H35" s="623"/>
      <c r="I35" s="639"/>
      <c r="J35" s="1733"/>
      <c r="K35" s="1731"/>
      <c r="L35" s="226"/>
    </row>
    <row r="36" spans="1:12" s="168" customFormat="1" ht="15">
      <c r="A36" s="623"/>
      <c r="B36" s="623"/>
      <c r="C36" s="623"/>
      <c r="D36" s="650"/>
      <c r="E36" s="603"/>
      <c r="F36" s="644"/>
      <c r="G36" s="605"/>
      <c r="H36" s="623"/>
      <c r="I36" s="639"/>
      <c r="J36" s="1733"/>
      <c r="K36" s="1731"/>
      <c r="L36" s="226"/>
    </row>
    <row r="37" spans="1:12" s="168" customFormat="1" ht="15">
      <c r="A37" s="623"/>
      <c r="B37" s="623"/>
      <c r="C37" s="623"/>
      <c r="D37" s="650"/>
      <c r="E37" s="603"/>
      <c r="F37" s="644"/>
      <c r="G37" s="605"/>
      <c r="H37" s="623"/>
      <c r="I37" s="639"/>
      <c r="J37" s="1733"/>
      <c r="K37" s="1731"/>
      <c r="L37" s="226"/>
    </row>
    <row r="38" spans="1:12" s="168" customFormat="1" ht="15">
      <c r="A38" s="623"/>
      <c r="B38" s="623"/>
      <c r="C38" s="623"/>
      <c r="D38" s="650"/>
      <c r="E38" s="603"/>
      <c r="F38" s="644"/>
      <c r="G38" s="605"/>
      <c r="H38" s="623"/>
      <c r="I38" s="639"/>
      <c r="J38" s="1505"/>
      <c r="K38" s="1504"/>
      <c r="L38" s="226"/>
    </row>
    <row r="39" spans="1:12" s="168" customFormat="1" ht="15">
      <c r="A39" s="623"/>
      <c r="B39" s="623"/>
      <c r="C39" s="623"/>
      <c r="D39" s="650"/>
      <c r="E39" s="603"/>
      <c r="F39" s="644"/>
      <c r="G39" s="605"/>
      <c r="H39" s="623"/>
      <c r="I39" s="639"/>
      <c r="J39" s="1505"/>
      <c r="K39" s="1504"/>
      <c r="L39" s="226"/>
    </row>
    <row r="40" spans="1:12" s="168" customFormat="1" ht="15">
      <c r="A40" s="623"/>
      <c r="B40" s="623"/>
      <c r="C40" s="623"/>
      <c r="D40" s="650"/>
      <c r="E40" s="603"/>
      <c r="F40" s="644"/>
      <c r="G40" s="605"/>
      <c r="H40" s="623"/>
      <c r="I40" s="639"/>
      <c r="J40" s="1494"/>
      <c r="K40" s="1493"/>
      <c r="L40" s="226"/>
    </row>
    <row r="41" spans="1:12" s="168" customFormat="1" ht="15">
      <c r="A41" s="623"/>
      <c r="B41" s="623"/>
      <c r="C41" s="623"/>
      <c r="D41" s="650"/>
      <c r="E41" s="603"/>
      <c r="F41" s="644"/>
      <c r="G41" s="605"/>
      <c r="H41" s="623"/>
      <c r="I41" s="639"/>
      <c r="J41" s="1494"/>
      <c r="K41" s="1493"/>
      <c r="L41" s="226"/>
    </row>
    <row r="42" spans="1:12" s="168" customFormat="1" ht="15">
      <c r="A42" s="623"/>
      <c r="B42" s="623"/>
      <c r="C42" s="623"/>
      <c r="D42" s="650"/>
      <c r="E42" s="603"/>
      <c r="F42" s="644"/>
      <c r="G42" s="605"/>
      <c r="H42" s="623"/>
      <c r="I42" s="639"/>
      <c r="J42" s="1271"/>
      <c r="K42" s="1269"/>
      <c r="L42" s="226"/>
    </row>
    <row r="43" spans="1:12" s="168" customFormat="1" ht="15">
      <c r="A43" s="623"/>
      <c r="B43" s="623"/>
      <c r="C43" s="623"/>
      <c r="D43" s="650"/>
      <c r="E43" s="603"/>
      <c r="F43" s="644"/>
      <c r="G43" s="605"/>
      <c r="H43" s="623"/>
      <c r="I43" s="639"/>
      <c r="J43" s="1271"/>
      <c r="K43" s="1269"/>
      <c r="L43" s="226"/>
    </row>
    <row r="44" spans="1:12" s="168" customFormat="1" ht="15">
      <c r="A44" s="623"/>
      <c r="B44" s="623"/>
      <c r="C44" s="623"/>
      <c r="D44" s="650"/>
      <c r="E44" s="603"/>
      <c r="F44" s="644"/>
      <c r="G44" s="605"/>
      <c r="H44" s="623"/>
      <c r="I44" s="639"/>
      <c r="J44" s="1213"/>
      <c r="K44" s="1209"/>
      <c r="L44" s="226"/>
    </row>
    <row r="45" spans="1:12" s="168" customFormat="1" ht="15">
      <c r="A45" s="623"/>
      <c r="B45" s="623"/>
      <c r="C45" s="623"/>
      <c r="D45" s="650"/>
      <c r="E45" s="603"/>
      <c r="F45" s="644"/>
      <c r="G45" s="605"/>
      <c r="H45" s="623"/>
      <c r="I45" s="639"/>
      <c r="J45" s="1213"/>
      <c r="K45" s="1209"/>
      <c r="L45" s="226"/>
    </row>
    <row r="46" spans="1:12" ht="15">
      <c r="A46" s="621"/>
      <c r="B46" s="1124"/>
      <c r="C46" s="1124"/>
      <c r="D46" s="619"/>
      <c r="E46" s="619"/>
      <c r="F46" s="1144" t="s">
        <v>545</v>
      </c>
      <c r="G46" s="651">
        <f>SUM(G2:G45)-SUM(I2:I45)</f>
        <v>4079.8199999999961</v>
      </c>
      <c r="H46" s="634"/>
      <c r="I46" s="639"/>
      <c r="J46" s="620"/>
      <c r="K46" s="226"/>
      <c r="L46" s="226"/>
    </row>
  </sheetData>
  <mergeCells count="24">
    <mergeCell ref="K25:K27"/>
    <mergeCell ref="J25:J27"/>
    <mergeCell ref="I25:I27"/>
    <mergeCell ref="K28:K29"/>
    <mergeCell ref="J28:J29"/>
    <mergeCell ref="I28:I29"/>
    <mergeCell ref="K14:K15"/>
    <mergeCell ref="J14:J15"/>
    <mergeCell ref="I14:I15"/>
    <mergeCell ref="L14:L15"/>
    <mergeCell ref="K5:K6"/>
    <mergeCell ref="J5:J6"/>
    <mergeCell ref="I5:I6"/>
    <mergeCell ref="I10:I13"/>
    <mergeCell ref="L5:L6"/>
    <mergeCell ref="K10:K13"/>
    <mergeCell ref="J10:J13"/>
    <mergeCell ref="L10:L13"/>
    <mergeCell ref="K21:K24"/>
    <mergeCell ref="J21:J24"/>
    <mergeCell ref="I21:I24"/>
    <mergeCell ref="K16:K20"/>
    <mergeCell ref="J16:J20"/>
    <mergeCell ref="I16:I20"/>
  </mergeCells>
  <phoneticPr fontId="15" type="noConversion"/>
  <hyperlinks>
    <hyperlink ref="F46" location="汇总!A1" display="剩余欠款"/>
  </hyperlinks>
  <pageMargins left="0.7" right="0.7" top="0.75" bottom="0.75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L14"/>
  <sheetViews>
    <sheetView workbookViewId="0">
      <pane ySplit="1" topLeftCell="A2" activePane="bottomLeft" state="frozen"/>
      <selection pane="bottomLeft" activeCell="F14" sqref="F14"/>
    </sheetView>
  </sheetViews>
  <sheetFormatPr defaultColWidth="8.75" defaultRowHeight="14.25"/>
  <cols>
    <col min="1" max="3" width="13" style="168" customWidth="1"/>
    <col min="4" max="6" width="15" style="168" customWidth="1"/>
    <col min="7" max="7" width="11.375" style="168" bestFit="1" customWidth="1"/>
    <col min="8" max="8" width="16.625" style="168" bestFit="1" customWidth="1"/>
    <col min="9" max="9" width="12.875" style="168" customWidth="1"/>
    <col min="10" max="10" width="11.375" style="168" bestFit="1" customWidth="1"/>
    <col min="11" max="11" width="12" style="168" customWidth="1"/>
    <col min="12" max="16384" width="8.75" style="168"/>
  </cols>
  <sheetData>
    <row r="1" spans="1:12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7" t="s">
        <v>542</v>
      </c>
    </row>
    <row r="2" spans="1:12" ht="15">
      <c r="A2" s="620"/>
      <c r="B2" s="1124"/>
      <c r="C2" s="1124"/>
      <c r="D2" s="621"/>
      <c r="E2" s="621"/>
      <c r="F2" s="621"/>
      <c r="G2" s="622"/>
      <c r="H2" s="620"/>
      <c r="I2" s="634"/>
      <c r="J2" s="634"/>
      <c r="K2" s="226"/>
      <c r="L2" s="226"/>
    </row>
    <row r="3" spans="1:12" ht="15">
      <c r="A3" s="620"/>
      <c r="B3" s="1124"/>
      <c r="C3" s="1124"/>
      <c r="D3" s="621"/>
      <c r="E3" s="621"/>
      <c r="F3" s="621"/>
      <c r="G3" s="622"/>
      <c r="H3" s="620"/>
      <c r="I3" s="634"/>
      <c r="J3" s="634"/>
      <c r="K3" s="226"/>
      <c r="L3" s="226"/>
    </row>
    <row r="4" spans="1:12" ht="15">
      <c r="A4" s="620"/>
      <c r="B4" s="1124"/>
      <c r="C4" s="1124"/>
      <c r="D4" s="621"/>
      <c r="E4" s="621"/>
      <c r="F4" s="621"/>
      <c r="G4" s="622"/>
      <c r="H4" s="620"/>
      <c r="I4" s="634"/>
      <c r="J4" s="634"/>
      <c r="K4" s="226"/>
      <c r="L4" s="226"/>
    </row>
    <row r="5" spans="1:12" ht="15">
      <c r="A5" s="620"/>
      <c r="B5" s="1124"/>
      <c r="C5" s="1124"/>
      <c r="D5" s="621"/>
      <c r="E5" s="621"/>
      <c r="F5" s="621"/>
      <c r="G5" s="622"/>
      <c r="H5" s="620"/>
      <c r="I5" s="634"/>
      <c r="J5" s="634"/>
      <c r="K5" s="226"/>
      <c r="L5" s="226"/>
    </row>
    <row r="6" spans="1:12" ht="15">
      <c r="A6" s="620"/>
      <c r="B6" s="1124"/>
      <c r="C6" s="1124"/>
      <c r="D6" s="621"/>
      <c r="E6" s="621"/>
      <c r="F6" s="621"/>
      <c r="G6" s="622"/>
      <c r="H6" s="620"/>
      <c r="I6" s="634"/>
      <c r="J6" s="634"/>
      <c r="K6" s="226"/>
      <c r="L6" s="226"/>
    </row>
    <row r="7" spans="1:12" ht="15">
      <c r="A7" s="620"/>
      <c r="B7" s="1124"/>
      <c r="C7" s="1124"/>
      <c r="D7" s="621"/>
      <c r="E7" s="621"/>
      <c r="F7" s="621"/>
      <c r="G7" s="622"/>
      <c r="H7" s="620"/>
      <c r="I7" s="634"/>
      <c r="J7" s="634"/>
      <c r="K7" s="226"/>
      <c r="L7" s="226"/>
    </row>
    <row r="8" spans="1:12" ht="15">
      <c r="A8" s="620"/>
      <c r="B8" s="1124"/>
      <c r="C8" s="1124"/>
      <c r="D8" s="621"/>
      <c r="E8" s="621"/>
      <c r="F8" s="621"/>
      <c r="G8" s="622"/>
      <c r="H8" s="620"/>
      <c r="I8" s="634"/>
      <c r="J8" s="634"/>
      <c r="K8" s="226"/>
      <c r="L8" s="226"/>
    </row>
    <row r="9" spans="1:12" ht="15">
      <c r="A9" s="620"/>
      <c r="B9" s="1124"/>
      <c r="C9" s="1124"/>
      <c r="D9" s="621"/>
      <c r="E9" s="621"/>
      <c r="F9" s="621"/>
      <c r="G9" s="622"/>
      <c r="H9" s="620"/>
      <c r="I9" s="634"/>
      <c r="J9" s="634"/>
      <c r="K9" s="226"/>
      <c r="L9" s="226"/>
    </row>
    <row r="10" spans="1:12" ht="15">
      <c r="A10" s="620"/>
      <c r="B10" s="1124"/>
      <c r="C10" s="1124"/>
      <c r="D10" s="621"/>
      <c r="E10" s="621"/>
      <c r="F10" s="621"/>
      <c r="G10" s="622"/>
      <c r="H10" s="620"/>
      <c r="I10" s="634"/>
      <c r="J10" s="634"/>
      <c r="K10" s="226"/>
      <c r="L10" s="226"/>
    </row>
    <row r="11" spans="1:12" ht="15">
      <c r="A11" s="620"/>
      <c r="B11" s="1124"/>
      <c r="C11" s="1124"/>
      <c r="D11" s="621"/>
      <c r="E11" s="621"/>
      <c r="F11" s="621"/>
      <c r="G11" s="622"/>
      <c r="H11" s="620"/>
      <c r="I11" s="634"/>
      <c r="J11" s="634"/>
      <c r="K11" s="226"/>
      <c r="L11" s="226"/>
    </row>
    <row r="12" spans="1:12" ht="15">
      <c r="A12" s="620"/>
      <c r="B12" s="1124"/>
      <c r="C12" s="1124"/>
      <c r="D12" s="621"/>
      <c r="E12" s="621"/>
      <c r="F12" s="621"/>
      <c r="G12" s="622"/>
      <c r="H12" s="620"/>
      <c r="I12" s="634"/>
      <c r="J12" s="634"/>
      <c r="K12" s="226"/>
      <c r="L12" s="226"/>
    </row>
    <row r="13" spans="1:12" ht="15">
      <c r="A13" s="620"/>
      <c r="B13" s="1124"/>
      <c r="C13" s="1124"/>
      <c r="D13" s="621"/>
      <c r="E13" s="621"/>
      <c r="F13" s="621"/>
      <c r="G13" s="622"/>
      <c r="H13" s="620"/>
      <c r="I13" s="634"/>
      <c r="J13" s="634"/>
      <c r="K13" s="226"/>
      <c r="L13" s="226"/>
    </row>
    <row r="14" spans="1:12" ht="15">
      <c r="A14" s="621"/>
      <c r="B14" s="1125"/>
      <c r="C14" s="1125"/>
      <c r="D14" s="621"/>
      <c r="E14" s="619"/>
      <c r="F14" s="1144" t="s">
        <v>545</v>
      </c>
      <c r="G14" s="625">
        <f>SUM(G2:G13)</f>
        <v>0</v>
      </c>
      <c r="H14" s="634"/>
      <c r="I14" s="634"/>
      <c r="J14" s="634"/>
      <c r="K14" s="226"/>
      <c r="L14" s="226"/>
    </row>
  </sheetData>
  <phoneticPr fontId="15" type="noConversion"/>
  <hyperlinks>
    <hyperlink ref="F14" location="汇总!A1" display="剩余欠款"/>
  </hyperlinks>
  <pageMargins left="0.7" right="0.7" top="0.75" bottom="0.75" header="0.3" footer="0.3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N83"/>
  <sheetViews>
    <sheetView workbookViewId="0">
      <pane ySplit="1" topLeftCell="A62" activePane="bottomLeft" state="frozen"/>
      <selection pane="bottomLeft" activeCell="F82" sqref="F82"/>
    </sheetView>
  </sheetViews>
  <sheetFormatPr defaultColWidth="8.75" defaultRowHeight="14.25"/>
  <cols>
    <col min="1" max="3" width="13" style="168" customWidth="1"/>
    <col min="4" max="4" width="15" style="168" customWidth="1"/>
    <col min="5" max="5" width="12.875" style="168" customWidth="1"/>
    <col min="6" max="6" width="12.875" style="527" customWidth="1"/>
    <col min="7" max="7" width="12" style="168" bestFit="1" customWidth="1"/>
    <col min="8" max="8" width="16.75" style="168" bestFit="1" customWidth="1"/>
    <col min="9" max="9" width="12.875" style="168" customWidth="1"/>
    <col min="10" max="10" width="15.125" style="168" bestFit="1" customWidth="1"/>
    <col min="11" max="11" width="27.25" style="168" bestFit="1" customWidth="1"/>
    <col min="12" max="12" width="66.125" style="168" customWidth="1"/>
    <col min="13" max="13" width="9.5" style="168" bestFit="1" customWidth="1"/>
    <col min="14" max="14" width="6.5" style="168" bestFit="1" customWidth="1"/>
    <col min="15" max="16384" width="8.75" style="168"/>
  </cols>
  <sheetData>
    <row r="1" spans="1:12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7" t="s">
        <v>542</v>
      </c>
    </row>
    <row r="2" spans="1:12" ht="15">
      <c r="A2" s="620">
        <v>44673</v>
      </c>
      <c r="B2" s="1124" t="s">
        <v>4116</v>
      </c>
      <c r="C2" s="1124" t="s">
        <v>4117</v>
      </c>
      <c r="D2" s="621" t="s">
        <v>2285</v>
      </c>
      <c r="E2" s="631">
        <v>1855.06</v>
      </c>
      <c r="F2" s="731">
        <v>389.56</v>
      </c>
      <c r="G2" s="639">
        <v>2341.09</v>
      </c>
      <c r="H2" s="620">
        <v>44703</v>
      </c>
      <c r="I2" s="639">
        <v>2341.09</v>
      </c>
      <c r="J2" s="620">
        <v>44680</v>
      </c>
      <c r="K2" s="435" t="s">
        <v>2287</v>
      </c>
      <c r="L2" s="226"/>
    </row>
    <row r="3" spans="1:12" ht="15">
      <c r="A3" s="632">
        <v>44729</v>
      </c>
      <c r="B3" s="1124" t="s">
        <v>4116</v>
      </c>
      <c r="C3" s="1124" t="s">
        <v>4117</v>
      </c>
      <c r="D3" s="615" t="s">
        <v>2286</v>
      </c>
      <c r="E3" s="631">
        <v>691.66</v>
      </c>
      <c r="F3" s="731">
        <v>145.25</v>
      </c>
      <c r="G3" s="611">
        <v>872.88</v>
      </c>
      <c r="H3" s="632">
        <v>44729</v>
      </c>
      <c r="I3" s="639">
        <v>872.88</v>
      </c>
      <c r="J3" s="620">
        <v>44739</v>
      </c>
      <c r="K3" s="435" t="s">
        <v>2287</v>
      </c>
      <c r="L3" s="226"/>
    </row>
    <row r="4" spans="1:12" ht="15">
      <c r="A4" s="632">
        <v>44735</v>
      </c>
      <c r="B4" s="1124" t="s">
        <v>4116</v>
      </c>
      <c r="C4" s="1124" t="s">
        <v>4117</v>
      </c>
      <c r="D4" s="615" t="s">
        <v>2324</v>
      </c>
      <c r="E4" s="631">
        <v>4598.49</v>
      </c>
      <c r="F4" s="731">
        <v>0</v>
      </c>
      <c r="G4" s="611">
        <v>4598.49</v>
      </c>
      <c r="H4" s="632">
        <v>44795</v>
      </c>
      <c r="I4" s="1923">
        <v>5681.55</v>
      </c>
      <c r="J4" s="1903">
        <v>44795</v>
      </c>
      <c r="K4" s="1935" t="s">
        <v>2883</v>
      </c>
      <c r="L4" s="1935"/>
    </row>
    <row r="5" spans="1:12" ht="15">
      <c r="A5" s="632">
        <v>44741</v>
      </c>
      <c r="B5" s="1124" t="s">
        <v>4116</v>
      </c>
      <c r="C5" s="1124" t="s">
        <v>4117</v>
      </c>
      <c r="D5" s="615" t="s">
        <v>2361</v>
      </c>
      <c r="E5" s="631">
        <v>210</v>
      </c>
      <c r="F5" s="731">
        <v>0</v>
      </c>
      <c r="G5" s="611">
        <v>210</v>
      </c>
      <c r="H5" s="632">
        <v>44741</v>
      </c>
      <c r="I5" s="1961"/>
      <c r="J5" s="1904"/>
      <c r="K5" s="1950"/>
      <c r="L5" s="1950"/>
    </row>
    <row r="6" spans="1:12" ht="15">
      <c r="A6" s="632">
        <v>44746.000497685185</v>
      </c>
      <c r="B6" s="1124" t="s">
        <v>4116</v>
      </c>
      <c r="C6" s="1124" t="s">
        <v>4117</v>
      </c>
      <c r="D6" s="615" t="s">
        <v>2409</v>
      </c>
      <c r="E6" s="631">
        <v>873.06</v>
      </c>
      <c r="F6" s="731">
        <v>0</v>
      </c>
      <c r="G6" s="611">
        <v>873.06</v>
      </c>
      <c r="H6" s="632">
        <v>44746.000497685185</v>
      </c>
      <c r="I6" s="1924"/>
      <c r="J6" s="1905"/>
      <c r="K6" s="1947"/>
      <c r="L6" s="1947"/>
    </row>
    <row r="7" spans="1:12" ht="15">
      <c r="A7" s="829">
        <v>44746.000497685185</v>
      </c>
      <c r="B7" s="1124" t="s">
        <v>4116</v>
      </c>
      <c r="C7" s="1124" t="s">
        <v>4117</v>
      </c>
      <c r="D7" s="832" t="s">
        <v>2410</v>
      </c>
      <c r="E7" s="631">
        <v>2141.0500000000002</v>
      </c>
      <c r="F7" s="731">
        <v>0</v>
      </c>
      <c r="G7" s="611">
        <v>2141.0500000000002</v>
      </c>
      <c r="H7" s="829">
        <v>44746.000497685185</v>
      </c>
      <c r="I7" s="1923">
        <v>6145.7</v>
      </c>
      <c r="J7" s="1903">
        <v>44837</v>
      </c>
      <c r="K7" s="1935" t="s">
        <v>3247</v>
      </c>
      <c r="L7" s="166"/>
    </row>
    <row r="8" spans="1:12" ht="15">
      <c r="A8" s="829">
        <v>44746.000497685185</v>
      </c>
      <c r="B8" s="1124" t="s">
        <v>4116</v>
      </c>
      <c r="C8" s="1124" t="s">
        <v>4117</v>
      </c>
      <c r="D8" s="832" t="s">
        <v>2411</v>
      </c>
      <c r="E8" s="631">
        <v>525.1</v>
      </c>
      <c r="F8" s="731">
        <v>0</v>
      </c>
      <c r="G8" s="611">
        <v>525.1</v>
      </c>
      <c r="H8" s="829">
        <v>44746.000497685185</v>
      </c>
      <c r="I8" s="1961"/>
      <c r="J8" s="1904"/>
      <c r="K8" s="1950"/>
      <c r="L8" s="166" t="s">
        <v>2412</v>
      </c>
    </row>
    <row r="9" spans="1:12" ht="15">
      <c r="A9" s="829">
        <v>44774</v>
      </c>
      <c r="B9" s="1124" t="s">
        <v>4116</v>
      </c>
      <c r="C9" s="1124" t="s">
        <v>4117</v>
      </c>
      <c r="D9" s="832" t="s">
        <v>2597</v>
      </c>
      <c r="E9" s="631">
        <v>3479.55</v>
      </c>
      <c r="F9" s="731">
        <v>0</v>
      </c>
      <c r="G9" s="611">
        <v>3479.55</v>
      </c>
      <c r="H9" s="829">
        <v>44774</v>
      </c>
      <c r="I9" s="1924"/>
      <c r="J9" s="1905"/>
      <c r="K9" s="1947"/>
      <c r="L9" s="166"/>
    </row>
    <row r="10" spans="1:12" ht="15">
      <c r="A10" s="632">
        <v>44775</v>
      </c>
      <c r="B10" s="1124" t="s">
        <v>4116</v>
      </c>
      <c r="C10" s="1124" t="s">
        <v>4117</v>
      </c>
      <c r="D10" s="615" t="s">
        <v>2598</v>
      </c>
      <c r="E10" s="631">
        <v>60</v>
      </c>
      <c r="F10" s="731">
        <v>0</v>
      </c>
      <c r="G10" s="611">
        <v>60</v>
      </c>
      <c r="H10" s="632">
        <v>44776</v>
      </c>
      <c r="I10" s="611">
        <v>60</v>
      </c>
      <c r="J10" s="632">
        <v>44775</v>
      </c>
      <c r="K10" s="490" t="s">
        <v>2630</v>
      </c>
      <c r="L10" s="166" t="s">
        <v>2600</v>
      </c>
    </row>
    <row r="11" spans="1:12" ht="15">
      <c r="A11" s="1903">
        <v>44775</v>
      </c>
      <c r="B11" s="1918" t="s">
        <v>4116</v>
      </c>
      <c r="C11" s="1918" t="s">
        <v>4117</v>
      </c>
      <c r="D11" s="1909" t="s">
        <v>2599</v>
      </c>
      <c r="E11" s="1906">
        <v>900</v>
      </c>
      <c r="F11" s="1927">
        <v>0</v>
      </c>
      <c r="G11" s="611">
        <v>4.05</v>
      </c>
      <c r="H11" s="931">
        <v>44775</v>
      </c>
      <c r="I11" s="611">
        <v>4.05</v>
      </c>
      <c r="J11" s="931">
        <v>44888</v>
      </c>
      <c r="K11" s="451" t="s">
        <v>3642</v>
      </c>
      <c r="L11" s="219"/>
    </row>
    <row r="12" spans="1:12" ht="15">
      <c r="A12" s="1905"/>
      <c r="B12" s="1920"/>
      <c r="C12" s="1920"/>
      <c r="D12" s="1911"/>
      <c r="E12" s="1908"/>
      <c r="F12" s="1928"/>
      <c r="G12" s="611">
        <f>900-4.05</f>
        <v>895.95</v>
      </c>
      <c r="H12" s="931">
        <v>44775</v>
      </c>
      <c r="I12" s="686">
        <v>895.95</v>
      </c>
      <c r="J12" s="926">
        <v>44893</v>
      </c>
      <c r="K12" s="928" t="s">
        <v>3643</v>
      </c>
      <c r="L12" s="959"/>
    </row>
    <row r="13" spans="1:12" ht="15">
      <c r="A13" s="860">
        <v>44789.000497685185</v>
      </c>
      <c r="B13" s="1124" t="s">
        <v>4116</v>
      </c>
      <c r="C13" s="1124" t="s">
        <v>4117</v>
      </c>
      <c r="D13" s="863" t="s">
        <v>2767</v>
      </c>
      <c r="E13" s="631">
        <v>2522.6999999999998</v>
      </c>
      <c r="F13" s="731">
        <v>0</v>
      </c>
      <c r="G13" s="611">
        <v>2522.6999999999998</v>
      </c>
      <c r="H13" s="860">
        <v>44790.000497685185</v>
      </c>
      <c r="I13" s="1923">
        <v>4062.7</v>
      </c>
      <c r="J13" s="1903">
        <v>44859</v>
      </c>
      <c r="K13" s="1935" t="s">
        <v>3380</v>
      </c>
      <c r="L13" s="2051" t="s">
        <v>3381</v>
      </c>
    </row>
    <row r="14" spans="1:12" ht="15">
      <c r="A14" s="860">
        <v>44789.000497685185</v>
      </c>
      <c r="B14" s="1124" t="s">
        <v>4116</v>
      </c>
      <c r="C14" s="1124" t="s">
        <v>4117</v>
      </c>
      <c r="D14" s="863" t="s">
        <v>2768</v>
      </c>
      <c r="E14" s="631">
        <v>1540</v>
      </c>
      <c r="F14" s="731">
        <v>0</v>
      </c>
      <c r="G14" s="611">
        <v>1540</v>
      </c>
      <c r="H14" s="860">
        <v>44790.000497685185</v>
      </c>
      <c r="I14" s="1924"/>
      <c r="J14" s="1905"/>
      <c r="K14" s="1947"/>
      <c r="L14" s="2053"/>
    </row>
    <row r="15" spans="1:12" ht="15">
      <c r="A15" s="931">
        <v>44792.000497685185</v>
      </c>
      <c r="B15" s="1124" t="s">
        <v>4116</v>
      </c>
      <c r="C15" s="1124" t="s">
        <v>4117</v>
      </c>
      <c r="D15" s="936" t="s">
        <v>2770</v>
      </c>
      <c r="E15" s="631">
        <v>-477.36</v>
      </c>
      <c r="F15" s="731">
        <v>0</v>
      </c>
      <c r="G15" s="611">
        <v>-477.36</v>
      </c>
      <c r="H15" s="931" t="s">
        <v>1529</v>
      </c>
      <c r="I15" s="611">
        <v>-477.36</v>
      </c>
      <c r="J15" s="931">
        <v>44893</v>
      </c>
      <c r="K15" s="929" t="s">
        <v>3643</v>
      </c>
      <c r="L15" s="219"/>
    </row>
    <row r="16" spans="1:12" ht="15">
      <c r="A16" s="815">
        <v>44806</v>
      </c>
      <c r="B16" s="1124" t="s">
        <v>4116</v>
      </c>
      <c r="C16" s="1124" t="s">
        <v>4117</v>
      </c>
      <c r="D16" s="817" t="s">
        <v>2904</v>
      </c>
      <c r="E16" s="631">
        <v>0.01</v>
      </c>
      <c r="F16" s="731">
        <v>0</v>
      </c>
      <c r="G16" s="611">
        <v>0.01</v>
      </c>
      <c r="H16" s="815">
        <v>44807</v>
      </c>
      <c r="I16" s="611">
        <v>0.01</v>
      </c>
      <c r="J16" s="815">
        <v>44838</v>
      </c>
      <c r="K16" s="813" t="s">
        <v>3206</v>
      </c>
      <c r="L16" s="166" t="s">
        <v>2897</v>
      </c>
    </row>
    <row r="17" spans="1:14" ht="15">
      <c r="A17" s="1031">
        <v>44791.000497685185</v>
      </c>
      <c r="B17" s="1124" t="s">
        <v>4116</v>
      </c>
      <c r="C17" s="1124" t="s">
        <v>4117</v>
      </c>
      <c r="D17" s="1036" t="s">
        <v>2769</v>
      </c>
      <c r="E17" s="631">
        <v>1260</v>
      </c>
      <c r="F17" s="731">
        <v>0</v>
      </c>
      <c r="G17" s="611">
        <v>1260</v>
      </c>
      <c r="H17" s="1031">
        <v>44792.000497685185</v>
      </c>
      <c r="I17" s="1923">
        <v>2518.65</v>
      </c>
      <c r="J17" s="1903">
        <v>44888</v>
      </c>
      <c r="K17" s="1938" t="s">
        <v>3641</v>
      </c>
      <c r="L17" s="166"/>
    </row>
    <row r="18" spans="1:14" ht="15">
      <c r="A18" s="1031">
        <v>44816</v>
      </c>
      <c r="B18" s="1124" t="s">
        <v>521</v>
      </c>
      <c r="C18" s="1124" t="s">
        <v>4117</v>
      </c>
      <c r="D18" s="1036" t="s">
        <v>2999</v>
      </c>
      <c r="E18" s="631">
        <v>765</v>
      </c>
      <c r="F18" s="731">
        <v>0</v>
      </c>
      <c r="G18" s="611">
        <v>765</v>
      </c>
      <c r="H18" s="1031">
        <v>44817</v>
      </c>
      <c r="I18" s="1961"/>
      <c r="J18" s="1904"/>
      <c r="K18" s="1950"/>
      <c r="L18" s="166"/>
    </row>
    <row r="19" spans="1:14" ht="15">
      <c r="A19" s="1031">
        <v>44834</v>
      </c>
      <c r="B19" s="1124" t="s">
        <v>521</v>
      </c>
      <c r="C19" s="1124" t="s">
        <v>4117</v>
      </c>
      <c r="D19" s="1036" t="s">
        <v>3161</v>
      </c>
      <c r="E19" s="631">
        <v>479.25</v>
      </c>
      <c r="F19" s="731">
        <v>0</v>
      </c>
      <c r="G19" s="611">
        <v>479.25</v>
      </c>
      <c r="H19" s="1031">
        <v>44835.000497685185</v>
      </c>
      <c r="I19" s="1961"/>
      <c r="J19" s="1904"/>
      <c r="K19" s="1950"/>
      <c r="L19" s="166"/>
    </row>
    <row r="20" spans="1:14" ht="15">
      <c r="A20" s="1031">
        <v>44834</v>
      </c>
      <c r="B20" s="1124" t="s">
        <v>521</v>
      </c>
      <c r="C20" s="1124" t="s">
        <v>4117</v>
      </c>
      <c r="D20" s="1036" t="s">
        <v>3162</v>
      </c>
      <c r="E20" s="631">
        <v>419.4</v>
      </c>
      <c r="F20" s="731">
        <v>0</v>
      </c>
      <c r="G20" s="611">
        <v>419.4</v>
      </c>
      <c r="H20" s="1031">
        <v>44835.000497685185</v>
      </c>
      <c r="I20" s="1961"/>
      <c r="J20" s="1904"/>
      <c r="K20" s="1950"/>
      <c r="L20" s="166"/>
    </row>
    <row r="21" spans="1:14" s="388" customFormat="1" ht="15">
      <c r="A21" s="1031">
        <v>44844</v>
      </c>
      <c r="B21" s="1124" t="s">
        <v>521</v>
      </c>
      <c r="C21" s="1124" t="s">
        <v>4117</v>
      </c>
      <c r="D21" s="1036" t="s">
        <v>3251</v>
      </c>
      <c r="E21" s="631">
        <v>-405</v>
      </c>
      <c r="F21" s="731">
        <v>0</v>
      </c>
      <c r="G21" s="611">
        <v>-405</v>
      </c>
      <c r="H21" s="1031"/>
      <c r="I21" s="1924"/>
      <c r="J21" s="1905"/>
      <c r="K21" s="1947"/>
      <c r="L21" s="166"/>
      <c r="M21" s="168"/>
      <c r="N21" s="168"/>
    </row>
    <row r="22" spans="1:14" ht="15">
      <c r="A22" s="1031">
        <v>44834</v>
      </c>
      <c r="B22" s="1124" t="s">
        <v>521</v>
      </c>
      <c r="C22" s="1124" t="s">
        <v>4117</v>
      </c>
      <c r="D22" s="1036" t="s">
        <v>3163</v>
      </c>
      <c r="E22" s="631">
        <v>1789.65</v>
      </c>
      <c r="F22" s="731">
        <v>0</v>
      </c>
      <c r="G22" s="611">
        <v>1789.65</v>
      </c>
      <c r="H22" s="1031">
        <v>44835.000497685185</v>
      </c>
      <c r="I22" s="611">
        <v>1789.65</v>
      </c>
      <c r="J22" s="1031">
        <v>44938</v>
      </c>
      <c r="K22" s="1029" t="s">
        <v>3927</v>
      </c>
      <c r="L22" s="219"/>
    </row>
    <row r="23" spans="1:14" ht="15">
      <c r="A23" s="1170">
        <v>44841</v>
      </c>
      <c r="B23" s="1170" t="s">
        <v>521</v>
      </c>
      <c r="C23" s="1170" t="s">
        <v>4117</v>
      </c>
      <c r="D23" s="1173" t="s">
        <v>3215</v>
      </c>
      <c r="E23" s="631">
        <v>140</v>
      </c>
      <c r="F23" s="731">
        <v>0</v>
      </c>
      <c r="G23" s="611">
        <v>140</v>
      </c>
      <c r="H23" s="1170">
        <v>44842</v>
      </c>
      <c r="I23" s="1923">
        <v>1400.3</v>
      </c>
      <c r="J23" s="1903">
        <v>44893</v>
      </c>
      <c r="K23" s="1935" t="s">
        <v>3643</v>
      </c>
      <c r="L23" s="219"/>
    </row>
    <row r="24" spans="1:14" ht="15">
      <c r="A24" s="1170">
        <v>44853.000497685185</v>
      </c>
      <c r="B24" s="1170" t="s">
        <v>521</v>
      </c>
      <c r="C24" s="1170" t="s">
        <v>4117</v>
      </c>
      <c r="D24" s="1173" t="s">
        <v>3293</v>
      </c>
      <c r="E24" s="631">
        <v>232.5</v>
      </c>
      <c r="F24" s="731">
        <v>0</v>
      </c>
      <c r="G24" s="611">
        <v>232.5</v>
      </c>
      <c r="H24" s="1170">
        <v>44854.000497685185</v>
      </c>
      <c r="I24" s="1961"/>
      <c r="J24" s="1904"/>
      <c r="K24" s="1950"/>
      <c r="L24" s="219"/>
    </row>
    <row r="25" spans="1:14" ht="15">
      <c r="A25" s="1170">
        <v>44859</v>
      </c>
      <c r="B25" s="1170" t="s">
        <v>521</v>
      </c>
      <c r="C25" s="1170" t="s">
        <v>4117</v>
      </c>
      <c r="D25" s="1173" t="s">
        <v>3348</v>
      </c>
      <c r="E25" s="631">
        <v>1043.7</v>
      </c>
      <c r="F25" s="731">
        <v>0</v>
      </c>
      <c r="G25" s="611">
        <v>1043.7</v>
      </c>
      <c r="H25" s="1170">
        <v>44860</v>
      </c>
      <c r="I25" s="1961"/>
      <c r="J25" s="1904"/>
      <c r="K25" s="1950"/>
      <c r="L25" s="219"/>
    </row>
    <row r="26" spans="1:14" ht="15">
      <c r="A26" s="1170">
        <v>44859</v>
      </c>
      <c r="B26" s="1170" t="s">
        <v>521</v>
      </c>
      <c r="C26" s="1170" t="s">
        <v>4117</v>
      </c>
      <c r="D26" s="1173" t="s">
        <v>3349</v>
      </c>
      <c r="E26" s="631">
        <v>-15.9</v>
      </c>
      <c r="F26" s="731">
        <v>0</v>
      </c>
      <c r="G26" s="611">
        <v>-15.9</v>
      </c>
      <c r="H26" s="1170"/>
      <c r="I26" s="1924"/>
      <c r="J26" s="1905"/>
      <c r="K26" s="1947"/>
      <c r="L26" s="219"/>
    </row>
    <row r="27" spans="1:14" ht="15">
      <c r="A27" s="1170">
        <v>44889</v>
      </c>
      <c r="B27" s="1170" t="s">
        <v>521</v>
      </c>
      <c r="C27" s="1170" t="s">
        <v>4117</v>
      </c>
      <c r="D27" s="1173" t="s">
        <v>3524</v>
      </c>
      <c r="E27" s="631">
        <v>2096.14</v>
      </c>
      <c r="F27" s="731">
        <v>0</v>
      </c>
      <c r="G27" s="611">
        <v>2096.14</v>
      </c>
      <c r="H27" s="1170">
        <v>44890</v>
      </c>
      <c r="I27" s="1951">
        <v>2062.04</v>
      </c>
      <c r="J27" s="1903">
        <v>44979</v>
      </c>
      <c r="K27" s="1935" t="s">
        <v>4246</v>
      </c>
      <c r="L27" s="166"/>
      <c r="M27" s="190"/>
      <c r="N27" s="190"/>
    </row>
    <row r="28" spans="1:14" ht="15">
      <c r="A28" s="1170">
        <v>44937</v>
      </c>
      <c r="B28" s="1170" t="s">
        <v>2518</v>
      </c>
      <c r="C28" s="1170" t="s">
        <v>4117</v>
      </c>
      <c r="D28" s="1173" t="s">
        <v>3886</v>
      </c>
      <c r="E28" s="631">
        <v>-34.1</v>
      </c>
      <c r="F28" s="731">
        <v>0</v>
      </c>
      <c r="G28" s="611">
        <v>-34.1</v>
      </c>
      <c r="H28" s="1170">
        <v>44938</v>
      </c>
      <c r="I28" s="1953"/>
      <c r="J28" s="1905"/>
      <c r="K28" s="1947"/>
      <c r="L28" s="166" t="s">
        <v>3888</v>
      </c>
    </row>
    <row r="29" spans="1:14" ht="15">
      <c r="A29" s="1456">
        <v>44937</v>
      </c>
      <c r="B29" s="1456" t="s">
        <v>2518</v>
      </c>
      <c r="C29" s="1456" t="s">
        <v>4117</v>
      </c>
      <c r="D29" s="1461" t="s">
        <v>3887</v>
      </c>
      <c r="E29" s="631">
        <v>2120.41</v>
      </c>
      <c r="F29" s="731">
        <v>0</v>
      </c>
      <c r="G29" s="611">
        <v>2120.41</v>
      </c>
      <c r="H29" s="1456">
        <v>44997</v>
      </c>
      <c r="I29" s="1951">
        <v>3000</v>
      </c>
      <c r="J29" s="1903">
        <v>45033</v>
      </c>
      <c r="K29" s="1938" t="s">
        <v>4845</v>
      </c>
      <c r="L29" s="166"/>
    </row>
    <row r="30" spans="1:14" ht="15">
      <c r="A30" s="1903">
        <v>44979</v>
      </c>
      <c r="B30" s="1903" t="s">
        <v>2518</v>
      </c>
      <c r="C30" s="1903" t="s">
        <v>4117</v>
      </c>
      <c r="D30" s="1909" t="s">
        <v>4210</v>
      </c>
      <c r="E30" s="1936">
        <v>1214.55</v>
      </c>
      <c r="F30" s="1933">
        <v>0</v>
      </c>
      <c r="G30" s="611">
        <v>879.59</v>
      </c>
      <c r="H30" s="1456">
        <v>45039</v>
      </c>
      <c r="I30" s="1953"/>
      <c r="J30" s="1905"/>
      <c r="K30" s="1947"/>
      <c r="L30" s="166"/>
    </row>
    <row r="31" spans="1:14" ht="15">
      <c r="A31" s="1905"/>
      <c r="B31" s="1905"/>
      <c r="C31" s="1905"/>
      <c r="D31" s="1911"/>
      <c r="E31" s="1937"/>
      <c r="F31" s="1934"/>
      <c r="G31" s="611">
        <f>1214.55-879.59</f>
        <v>334.95999999999992</v>
      </c>
      <c r="H31" s="1456">
        <v>45039</v>
      </c>
      <c r="I31" s="1951">
        <v>4000</v>
      </c>
      <c r="J31" s="1903">
        <v>45061</v>
      </c>
      <c r="K31" s="1938" t="s">
        <v>6492</v>
      </c>
      <c r="L31" s="166"/>
    </row>
    <row r="32" spans="1:14" ht="15">
      <c r="A32" s="1456">
        <v>45006</v>
      </c>
      <c r="B32" s="1456" t="s">
        <v>2518</v>
      </c>
      <c r="C32" s="1456" t="s">
        <v>4117</v>
      </c>
      <c r="D32" s="1461" t="s">
        <v>4542</v>
      </c>
      <c r="E32" s="631">
        <v>1550.1</v>
      </c>
      <c r="F32" s="731">
        <v>0</v>
      </c>
      <c r="G32" s="611">
        <v>1550.1</v>
      </c>
      <c r="H32" s="1456">
        <v>45066</v>
      </c>
      <c r="I32" s="1952"/>
      <c r="J32" s="1904"/>
      <c r="K32" s="1950"/>
      <c r="L32" s="166"/>
    </row>
    <row r="33" spans="1:12" ht="15">
      <c r="A33" s="1903">
        <v>45029.000497685185</v>
      </c>
      <c r="B33" s="1903" t="s">
        <v>2518</v>
      </c>
      <c r="C33" s="1903" t="s">
        <v>4117</v>
      </c>
      <c r="D33" s="1909" t="s">
        <v>4712</v>
      </c>
      <c r="E33" s="1936">
        <v>3241.28</v>
      </c>
      <c r="F33" s="1933">
        <v>0</v>
      </c>
      <c r="G33" s="611">
        <v>2114.94</v>
      </c>
      <c r="H33" s="1456">
        <v>45089</v>
      </c>
      <c r="I33" s="1953"/>
      <c r="J33" s="1905"/>
      <c r="K33" s="1947"/>
      <c r="L33" s="166"/>
    </row>
    <row r="34" spans="1:12" ht="15">
      <c r="A34" s="1905"/>
      <c r="B34" s="1905"/>
      <c r="C34" s="1905"/>
      <c r="D34" s="1911"/>
      <c r="E34" s="1937"/>
      <c r="F34" s="1934"/>
      <c r="G34" s="611">
        <f>3241.28-2114.94</f>
        <v>1126.3400000000001</v>
      </c>
      <c r="H34" s="1456">
        <v>45089</v>
      </c>
      <c r="I34" s="1951">
        <v>955.47</v>
      </c>
      <c r="J34" s="1903">
        <v>45085</v>
      </c>
      <c r="K34" s="1935" t="s">
        <v>5355</v>
      </c>
      <c r="L34" s="166"/>
    </row>
    <row r="35" spans="1:12" ht="15">
      <c r="A35" s="1456">
        <v>45033</v>
      </c>
      <c r="B35" s="1456" t="s">
        <v>2518</v>
      </c>
      <c r="C35" s="1456" t="s">
        <v>4117</v>
      </c>
      <c r="D35" s="1461" t="s">
        <v>4796</v>
      </c>
      <c r="E35" s="631">
        <v>-158.41</v>
      </c>
      <c r="F35" s="731">
        <v>0</v>
      </c>
      <c r="G35" s="611">
        <v>-158.41</v>
      </c>
      <c r="H35" s="1456"/>
      <c r="I35" s="1952"/>
      <c r="J35" s="1904"/>
      <c r="K35" s="1950"/>
      <c r="L35" s="166"/>
    </row>
    <row r="36" spans="1:12" ht="15">
      <c r="A36" s="1456">
        <v>45033</v>
      </c>
      <c r="B36" s="1456" t="s">
        <v>2518</v>
      </c>
      <c r="C36" s="1456" t="s">
        <v>4117</v>
      </c>
      <c r="D36" s="1461" t="s">
        <v>4797</v>
      </c>
      <c r="E36" s="631">
        <v>-1.95</v>
      </c>
      <c r="F36" s="731">
        <v>0</v>
      </c>
      <c r="G36" s="611">
        <v>-1.95</v>
      </c>
      <c r="H36" s="1456"/>
      <c r="I36" s="1952"/>
      <c r="J36" s="1904"/>
      <c r="K36" s="1950"/>
      <c r="L36" s="166"/>
    </row>
    <row r="37" spans="1:12" ht="15">
      <c r="A37" s="1456">
        <v>45085</v>
      </c>
      <c r="B37" s="1456" t="s">
        <v>2518</v>
      </c>
      <c r="C37" s="1456" t="s">
        <v>4117</v>
      </c>
      <c r="D37" s="1461" t="s">
        <v>5320</v>
      </c>
      <c r="E37" s="631">
        <v>-10.51</v>
      </c>
      <c r="F37" s="731">
        <v>0</v>
      </c>
      <c r="G37" s="611">
        <v>-10.51</v>
      </c>
      <c r="H37" s="1456">
        <v>45086</v>
      </c>
      <c r="I37" s="1953"/>
      <c r="J37" s="1905"/>
      <c r="K37" s="1947"/>
      <c r="L37" s="1470" t="s">
        <v>5323</v>
      </c>
    </row>
    <row r="38" spans="1:12" s="388" customFormat="1" ht="15">
      <c r="A38" s="1456">
        <v>45033</v>
      </c>
      <c r="B38" s="1456" t="s">
        <v>2518</v>
      </c>
      <c r="C38" s="1456" t="s">
        <v>4117</v>
      </c>
      <c r="D38" s="1461" t="s">
        <v>4798</v>
      </c>
      <c r="E38" s="631">
        <v>-8.33</v>
      </c>
      <c r="F38" s="731">
        <v>-1.75</v>
      </c>
      <c r="G38" s="611">
        <v>-10.51</v>
      </c>
      <c r="H38" s="1456"/>
      <c r="I38" s="1933">
        <v>0</v>
      </c>
      <c r="J38" s="1903">
        <v>45085</v>
      </c>
      <c r="K38" s="1935" t="s">
        <v>5353</v>
      </c>
      <c r="L38" s="166"/>
    </row>
    <row r="39" spans="1:12" s="388" customFormat="1" ht="15">
      <c r="A39" s="1456">
        <v>45085</v>
      </c>
      <c r="B39" s="1456" t="s">
        <v>2518</v>
      </c>
      <c r="C39" s="1456" t="s">
        <v>4117</v>
      </c>
      <c r="D39" s="1461" t="s">
        <v>5321</v>
      </c>
      <c r="E39" s="631">
        <v>8.33</v>
      </c>
      <c r="F39" s="731">
        <v>1.75</v>
      </c>
      <c r="G39" s="611">
        <v>10.51</v>
      </c>
      <c r="H39" s="1456">
        <v>45086</v>
      </c>
      <c r="I39" s="1934"/>
      <c r="J39" s="1905"/>
      <c r="K39" s="1947"/>
      <c r="L39" s="166" t="s">
        <v>5323</v>
      </c>
    </row>
    <row r="40" spans="1:12" ht="15">
      <c r="A40" s="1527">
        <v>45054</v>
      </c>
      <c r="B40" s="1527" t="s">
        <v>2518</v>
      </c>
      <c r="C40" s="1527" t="s">
        <v>4117</v>
      </c>
      <c r="D40" s="1530" t="s">
        <v>4970</v>
      </c>
      <c r="E40" s="631">
        <v>1036.8</v>
      </c>
      <c r="F40" s="731">
        <v>0</v>
      </c>
      <c r="G40" s="611">
        <v>1036.8</v>
      </c>
      <c r="H40" s="1527">
        <v>45114</v>
      </c>
      <c r="I40" s="1951">
        <v>1888.42</v>
      </c>
      <c r="J40" s="1903">
        <v>45085</v>
      </c>
      <c r="K40" s="1935" t="s">
        <v>5355</v>
      </c>
      <c r="L40" s="166"/>
    </row>
    <row r="41" spans="1:12" ht="15">
      <c r="A41" s="1903">
        <v>45058</v>
      </c>
      <c r="B41" s="1903" t="s">
        <v>2518</v>
      </c>
      <c r="C41" s="1903" t="s">
        <v>4117</v>
      </c>
      <c r="D41" s="1909" t="s">
        <v>4971</v>
      </c>
      <c r="E41" s="1936">
        <v>2147.4499999999998</v>
      </c>
      <c r="F41" s="1933">
        <v>0</v>
      </c>
      <c r="G41" s="611">
        <v>851.62</v>
      </c>
      <c r="H41" s="1527">
        <v>45118</v>
      </c>
      <c r="I41" s="1953"/>
      <c r="J41" s="1905"/>
      <c r="K41" s="1947"/>
      <c r="L41" s="166"/>
    </row>
    <row r="42" spans="1:12" ht="15">
      <c r="A42" s="1905"/>
      <c r="B42" s="1905"/>
      <c r="C42" s="1905"/>
      <c r="D42" s="1911"/>
      <c r="E42" s="1937"/>
      <c r="F42" s="1934"/>
      <c r="G42" s="611">
        <f>2147.45-851.62</f>
        <v>1295.83</v>
      </c>
      <c r="H42" s="1527">
        <v>45118</v>
      </c>
      <c r="I42" s="1951">
        <v>4455.55</v>
      </c>
      <c r="J42" s="1903">
        <v>45117</v>
      </c>
      <c r="K42" s="1935" t="s">
        <v>6493</v>
      </c>
      <c r="L42" s="166"/>
    </row>
    <row r="43" spans="1:12" ht="15">
      <c r="A43" s="1527">
        <v>45063</v>
      </c>
      <c r="B43" s="1527" t="s">
        <v>2518</v>
      </c>
      <c r="C43" s="1527" t="s">
        <v>4117</v>
      </c>
      <c r="D43" s="1530" t="s">
        <v>5087</v>
      </c>
      <c r="E43" s="631">
        <v>693</v>
      </c>
      <c r="F43" s="731">
        <v>0</v>
      </c>
      <c r="G43" s="611">
        <v>693</v>
      </c>
      <c r="H43" s="1527">
        <v>45123</v>
      </c>
      <c r="I43" s="1952"/>
      <c r="J43" s="1904"/>
      <c r="K43" s="1950"/>
      <c r="L43" s="166"/>
    </row>
    <row r="44" spans="1:12" ht="15">
      <c r="A44" s="1527">
        <v>45077</v>
      </c>
      <c r="B44" s="1527" t="s">
        <v>2518</v>
      </c>
      <c r="C44" s="1527" t="s">
        <v>4117</v>
      </c>
      <c r="D44" s="1530" t="s">
        <v>5251</v>
      </c>
      <c r="E44" s="631">
        <v>595.20000000000005</v>
      </c>
      <c r="F44" s="731">
        <v>0</v>
      </c>
      <c r="G44" s="611">
        <v>595.20000000000005</v>
      </c>
      <c r="H44" s="1527">
        <v>45137</v>
      </c>
      <c r="I44" s="1952"/>
      <c r="J44" s="1904"/>
      <c r="K44" s="1950"/>
      <c r="L44" s="166"/>
    </row>
    <row r="45" spans="1:12" ht="15">
      <c r="A45" s="1527">
        <v>45077</v>
      </c>
      <c r="B45" s="1527" t="s">
        <v>2518</v>
      </c>
      <c r="C45" s="1527" t="s">
        <v>4117</v>
      </c>
      <c r="D45" s="1530" t="s">
        <v>5252</v>
      </c>
      <c r="E45" s="631">
        <v>147.84</v>
      </c>
      <c r="F45" s="731">
        <v>0</v>
      </c>
      <c r="G45" s="611">
        <v>147.84</v>
      </c>
      <c r="H45" s="1527">
        <v>45137</v>
      </c>
      <c r="I45" s="1952"/>
      <c r="J45" s="1904"/>
      <c r="K45" s="1950"/>
      <c r="L45" s="166"/>
    </row>
    <row r="46" spans="1:12" ht="15">
      <c r="A46" s="1527">
        <v>45096</v>
      </c>
      <c r="B46" s="1527" t="s">
        <v>2518</v>
      </c>
      <c r="C46" s="1527" t="s">
        <v>4117</v>
      </c>
      <c r="D46" s="1530" t="s">
        <v>5402</v>
      </c>
      <c r="E46" s="631">
        <v>530.88</v>
      </c>
      <c r="F46" s="731">
        <v>0</v>
      </c>
      <c r="G46" s="611">
        <v>530.88</v>
      </c>
      <c r="H46" s="1527">
        <v>45156</v>
      </c>
      <c r="I46" s="1952"/>
      <c r="J46" s="1904"/>
      <c r="K46" s="1950"/>
      <c r="L46" s="166"/>
    </row>
    <row r="47" spans="1:12" ht="15">
      <c r="A47" s="1527">
        <v>45097</v>
      </c>
      <c r="B47" s="1527" t="s">
        <v>2518</v>
      </c>
      <c r="C47" s="1527" t="s">
        <v>4117</v>
      </c>
      <c r="D47" s="1530" t="s">
        <v>5403</v>
      </c>
      <c r="E47" s="631">
        <v>1204.8</v>
      </c>
      <c r="F47" s="731">
        <v>0</v>
      </c>
      <c r="G47" s="611">
        <v>1204.8</v>
      </c>
      <c r="H47" s="1527">
        <v>45157</v>
      </c>
      <c r="I47" s="1952"/>
      <c r="J47" s="1904"/>
      <c r="K47" s="1950"/>
      <c r="L47" s="166"/>
    </row>
    <row r="48" spans="1:12" ht="15">
      <c r="A48" s="1527">
        <v>45100</v>
      </c>
      <c r="B48" s="1527" t="s">
        <v>2518</v>
      </c>
      <c r="C48" s="1527" t="s">
        <v>4117</v>
      </c>
      <c r="D48" s="1530" t="s">
        <v>5404</v>
      </c>
      <c r="E48" s="631">
        <v>-12</v>
      </c>
      <c r="F48" s="731">
        <v>0</v>
      </c>
      <c r="G48" s="611">
        <v>-12</v>
      </c>
      <c r="H48" s="1527">
        <v>45101</v>
      </c>
      <c r="I48" s="1953"/>
      <c r="J48" s="1905"/>
      <c r="K48" s="1947"/>
      <c r="L48" s="166" t="s">
        <v>5405</v>
      </c>
    </row>
    <row r="49" spans="1:12" ht="15">
      <c r="A49" s="1456">
        <v>45085</v>
      </c>
      <c r="B49" s="1456" t="s">
        <v>2518</v>
      </c>
      <c r="C49" s="1456" t="s">
        <v>4117</v>
      </c>
      <c r="D49" s="1461" t="s">
        <v>5309</v>
      </c>
      <c r="E49" s="631">
        <v>0.27</v>
      </c>
      <c r="F49" s="731">
        <v>0</v>
      </c>
      <c r="G49" s="611">
        <v>0.27</v>
      </c>
      <c r="H49" s="1456">
        <v>45086</v>
      </c>
      <c r="I49" s="1951">
        <v>3.19</v>
      </c>
      <c r="J49" s="1903">
        <v>45085</v>
      </c>
      <c r="K49" s="1935" t="s">
        <v>5354</v>
      </c>
      <c r="L49" s="2385" t="s">
        <v>5322</v>
      </c>
    </row>
    <row r="50" spans="1:12" ht="15">
      <c r="A50" s="1456">
        <v>45085</v>
      </c>
      <c r="B50" s="1456" t="s">
        <v>2518</v>
      </c>
      <c r="C50" s="1456" t="s">
        <v>4117</v>
      </c>
      <c r="D50" s="1461" t="s">
        <v>5310</v>
      </c>
      <c r="E50" s="631">
        <v>0.28000000000000003</v>
      </c>
      <c r="F50" s="731">
        <v>0</v>
      </c>
      <c r="G50" s="611">
        <v>0.28000000000000003</v>
      </c>
      <c r="H50" s="1456">
        <v>45086</v>
      </c>
      <c r="I50" s="1952"/>
      <c r="J50" s="1904"/>
      <c r="K50" s="1950"/>
      <c r="L50" s="2386"/>
    </row>
    <row r="51" spans="1:12" ht="15">
      <c r="A51" s="1456">
        <v>45085</v>
      </c>
      <c r="B51" s="1456" t="s">
        <v>2518</v>
      </c>
      <c r="C51" s="1456" t="s">
        <v>4117</v>
      </c>
      <c r="D51" s="1461" t="s">
        <v>5311</v>
      </c>
      <c r="E51" s="631">
        <v>0.32</v>
      </c>
      <c r="F51" s="731">
        <v>0</v>
      </c>
      <c r="G51" s="611">
        <v>0.32</v>
      </c>
      <c r="H51" s="1456">
        <v>45086</v>
      </c>
      <c r="I51" s="1952"/>
      <c r="J51" s="1904"/>
      <c r="K51" s="1950"/>
      <c r="L51" s="2386"/>
    </row>
    <row r="52" spans="1:12" ht="15">
      <c r="A52" s="1456">
        <v>45085</v>
      </c>
      <c r="B52" s="1456" t="s">
        <v>2518</v>
      </c>
      <c r="C52" s="1456" t="s">
        <v>4117</v>
      </c>
      <c r="D52" s="1461" t="s">
        <v>5312</v>
      </c>
      <c r="E52" s="631">
        <v>0.32</v>
      </c>
      <c r="F52" s="731">
        <v>0</v>
      </c>
      <c r="G52" s="611">
        <v>0.32</v>
      </c>
      <c r="H52" s="1456">
        <v>45086</v>
      </c>
      <c r="I52" s="1952"/>
      <c r="J52" s="1904"/>
      <c r="K52" s="1950"/>
      <c r="L52" s="2386"/>
    </row>
    <row r="53" spans="1:12" ht="15">
      <c r="A53" s="1456">
        <v>45085</v>
      </c>
      <c r="B53" s="1456" t="s">
        <v>2518</v>
      </c>
      <c r="C53" s="1456" t="s">
        <v>4117</v>
      </c>
      <c r="D53" s="1461" t="s">
        <v>5313</v>
      </c>
      <c r="E53" s="631">
        <v>0.28000000000000003</v>
      </c>
      <c r="F53" s="731">
        <v>0</v>
      </c>
      <c r="G53" s="611">
        <v>0.28000000000000003</v>
      </c>
      <c r="H53" s="1456">
        <v>45086</v>
      </c>
      <c r="I53" s="1952"/>
      <c r="J53" s="1904"/>
      <c r="K53" s="1950"/>
      <c r="L53" s="2386"/>
    </row>
    <row r="54" spans="1:12" ht="15">
      <c r="A54" s="1456">
        <v>45085</v>
      </c>
      <c r="B54" s="1456" t="s">
        <v>2518</v>
      </c>
      <c r="C54" s="1456" t="s">
        <v>4117</v>
      </c>
      <c r="D54" s="1461" t="s">
        <v>5314</v>
      </c>
      <c r="E54" s="631">
        <v>0.28000000000000003</v>
      </c>
      <c r="F54" s="731">
        <v>0</v>
      </c>
      <c r="G54" s="611">
        <v>0.28000000000000003</v>
      </c>
      <c r="H54" s="1456">
        <v>45086</v>
      </c>
      <c r="I54" s="1952"/>
      <c r="J54" s="1904"/>
      <c r="K54" s="1950"/>
      <c r="L54" s="2386"/>
    </row>
    <row r="55" spans="1:12" ht="15">
      <c r="A55" s="1456">
        <v>45085</v>
      </c>
      <c r="B55" s="1456" t="s">
        <v>2518</v>
      </c>
      <c r="C55" s="1456" t="s">
        <v>4117</v>
      </c>
      <c r="D55" s="1461" t="s">
        <v>5315</v>
      </c>
      <c r="E55" s="631">
        <v>0.28000000000000003</v>
      </c>
      <c r="F55" s="731">
        <v>0</v>
      </c>
      <c r="G55" s="611">
        <v>0.28000000000000003</v>
      </c>
      <c r="H55" s="1456">
        <v>45086</v>
      </c>
      <c r="I55" s="1952"/>
      <c r="J55" s="1904"/>
      <c r="K55" s="1950"/>
      <c r="L55" s="2386"/>
    </row>
    <row r="56" spans="1:12" ht="15">
      <c r="A56" s="1456">
        <v>45085</v>
      </c>
      <c r="B56" s="1456" t="s">
        <v>2518</v>
      </c>
      <c r="C56" s="1456" t="s">
        <v>4117</v>
      </c>
      <c r="D56" s="1461" t="s">
        <v>5316</v>
      </c>
      <c r="E56" s="631">
        <v>0.28000000000000003</v>
      </c>
      <c r="F56" s="731">
        <v>0</v>
      </c>
      <c r="G56" s="611">
        <v>0.28000000000000003</v>
      </c>
      <c r="H56" s="1456">
        <v>45086</v>
      </c>
      <c r="I56" s="1952"/>
      <c r="J56" s="1904"/>
      <c r="K56" s="1950"/>
      <c r="L56" s="2386"/>
    </row>
    <row r="57" spans="1:12" ht="15">
      <c r="A57" s="1456">
        <v>45085</v>
      </c>
      <c r="B57" s="1456" t="s">
        <v>2518</v>
      </c>
      <c r="C57" s="1456" t="s">
        <v>4117</v>
      </c>
      <c r="D57" s="1461" t="s">
        <v>5317</v>
      </c>
      <c r="E57" s="631">
        <v>0.32</v>
      </c>
      <c r="F57" s="731">
        <v>0</v>
      </c>
      <c r="G57" s="611">
        <v>0.32</v>
      </c>
      <c r="H57" s="1456">
        <v>45086</v>
      </c>
      <c r="I57" s="1952"/>
      <c r="J57" s="1904"/>
      <c r="K57" s="1950"/>
      <c r="L57" s="2386"/>
    </row>
    <row r="58" spans="1:12" ht="15">
      <c r="A58" s="1456">
        <v>45085</v>
      </c>
      <c r="B58" s="1456" t="s">
        <v>2518</v>
      </c>
      <c r="C58" s="1456" t="s">
        <v>4117</v>
      </c>
      <c r="D58" s="1461" t="s">
        <v>5318</v>
      </c>
      <c r="E58" s="631">
        <v>0.28000000000000003</v>
      </c>
      <c r="F58" s="731">
        <v>0</v>
      </c>
      <c r="G58" s="611">
        <v>0.28000000000000003</v>
      </c>
      <c r="H58" s="1456">
        <v>45086</v>
      </c>
      <c r="I58" s="1952"/>
      <c r="J58" s="1904"/>
      <c r="K58" s="1950"/>
      <c r="L58" s="2386"/>
    </row>
    <row r="59" spans="1:12" ht="15">
      <c r="A59" s="1456">
        <v>45085</v>
      </c>
      <c r="B59" s="1456" t="s">
        <v>2518</v>
      </c>
      <c r="C59" s="1456" t="s">
        <v>4117</v>
      </c>
      <c r="D59" s="1461" t="s">
        <v>5319</v>
      </c>
      <c r="E59" s="631">
        <v>0.28000000000000003</v>
      </c>
      <c r="F59" s="731">
        <v>0</v>
      </c>
      <c r="G59" s="611">
        <v>0.28000000000000003</v>
      </c>
      <c r="H59" s="1456">
        <v>45086</v>
      </c>
      <c r="I59" s="1953"/>
      <c r="J59" s="1905"/>
      <c r="K59" s="1947"/>
      <c r="L59" s="2387"/>
    </row>
    <row r="60" spans="1:12" ht="15">
      <c r="A60" s="1579">
        <v>45085</v>
      </c>
      <c r="B60" s="1579" t="s">
        <v>2518</v>
      </c>
      <c r="C60" s="1579" t="s">
        <v>4117</v>
      </c>
      <c r="D60" s="1584" t="s">
        <v>5308</v>
      </c>
      <c r="E60" s="631">
        <v>3418.14</v>
      </c>
      <c r="F60" s="731">
        <v>0</v>
      </c>
      <c r="G60" s="611">
        <v>3418.14</v>
      </c>
      <c r="H60" s="1579">
        <v>45145</v>
      </c>
      <c r="I60" s="1951">
        <v>3297.82</v>
      </c>
      <c r="J60" s="1903">
        <v>45142</v>
      </c>
      <c r="K60" s="1935" t="s">
        <v>6490</v>
      </c>
      <c r="L60" s="166"/>
    </row>
    <row r="61" spans="1:12" ht="15">
      <c r="A61" s="1579">
        <v>45117</v>
      </c>
      <c r="B61" s="1579" t="s">
        <v>5522</v>
      </c>
      <c r="C61" s="1579" t="s">
        <v>4117</v>
      </c>
      <c r="D61" s="1584" t="s">
        <v>5581</v>
      </c>
      <c r="E61" s="631">
        <v>-24.37</v>
      </c>
      <c r="F61" s="731">
        <v>0</v>
      </c>
      <c r="G61" s="611">
        <v>-24.37</v>
      </c>
      <c r="H61" s="1579"/>
      <c r="I61" s="1952"/>
      <c r="J61" s="1904"/>
      <c r="K61" s="1950"/>
      <c r="L61" s="166"/>
    </row>
    <row r="62" spans="1:12" ht="15">
      <c r="A62" s="1579">
        <v>45117</v>
      </c>
      <c r="B62" s="1579" t="s">
        <v>5522</v>
      </c>
      <c r="C62" s="1579" t="s">
        <v>4117</v>
      </c>
      <c r="D62" s="1584" t="s">
        <v>5583</v>
      </c>
      <c r="E62" s="631">
        <v>-95.95</v>
      </c>
      <c r="F62" s="731">
        <v>0</v>
      </c>
      <c r="G62" s="611">
        <v>-95.95</v>
      </c>
      <c r="H62" s="1579"/>
      <c r="I62" s="1953"/>
      <c r="J62" s="1905"/>
      <c r="K62" s="1947"/>
      <c r="L62" s="166"/>
    </row>
    <row r="63" spans="1:12" ht="15">
      <c r="A63" s="1903">
        <v>45118</v>
      </c>
      <c r="B63" s="1903" t="s">
        <v>5522</v>
      </c>
      <c r="C63" s="1903" t="s">
        <v>4117</v>
      </c>
      <c r="D63" s="1909" t="s">
        <v>5582</v>
      </c>
      <c r="E63" s="1936">
        <v>3652.79</v>
      </c>
      <c r="F63" s="1933">
        <v>0</v>
      </c>
      <c r="G63" s="611">
        <v>2076.25</v>
      </c>
      <c r="H63" s="1738">
        <v>45178</v>
      </c>
      <c r="I63" s="611">
        <v>2076.25</v>
      </c>
      <c r="J63" s="1403">
        <v>45192</v>
      </c>
      <c r="K63" s="1401" t="s">
        <v>6271</v>
      </c>
      <c r="L63" s="166"/>
    </row>
    <row r="64" spans="1:12" ht="15">
      <c r="A64" s="1905"/>
      <c r="B64" s="1905"/>
      <c r="C64" s="1905"/>
      <c r="D64" s="1911"/>
      <c r="E64" s="1937"/>
      <c r="F64" s="1934"/>
      <c r="G64" s="611">
        <f>3652.79-G63</f>
        <v>1576.54</v>
      </c>
      <c r="H64" s="1820">
        <v>45178</v>
      </c>
      <c r="I64" s="1951">
        <v>10000</v>
      </c>
      <c r="J64" s="1903">
        <v>45230</v>
      </c>
      <c r="K64" s="1935" t="s">
        <v>6491</v>
      </c>
      <c r="L64" s="166"/>
    </row>
    <row r="65" spans="1:12" ht="15">
      <c r="A65" s="1820">
        <v>45126</v>
      </c>
      <c r="B65" s="1820" t="s">
        <v>5522</v>
      </c>
      <c r="C65" s="1820" t="s">
        <v>4117</v>
      </c>
      <c r="D65" s="1821" t="s">
        <v>5625</v>
      </c>
      <c r="E65" s="631">
        <v>312</v>
      </c>
      <c r="F65" s="731">
        <v>0</v>
      </c>
      <c r="G65" s="611">
        <v>312</v>
      </c>
      <c r="H65" s="1820">
        <v>45186</v>
      </c>
      <c r="I65" s="1952"/>
      <c r="J65" s="1904"/>
      <c r="K65" s="1950"/>
      <c r="L65" s="166"/>
    </row>
    <row r="66" spans="1:12" ht="15">
      <c r="A66" s="1820">
        <v>45142</v>
      </c>
      <c r="B66" s="1820" t="s">
        <v>5522</v>
      </c>
      <c r="C66" s="1820" t="s">
        <v>4117</v>
      </c>
      <c r="D66" s="1821" t="s">
        <v>5734</v>
      </c>
      <c r="E66" s="631">
        <v>-39.020000000000003</v>
      </c>
      <c r="F66" s="731">
        <v>0</v>
      </c>
      <c r="G66" s="611">
        <v>-39.020000000000003</v>
      </c>
      <c r="H66" s="1820"/>
      <c r="I66" s="1952"/>
      <c r="J66" s="1904"/>
      <c r="K66" s="1950"/>
      <c r="L66" s="166"/>
    </row>
    <row r="67" spans="1:12" ht="15">
      <c r="A67" s="1820">
        <v>45142</v>
      </c>
      <c r="B67" s="1820" t="s">
        <v>5522</v>
      </c>
      <c r="C67" s="1820" t="s">
        <v>4117</v>
      </c>
      <c r="D67" s="1821" t="s">
        <v>5735</v>
      </c>
      <c r="E67" s="631">
        <v>-3</v>
      </c>
      <c r="F67" s="731">
        <v>0</v>
      </c>
      <c r="G67" s="611">
        <v>-3</v>
      </c>
      <c r="H67" s="1820"/>
      <c r="I67" s="1952"/>
      <c r="J67" s="1904"/>
      <c r="K67" s="1950"/>
      <c r="L67" s="166"/>
    </row>
    <row r="68" spans="1:12" ht="15">
      <c r="A68" s="1820">
        <v>45145</v>
      </c>
      <c r="B68" s="1820" t="s">
        <v>5522</v>
      </c>
      <c r="C68" s="1820" t="s">
        <v>4117</v>
      </c>
      <c r="D68" s="1821" t="s">
        <v>5860</v>
      </c>
      <c r="E68" s="631">
        <v>1389.23</v>
      </c>
      <c r="F68" s="731">
        <v>0</v>
      </c>
      <c r="G68" s="611">
        <v>1389.23</v>
      </c>
      <c r="H68" s="1820">
        <v>45205</v>
      </c>
      <c r="I68" s="1952"/>
      <c r="J68" s="1904"/>
      <c r="K68" s="1950"/>
      <c r="L68" s="166"/>
    </row>
    <row r="69" spans="1:12" ht="15">
      <c r="A69" s="1820">
        <v>45161</v>
      </c>
      <c r="B69" s="1820" t="s">
        <v>5522</v>
      </c>
      <c r="C69" s="1820" t="s">
        <v>4117</v>
      </c>
      <c r="D69" s="1821" t="s">
        <v>5906</v>
      </c>
      <c r="E69" s="631">
        <v>1549.89</v>
      </c>
      <c r="F69" s="731">
        <v>0</v>
      </c>
      <c r="G69" s="611">
        <v>1549.89</v>
      </c>
      <c r="H69" s="1820">
        <v>45221</v>
      </c>
      <c r="I69" s="1952"/>
      <c r="J69" s="1904"/>
      <c r="K69" s="1950"/>
      <c r="L69" s="166"/>
    </row>
    <row r="70" spans="1:12" ht="15">
      <c r="A70" s="1820">
        <v>45161</v>
      </c>
      <c r="B70" s="1820" t="s">
        <v>5522</v>
      </c>
      <c r="C70" s="1820" t="s">
        <v>4117</v>
      </c>
      <c r="D70" s="1821" t="s">
        <v>5907</v>
      </c>
      <c r="E70" s="631">
        <v>790</v>
      </c>
      <c r="F70" s="731">
        <v>0</v>
      </c>
      <c r="G70" s="611">
        <v>790</v>
      </c>
      <c r="H70" s="1820">
        <v>45221</v>
      </c>
      <c r="I70" s="1952"/>
      <c r="J70" s="1904"/>
      <c r="K70" s="1950"/>
      <c r="L70" s="166"/>
    </row>
    <row r="71" spans="1:12" ht="15">
      <c r="A71" s="1820">
        <v>45183</v>
      </c>
      <c r="B71" s="1820" t="s">
        <v>5522</v>
      </c>
      <c r="C71" s="1820" t="s">
        <v>4117</v>
      </c>
      <c r="D71" s="1821" t="s">
        <v>6031</v>
      </c>
      <c r="E71" s="631">
        <v>3178.41</v>
      </c>
      <c r="F71" s="731">
        <v>0</v>
      </c>
      <c r="G71" s="611">
        <v>3178.41</v>
      </c>
      <c r="H71" s="1820">
        <v>45184.000497685185</v>
      </c>
      <c r="I71" s="1952"/>
      <c r="J71" s="1904"/>
      <c r="K71" s="1950"/>
      <c r="L71" s="166"/>
    </row>
    <row r="72" spans="1:12" ht="15">
      <c r="A72" s="1941">
        <v>45184</v>
      </c>
      <c r="B72" s="1941" t="s">
        <v>5522</v>
      </c>
      <c r="C72" s="1941" t="s">
        <v>4117</v>
      </c>
      <c r="D72" s="1954" t="s">
        <v>6032</v>
      </c>
      <c r="E72" s="2388">
        <v>1386</v>
      </c>
      <c r="F72" s="2184">
        <v>0</v>
      </c>
      <c r="G72" s="611">
        <v>1245.95</v>
      </c>
      <c r="H72" s="1820">
        <v>45243.000497685185</v>
      </c>
      <c r="I72" s="1953"/>
      <c r="J72" s="1905"/>
      <c r="K72" s="1947"/>
      <c r="L72" s="166"/>
    </row>
    <row r="73" spans="1:12" ht="15">
      <c r="A73" s="1942"/>
      <c r="B73" s="1942"/>
      <c r="C73" s="1942"/>
      <c r="D73" s="1955"/>
      <c r="E73" s="2389"/>
      <c r="F73" s="2185"/>
      <c r="G73" s="605">
        <f>1386-1245.95</f>
        <v>140.04999999999995</v>
      </c>
      <c r="H73" s="623">
        <v>45243.000497685185</v>
      </c>
      <c r="I73" s="611"/>
      <c r="J73" s="1820"/>
      <c r="K73" s="1818"/>
      <c r="L73" s="166"/>
    </row>
    <row r="74" spans="1:12" ht="15">
      <c r="A74" s="623">
        <v>45184</v>
      </c>
      <c r="B74" s="623" t="s">
        <v>5522</v>
      </c>
      <c r="C74" s="623" t="s">
        <v>4117</v>
      </c>
      <c r="D74" s="624" t="s">
        <v>6033</v>
      </c>
      <c r="E74" s="606">
        <v>248.05</v>
      </c>
      <c r="F74" s="732">
        <v>52.09</v>
      </c>
      <c r="G74" s="605">
        <v>313.02999999999997</v>
      </c>
      <c r="H74" s="623">
        <v>45185.000497685185</v>
      </c>
      <c r="I74" s="611"/>
      <c r="J74" s="1601"/>
      <c r="K74" s="1599"/>
      <c r="L74" s="166"/>
    </row>
    <row r="75" spans="1:12" ht="15">
      <c r="A75" s="623">
        <v>45202</v>
      </c>
      <c r="B75" s="623" t="s">
        <v>5522</v>
      </c>
      <c r="C75" s="623" t="s">
        <v>4117</v>
      </c>
      <c r="D75" s="624" t="s">
        <v>6154</v>
      </c>
      <c r="E75" s="606">
        <v>2899.98</v>
      </c>
      <c r="F75" s="732">
        <v>0</v>
      </c>
      <c r="G75" s="605">
        <v>2899.98</v>
      </c>
      <c r="H75" s="623">
        <v>45261</v>
      </c>
      <c r="I75" s="611"/>
      <c r="J75" s="1601"/>
      <c r="K75" s="1599"/>
      <c r="L75" s="166"/>
    </row>
    <row r="76" spans="1:12" ht="15">
      <c r="A76" s="623">
        <v>45216.333831018521</v>
      </c>
      <c r="B76" s="623" t="s">
        <v>5522</v>
      </c>
      <c r="C76" s="623" t="s">
        <v>4117</v>
      </c>
      <c r="D76" s="624" t="s">
        <v>6351</v>
      </c>
      <c r="E76" s="606">
        <v>1574.57</v>
      </c>
      <c r="F76" s="732">
        <v>0</v>
      </c>
      <c r="G76" s="605">
        <v>1574.57</v>
      </c>
      <c r="H76" s="623">
        <v>45275.333831018521</v>
      </c>
      <c r="I76" s="611"/>
      <c r="J76" s="1601"/>
      <c r="K76" s="1599"/>
      <c r="L76" s="166"/>
    </row>
    <row r="77" spans="1:12" ht="15">
      <c r="A77" s="623">
        <v>45229</v>
      </c>
      <c r="B77" s="623" t="s">
        <v>5522</v>
      </c>
      <c r="C77" s="623" t="s">
        <v>4117</v>
      </c>
      <c r="D77" s="624" t="s">
        <v>6464</v>
      </c>
      <c r="E77" s="606">
        <v>1169.54</v>
      </c>
      <c r="F77" s="732">
        <v>0</v>
      </c>
      <c r="G77" s="605">
        <v>1169.54</v>
      </c>
      <c r="H77" s="623">
        <v>45289</v>
      </c>
      <c r="I77" s="611"/>
      <c r="J77" s="1527"/>
      <c r="K77" s="1528"/>
      <c r="L77" s="166"/>
    </row>
    <row r="78" spans="1:12" ht="15">
      <c r="A78" s="623"/>
      <c r="B78" s="623"/>
      <c r="C78" s="623"/>
      <c r="D78" s="624"/>
      <c r="E78" s="606"/>
      <c r="F78" s="732"/>
      <c r="G78" s="605"/>
      <c r="H78" s="623"/>
      <c r="I78" s="611"/>
      <c r="J78" s="1377"/>
      <c r="K78" s="1401"/>
      <c r="L78" s="166"/>
    </row>
    <row r="79" spans="1:12" ht="15">
      <c r="A79" s="623"/>
      <c r="B79" s="623"/>
      <c r="C79" s="623"/>
      <c r="D79" s="624"/>
      <c r="E79" s="606"/>
      <c r="F79" s="732"/>
      <c r="G79" s="605"/>
      <c r="H79" s="623"/>
      <c r="I79" s="611"/>
      <c r="J79" s="1170"/>
      <c r="K79" s="1401"/>
      <c r="L79" s="166"/>
    </row>
    <row r="80" spans="1:12" ht="15">
      <c r="A80" s="623"/>
      <c r="B80" s="623"/>
      <c r="C80" s="623"/>
      <c r="D80" s="624"/>
      <c r="E80" s="606"/>
      <c r="F80" s="732"/>
      <c r="G80" s="605"/>
      <c r="H80" s="623"/>
      <c r="I80" s="611"/>
      <c r="J80" s="1170"/>
      <c r="K80" s="1401"/>
      <c r="L80" s="166"/>
    </row>
    <row r="81" spans="1:12" ht="15">
      <c r="A81" s="623"/>
      <c r="B81" s="623"/>
      <c r="C81" s="623"/>
      <c r="D81" s="624"/>
      <c r="E81" s="606"/>
      <c r="F81" s="732"/>
      <c r="G81" s="605"/>
      <c r="H81" s="623"/>
      <c r="I81" s="611"/>
      <c r="J81" s="1170"/>
      <c r="K81" s="1401"/>
      <c r="L81" s="166"/>
    </row>
    <row r="82" spans="1:12" ht="15">
      <c r="A82" s="621"/>
      <c r="B82" s="1125"/>
      <c r="C82" s="1125"/>
      <c r="D82" s="624"/>
      <c r="E82" s="619"/>
      <c r="F82" s="1144" t="s">
        <v>545</v>
      </c>
      <c r="G82" s="651">
        <f>SUM(G2:G81)-SUM(I2:I81)</f>
        <v>6097.1699999999837</v>
      </c>
      <c r="H82" s="634"/>
      <c r="I82" s="611"/>
      <c r="J82" s="1170"/>
      <c r="K82" s="1401"/>
      <c r="L82" s="166"/>
    </row>
    <row r="83" spans="1:12">
      <c r="K83" s="237"/>
    </row>
  </sheetData>
  <mergeCells count="84">
    <mergeCell ref="F72:F73"/>
    <mergeCell ref="K64:K72"/>
    <mergeCell ref="J64:J72"/>
    <mergeCell ref="I64:I72"/>
    <mergeCell ref="A72:A73"/>
    <mergeCell ref="B72:B73"/>
    <mergeCell ref="C72:C73"/>
    <mergeCell ref="D72:D73"/>
    <mergeCell ref="E72:E73"/>
    <mergeCell ref="F63:F64"/>
    <mergeCell ref="A63:A64"/>
    <mergeCell ref="B63:B64"/>
    <mergeCell ref="C63:C64"/>
    <mergeCell ref="D63:D64"/>
    <mergeCell ref="E63:E64"/>
    <mergeCell ref="B30:B31"/>
    <mergeCell ref="K27:K28"/>
    <mergeCell ref="J27:J28"/>
    <mergeCell ref="I27:I28"/>
    <mergeCell ref="I29:I30"/>
    <mergeCell ref="F30:F31"/>
    <mergeCell ref="E30:E31"/>
    <mergeCell ref="D30:D31"/>
    <mergeCell ref="A11:A12"/>
    <mergeCell ref="I23:I26"/>
    <mergeCell ref="I17:I21"/>
    <mergeCell ref="K17:K21"/>
    <mergeCell ref="J17:J21"/>
    <mergeCell ref="K23:K26"/>
    <mergeCell ref="J23:J26"/>
    <mergeCell ref="F11:F12"/>
    <mergeCell ref="E11:E12"/>
    <mergeCell ref="D11:D12"/>
    <mergeCell ref="C11:C12"/>
    <mergeCell ref="B11:B12"/>
    <mergeCell ref="I4:I6"/>
    <mergeCell ref="K4:K6"/>
    <mergeCell ref="J4:J6"/>
    <mergeCell ref="L4:L6"/>
    <mergeCell ref="I7:I9"/>
    <mergeCell ref="K7:K9"/>
    <mergeCell ref="J7:J9"/>
    <mergeCell ref="L13:L14"/>
    <mergeCell ref="K13:K14"/>
    <mergeCell ref="J13:J14"/>
    <mergeCell ref="I13:I14"/>
    <mergeCell ref="L49:L59"/>
    <mergeCell ref="K49:K59"/>
    <mergeCell ref="J49:J59"/>
    <mergeCell ref="I49:I59"/>
    <mergeCell ref="K38:K39"/>
    <mergeCell ref="J38:J39"/>
    <mergeCell ref="I38:I39"/>
    <mergeCell ref="K42:K48"/>
    <mergeCell ref="J42:J48"/>
    <mergeCell ref="I42:I48"/>
    <mergeCell ref="A33:A34"/>
    <mergeCell ref="K31:K33"/>
    <mergeCell ref="J31:J33"/>
    <mergeCell ref="I31:I33"/>
    <mergeCell ref="F33:F34"/>
    <mergeCell ref="E33:E34"/>
    <mergeCell ref="D33:D34"/>
    <mergeCell ref="C33:C34"/>
    <mergeCell ref="B33:B34"/>
    <mergeCell ref="A30:A31"/>
    <mergeCell ref="K29:K30"/>
    <mergeCell ref="J29:J30"/>
    <mergeCell ref="K34:K37"/>
    <mergeCell ref="J34:J37"/>
    <mergeCell ref="I34:I37"/>
    <mergeCell ref="C30:C31"/>
    <mergeCell ref="K60:K62"/>
    <mergeCell ref="J60:J62"/>
    <mergeCell ref="I60:I62"/>
    <mergeCell ref="A41:A42"/>
    <mergeCell ref="K40:K41"/>
    <mergeCell ref="J40:J41"/>
    <mergeCell ref="I40:I41"/>
    <mergeCell ref="F41:F42"/>
    <mergeCell ref="E41:E42"/>
    <mergeCell ref="D41:D42"/>
    <mergeCell ref="C41:C42"/>
    <mergeCell ref="B41:B42"/>
  </mergeCells>
  <phoneticPr fontId="15" type="noConversion"/>
  <hyperlinks>
    <hyperlink ref="F82" location="汇总!A1" display="剩余欠款"/>
  </hyperlinks>
  <pageMargins left="0.7" right="0.7" top="0.75" bottom="0.75" header="0.3" footer="0.3"/>
  <pageSetup paperSize="9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L14"/>
  <sheetViews>
    <sheetView workbookViewId="0">
      <pane ySplit="1" topLeftCell="A2" activePane="bottomLeft" state="frozen"/>
      <selection activeCell="C33" sqref="C33"/>
      <selection pane="bottomLeft" activeCell="B1" sqref="B1"/>
    </sheetView>
  </sheetViews>
  <sheetFormatPr defaultColWidth="8.75" defaultRowHeight="14.25"/>
  <cols>
    <col min="1" max="1" width="13" style="168" customWidth="1"/>
    <col min="2" max="2" width="9" style="168" bestFit="1" customWidth="1"/>
    <col min="3" max="3" width="30.5" style="168" bestFit="1" customWidth="1"/>
    <col min="4" max="4" width="15" style="168" customWidth="1"/>
    <col min="5" max="5" width="13" style="168" customWidth="1"/>
    <col min="6" max="6" width="13" style="527" customWidth="1"/>
    <col min="7" max="7" width="12" style="168" bestFit="1" customWidth="1"/>
    <col min="8" max="8" width="16.75" style="168" bestFit="1" customWidth="1"/>
    <col min="9" max="9" width="12.875" style="168" customWidth="1"/>
    <col min="10" max="10" width="12" style="168" bestFit="1" customWidth="1"/>
    <col min="11" max="11" width="11.625" style="168" bestFit="1" customWidth="1"/>
    <col min="12" max="12" width="38.25" style="168" bestFit="1" customWidth="1"/>
    <col min="13" max="16384" width="8.75" style="168"/>
  </cols>
  <sheetData>
    <row r="1" spans="1:12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7" t="s">
        <v>542</v>
      </c>
    </row>
    <row r="2" spans="1:12" ht="15">
      <c r="A2" s="632">
        <v>44735</v>
      </c>
      <c r="B2" s="1124" t="s">
        <v>2518</v>
      </c>
      <c r="C2" s="1124" t="s">
        <v>4115</v>
      </c>
      <c r="D2" s="615" t="s">
        <v>2349</v>
      </c>
      <c r="E2" s="611">
        <v>545.27</v>
      </c>
      <c r="F2" s="731">
        <v>114.51</v>
      </c>
      <c r="G2" s="611">
        <v>659.78</v>
      </c>
      <c r="H2" s="632">
        <v>44735</v>
      </c>
      <c r="I2" s="611">
        <v>659.78</v>
      </c>
      <c r="J2" s="620">
        <v>44739</v>
      </c>
      <c r="K2" s="438" t="s">
        <v>2372</v>
      </c>
      <c r="L2" s="226"/>
    </row>
    <row r="3" spans="1:12" ht="15">
      <c r="A3" s="632">
        <v>44736</v>
      </c>
      <c r="B3" s="1124" t="s">
        <v>2518</v>
      </c>
      <c r="C3" s="1124" t="s">
        <v>4115</v>
      </c>
      <c r="D3" s="615" t="s">
        <v>2371</v>
      </c>
      <c r="E3" s="611">
        <v>947.11</v>
      </c>
      <c r="F3" s="731">
        <v>198.89</v>
      </c>
      <c r="G3" s="611">
        <v>1146</v>
      </c>
      <c r="H3" s="632">
        <v>44736</v>
      </c>
      <c r="I3" s="1921">
        <v>0</v>
      </c>
      <c r="J3" s="1918"/>
      <c r="K3" s="1968" t="s">
        <v>2420</v>
      </c>
      <c r="L3" s="226"/>
    </row>
    <row r="4" spans="1:12" ht="15">
      <c r="A4" s="632">
        <v>44736</v>
      </c>
      <c r="B4" s="1124" t="s">
        <v>2518</v>
      </c>
      <c r="C4" s="1124" t="s">
        <v>4115</v>
      </c>
      <c r="D4" s="615" t="s">
        <v>2369</v>
      </c>
      <c r="E4" s="611">
        <v>-947.11</v>
      </c>
      <c r="F4" s="731">
        <v>-198.89</v>
      </c>
      <c r="G4" s="611">
        <v>-1146</v>
      </c>
      <c r="H4" s="632"/>
      <c r="I4" s="1922"/>
      <c r="J4" s="1920"/>
      <c r="K4" s="1957"/>
      <c r="L4" s="226" t="s">
        <v>2370</v>
      </c>
    </row>
    <row r="5" spans="1:12" ht="15">
      <c r="A5" s="632">
        <v>44736</v>
      </c>
      <c r="B5" s="1124" t="s">
        <v>2518</v>
      </c>
      <c r="C5" s="1124" t="s">
        <v>4115</v>
      </c>
      <c r="D5" s="615" t="s">
        <v>2350</v>
      </c>
      <c r="E5" s="611">
        <v>723.97</v>
      </c>
      <c r="F5" s="731">
        <v>152.03</v>
      </c>
      <c r="G5" s="611">
        <v>876</v>
      </c>
      <c r="H5" s="632">
        <v>44736</v>
      </c>
      <c r="I5" s="611">
        <v>876</v>
      </c>
      <c r="J5" s="620">
        <v>44739</v>
      </c>
      <c r="K5" s="438" t="s">
        <v>2372</v>
      </c>
      <c r="L5" s="226"/>
    </row>
    <row r="6" spans="1:12" ht="15">
      <c r="A6" s="632">
        <v>44739</v>
      </c>
      <c r="B6" s="1124" t="s">
        <v>2518</v>
      </c>
      <c r="C6" s="1124" t="s">
        <v>4115</v>
      </c>
      <c r="D6" s="615" t="s">
        <v>2368</v>
      </c>
      <c r="E6" s="611">
        <v>0.01</v>
      </c>
      <c r="F6" s="731">
        <v>0</v>
      </c>
      <c r="G6" s="611">
        <v>0.01</v>
      </c>
      <c r="H6" s="632">
        <v>44739</v>
      </c>
      <c r="I6" s="639">
        <v>0.01</v>
      </c>
      <c r="J6" s="620">
        <v>44746</v>
      </c>
      <c r="K6" s="445" t="s">
        <v>2416</v>
      </c>
      <c r="L6" s="226" t="s">
        <v>2366</v>
      </c>
    </row>
    <row r="7" spans="1:12" ht="15">
      <c r="A7" s="620"/>
      <c r="B7" s="1124"/>
      <c r="C7" s="1124"/>
      <c r="D7" s="621"/>
      <c r="E7" s="730"/>
      <c r="F7" s="633"/>
      <c r="G7" s="639"/>
      <c r="H7" s="620"/>
      <c r="I7" s="639"/>
      <c r="J7" s="620"/>
      <c r="K7" s="226"/>
      <c r="L7" s="226"/>
    </row>
    <row r="8" spans="1:12" ht="15">
      <c r="A8" s="620"/>
      <c r="B8" s="1124"/>
      <c r="C8" s="1124"/>
      <c r="D8" s="621"/>
      <c r="E8" s="730"/>
      <c r="F8" s="633"/>
      <c r="G8" s="639"/>
      <c r="H8" s="620"/>
      <c r="I8" s="639"/>
      <c r="J8" s="620"/>
      <c r="K8" s="226"/>
      <c r="L8" s="226"/>
    </row>
    <row r="9" spans="1:12" ht="15">
      <c r="A9" s="620"/>
      <c r="B9" s="1124"/>
      <c r="C9" s="1124"/>
      <c r="D9" s="621"/>
      <c r="E9" s="730"/>
      <c r="F9" s="633"/>
      <c r="G9" s="639"/>
      <c r="H9" s="620"/>
      <c r="I9" s="639"/>
      <c r="J9" s="620"/>
      <c r="K9" s="226"/>
      <c r="L9" s="226"/>
    </row>
    <row r="10" spans="1:12" ht="15">
      <c r="A10" s="620"/>
      <c r="B10" s="1124"/>
      <c r="C10" s="1124"/>
      <c r="D10" s="621"/>
      <c r="E10" s="730"/>
      <c r="F10" s="633"/>
      <c r="G10" s="639"/>
      <c r="H10" s="620"/>
      <c r="I10" s="639"/>
      <c r="J10" s="620"/>
      <c r="K10" s="226"/>
      <c r="L10" s="226"/>
    </row>
    <row r="11" spans="1:12" ht="15">
      <c r="A11" s="620"/>
      <c r="B11" s="1124"/>
      <c r="C11" s="1124"/>
      <c r="D11" s="621"/>
      <c r="E11" s="730"/>
      <c r="F11" s="633"/>
      <c r="G11" s="639"/>
      <c r="H11" s="620"/>
      <c r="I11" s="639"/>
      <c r="J11" s="620"/>
      <c r="K11" s="226"/>
      <c r="L11" s="226"/>
    </row>
    <row r="12" spans="1:12" ht="15">
      <c r="A12" s="620"/>
      <c r="B12" s="1124"/>
      <c r="C12" s="1124"/>
      <c r="D12" s="621"/>
      <c r="E12" s="730"/>
      <c r="F12" s="633"/>
      <c r="G12" s="639"/>
      <c r="H12" s="620"/>
      <c r="I12" s="639"/>
      <c r="J12" s="620"/>
      <c r="K12" s="226"/>
      <c r="L12" s="226"/>
    </row>
    <row r="13" spans="1:12" ht="15">
      <c r="A13" s="620"/>
      <c r="B13" s="1124"/>
      <c r="C13" s="1124"/>
      <c r="D13" s="621"/>
      <c r="E13" s="730"/>
      <c r="F13" s="633"/>
      <c r="G13" s="639"/>
      <c r="H13" s="620"/>
      <c r="I13" s="639"/>
      <c r="J13" s="620"/>
      <c r="K13" s="226"/>
      <c r="L13" s="226"/>
    </row>
    <row r="14" spans="1:12" ht="15">
      <c r="A14" s="621"/>
      <c r="B14" s="1125"/>
      <c r="C14" s="1125"/>
      <c r="D14" s="621"/>
      <c r="E14" s="808"/>
      <c r="F14" s="1144" t="s">
        <v>545</v>
      </c>
      <c r="G14" s="651">
        <f>SUM(G2:G13)-SUM(I2:I13)</f>
        <v>0</v>
      </c>
      <c r="H14" s="634"/>
      <c r="I14" s="639"/>
      <c r="J14" s="620"/>
      <c r="K14" s="226"/>
      <c r="L14" s="226"/>
    </row>
  </sheetData>
  <mergeCells count="3">
    <mergeCell ref="K3:K4"/>
    <mergeCell ref="I3:I4"/>
    <mergeCell ref="J3:J4"/>
  </mergeCells>
  <phoneticPr fontId="15" type="noConversion"/>
  <hyperlinks>
    <hyperlink ref="F14" location="汇总!A1" display="剩余欠款"/>
  </hyperlinks>
  <pageMargins left="0.7" right="0.7" top="0.75" bottom="0.75" header="0.3" footer="0.3"/>
  <pageSetup paperSize="9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1:L22"/>
  <sheetViews>
    <sheetView workbookViewId="0">
      <pane ySplit="1" topLeftCell="A2" activePane="bottomLeft" state="frozen"/>
      <selection activeCell="C33" sqref="C33"/>
      <selection pane="bottomLeft" activeCell="F22" sqref="F22"/>
    </sheetView>
  </sheetViews>
  <sheetFormatPr defaultColWidth="8.75" defaultRowHeight="14.25"/>
  <cols>
    <col min="1" max="1" width="13" style="168" customWidth="1"/>
    <col min="2" max="2" width="8.875" style="168" bestFit="1" customWidth="1"/>
    <col min="3" max="3" width="33.375" style="168" bestFit="1" customWidth="1"/>
    <col min="4" max="5" width="15" style="168" customWidth="1"/>
    <col min="6" max="6" width="15" style="527" customWidth="1"/>
    <col min="7" max="7" width="11.375" style="168" bestFit="1" customWidth="1"/>
    <col min="8" max="8" width="16.625" style="168" bestFit="1" customWidth="1"/>
    <col min="9" max="9" width="12.875" style="168" customWidth="1"/>
    <col min="10" max="10" width="15" style="168" bestFit="1" customWidth="1"/>
    <col min="11" max="11" width="12" style="168" customWidth="1"/>
    <col min="12" max="12" width="16.125" style="168" bestFit="1" customWidth="1"/>
    <col min="13" max="16384" width="8.75" style="168"/>
  </cols>
  <sheetData>
    <row r="1" spans="1:12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7" t="s">
        <v>542</v>
      </c>
    </row>
    <row r="2" spans="1:12" ht="15">
      <c r="A2" s="632">
        <v>44741</v>
      </c>
      <c r="B2" s="1124" t="s">
        <v>521</v>
      </c>
      <c r="C2" s="1254" t="s">
        <v>4602</v>
      </c>
      <c r="D2" s="615" t="s">
        <v>2359</v>
      </c>
      <c r="E2" s="631">
        <v>565.32000000000005</v>
      </c>
      <c r="F2" s="731">
        <v>118.72</v>
      </c>
      <c r="G2" s="611">
        <v>684.04</v>
      </c>
      <c r="H2" s="632">
        <v>44741</v>
      </c>
      <c r="I2" s="611">
        <v>684.04</v>
      </c>
      <c r="J2" s="632">
        <v>44776</v>
      </c>
      <c r="K2" s="490" t="s">
        <v>2628</v>
      </c>
      <c r="L2" s="166"/>
    </row>
    <row r="3" spans="1:12" ht="15">
      <c r="A3" s="632">
        <v>44763.000497685185</v>
      </c>
      <c r="B3" s="1124" t="s">
        <v>521</v>
      </c>
      <c r="C3" s="1254" t="s">
        <v>4602</v>
      </c>
      <c r="D3" s="615" t="s">
        <v>2472</v>
      </c>
      <c r="E3" s="631">
        <v>572.83000000000004</v>
      </c>
      <c r="F3" s="731">
        <v>120.29</v>
      </c>
      <c r="G3" s="611">
        <v>693.12</v>
      </c>
      <c r="H3" s="632">
        <v>44763</v>
      </c>
      <c r="I3" s="1923">
        <v>421.12</v>
      </c>
      <c r="J3" s="1918">
        <v>44789</v>
      </c>
      <c r="K3" s="1968" t="s">
        <v>2821</v>
      </c>
      <c r="L3" s="226"/>
    </row>
    <row r="4" spans="1:12" ht="15">
      <c r="A4" s="632">
        <v>44767</v>
      </c>
      <c r="B4" s="1124" t="s">
        <v>521</v>
      </c>
      <c r="C4" s="1254" t="s">
        <v>4602</v>
      </c>
      <c r="D4" s="615" t="s">
        <v>2529</v>
      </c>
      <c r="E4" s="631">
        <v>-224.79</v>
      </c>
      <c r="F4" s="731">
        <v>-47.21</v>
      </c>
      <c r="G4" s="611">
        <v>-272</v>
      </c>
      <c r="H4" s="632"/>
      <c r="I4" s="1924"/>
      <c r="J4" s="1920"/>
      <c r="K4" s="1957"/>
      <c r="L4" s="226"/>
    </row>
    <row r="5" spans="1:12" ht="15">
      <c r="A5" s="815">
        <v>44789.000497685185</v>
      </c>
      <c r="B5" s="1124" t="s">
        <v>521</v>
      </c>
      <c r="C5" s="1254" t="s">
        <v>4602</v>
      </c>
      <c r="D5" s="817" t="s">
        <v>2765</v>
      </c>
      <c r="E5" s="631">
        <v>238.02</v>
      </c>
      <c r="F5" s="731">
        <v>49.98</v>
      </c>
      <c r="G5" s="611">
        <v>288</v>
      </c>
      <c r="H5" s="815">
        <v>44789.000497685185</v>
      </c>
      <c r="I5" s="611">
        <v>288</v>
      </c>
      <c r="J5" s="815">
        <v>44832</v>
      </c>
      <c r="K5" s="813" t="s">
        <v>3202</v>
      </c>
      <c r="L5" s="226"/>
    </row>
    <row r="6" spans="1:12" ht="15">
      <c r="A6" s="815">
        <v>44832</v>
      </c>
      <c r="B6" s="1124" t="s">
        <v>521</v>
      </c>
      <c r="C6" s="1254" t="s">
        <v>4602</v>
      </c>
      <c r="D6" s="817" t="s">
        <v>3153</v>
      </c>
      <c r="E6" s="631">
        <v>19.04</v>
      </c>
      <c r="F6" s="731">
        <v>4</v>
      </c>
      <c r="G6" s="611">
        <v>23.04</v>
      </c>
      <c r="H6" s="815">
        <v>44832.000497685185</v>
      </c>
      <c r="I6" s="611">
        <v>23.04</v>
      </c>
      <c r="J6" s="815">
        <v>44834</v>
      </c>
      <c r="K6" s="813" t="s">
        <v>3203</v>
      </c>
      <c r="L6" s="226" t="s">
        <v>3204</v>
      </c>
    </row>
    <row r="7" spans="1:12" ht="15">
      <c r="A7" s="1116">
        <v>44929</v>
      </c>
      <c r="B7" s="1124" t="s">
        <v>2644</v>
      </c>
      <c r="C7" s="1124" t="s">
        <v>4602</v>
      </c>
      <c r="D7" s="1117" t="s">
        <v>3857</v>
      </c>
      <c r="E7" s="631">
        <v>238.02</v>
      </c>
      <c r="F7" s="731">
        <v>49.98</v>
      </c>
      <c r="G7" s="611">
        <v>288</v>
      </c>
      <c r="H7" s="1116">
        <v>44974.000497685185</v>
      </c>
      <c r="I7" s="611">
        <v>288</v>
      </c>
      <c r="J7" s="1116">
        <v>44963</v>
      </c>
      <c r="K7" s="1114" t="s">
        <v>4086</v>
      </c>
      <c r="L7" s="226"/>
    </row>
    <row r="8" spans="1:12" ht="15">
      <c r="A8" s="1403">
        <v>45050</v>
      </c>
      <c r="B8" s="1403" t="s">
        <v>2644</v>
      </c>
      <c r="C8" s="1403" t="s">
        <v>4906</v>
      </c>
      <c r="D8" s="1405" t="s">
        <v>4907</v>
      </c>
      <c r="E8" s="631">
        <v>404.63</v>
      </c>
      <c r="F8" s="731">
        <v>84.97</v>
      </c>
      <c r="G8" s="611">
        <v>489.6</v>
      </c>
      <c r="H8" s="1403">
        <v>45051</v>
      </c>
      <c r="I8" s="611">
        <v>489.6</v>
      </c>
      <c r="J8" s="1403">
        <v>45065</v>
      </c>
      <c r="K8" s="1401" t="s">
        <v>4086</v>
      </c>
      <c r="L8" s="226"/>
    </row>
    <row r="9" spans="1:12" ht="15">
      <c r="A9" s="1718">
        <v>45140</v>
      </c>
      <c r="B9" s="1718" t="s">
        <v>2644</v>
      </c>
      <c r="C9" s="1718" t="s">
        <v>4906</v>
      </c>
      <c r="D9" s="1720" t="s">
        <v>5730</v>
      </c>
      <c r="E9" s="631">
        <v>938.61</v>
      </c>
      <c r="F9" s="731">
        <v>197.11</v>
      </c>
      <c r="G9" s="611">
        <v>1135.72</v>
      </c>
      <c r="H9" s="1718">
        <v>45141</v>
      </c>
      <c r="I9" s="611">
        <v>1135.72</v>
      </c>
      <c r="J9" s="1718">
        <v>45182</v>
      </c>
      <c r="K9" s="1716" t="s">
        <v>2628</v>
      </c>
      <c r="L9" s="226"/>
    </row>
    <row r="10" spans="1:12" ht="15">
      <c r="A10" s="623">
        <v>45182</v>
      </c>
      <c r="B10" s="623" t="s">
        <v>2644</v>
      </c>
      <c r="C10" s="623" t="s">
        <v>4906</v>
      </c>
      <c r="D10" s="624" t="s">
        <v>6029</v>
      </c>
      <c r="E10" s="606">
        <v>-190.41</v>
      </c>
      <c r="F10" s="732">
        <v>-39.99</v>
      </c>
      <c r="G10" s="605">
        <v>-230.4</v>
      </c>
      <c r="H10" s="623" t="s">
        <v>1529</v>
      </c>
      <c r="I10" s="611"/>
      <c r="J10" s="1579"/>
      <c r="K10" s="1580"/>
      <c r="L10" s="226"/>
    </row>
    <row r="11" spans="1:12" ht="15">
      <c r="A11" s="623"/>
      <c r="B11" s="623"/>
      <c r="C11" s="623"/>
      <c r="D11" s="624"/>
      <c r="E11" s="606"/>
      <c r="F11" s="732"/>
      <c r="G11" s="605"/>
      <c r="H11" s="623"/>
      <c r="I11" s="611"/>
      <c r="J11" s="1579"/>
      <c r="K11" s="1580"/>
      <c r="L11" s="226"/>
    </row>
    <row r="12" spans="1:12" ht="15">
      <c r="A12" s="623"/>
      <c r="B12" s="623"/>
      <c r="C12" s="623"/>
      <c r="D12" s="624"/>
      <c r="E12" s="606"/>
      <c r="F12" s="732"/>
      <c r="G12" s="605"/>
      <c r="H12" s="623"/>
      <c r="I12" s="611"/>
      <c r="J12" s="1579"/>
      <c r="K12" s="1580"/>
      <c r="L12" s="226"/>
    </row>
    <row r="13" spans="1:12" ht="15">
      <c r="A13" s="623"/>
      <c r="B13" s="623"/>
      <c r="C13" s="623"/>
      <c r="D13" s="624"/>
      <c r="E13" s="606"/>
      <c r="F13" s="732"/>
      <c r="G13" s="605"/>
      <c r="H13" s="623"/>
      <c r="I13" s="611"/>
      <c r="J13" s="1579"/>
      <c r="K13" s="1580"/>
      <c r="L13" s="226"/>
    </row>
    <row r="14" spans="1:12" ht="15">
      <c r="A14" s="623"/>
      <c r="B14" s="623"/>
      <c r="C14" s="623"/>
      <c r="D14" s="624"/>
      <c r="E14" s="606"/>
      <c r="F14" s="732"/>
      <c r="G14" s="605"/>
      <c r="H14" s="623"/>
      <c r="I14" s="611"/>
      <c r="J14" s="1579"/>
      <c r="K14" s="1580"/>
      <c r="L14" s="226"/>
    </row>
    <row r="15" spans="1:12" ht="15">
      <c r="A15" s="623"/>
      <c r="B15" s="623"/>
      <c r="C15" s="623"/>
      <c r="D15" s="624"/>
      <c r="E15" s="606"/>
      <c r="F15" s="732"/>
      <c r="G15" s="605"/>
      <c r="H15" s="623"/>
      <c r="I15" s="611"/>
      <c r="J15" s="1579"/>
      <c r="K15" s="1580"/>
      <c r="L15" s="226"/>
    </row>
    <row r="16" spans="1:12" ht="15">
      <c r="A16" s="623"/>
      <c r="B16" s="623"/>
      <c r="C16" s="623"/>
      <c r="D16" s="624"/>
      <c r="E16" s="606"/>
      <c r="F16" s="732"/>
      <c r="G16" s="605"/>
      <c r="H16" s="623"/>
      <c r="I16" s="611"/>
      <c r="J16" s="1579"/>
      <c r="K16" s="1580"/>
      <c r="L16" s="226"/>
    </row>
    <row r="17" spans="1:12" ht="15">
      <c r="A17" s="623"/>
      <c r="B17" s="623"/>
      <c r="C17" s="623"/>
      <c r="D17" s="624"/>
      <c r="E17" s="606"/>
      <c r="F17" s="732"/>
      <c r="G17" s="605"/>
      <c r="H17" s="623"/>
      <c r="I17" s="639"/>
      <c r="J17" s="620"/>
      <c r="K17" s="226"/>
      <c r="L17" s="226"/>
    </row>
    <row r="18" spans="1:12" ht="15">
      <c r="A18" s="623"/>
      <c r="B18" s="623"/>
      <c r="C18" s="623"/>
      <c r="D18" s="624"/>
      <c r="E18" s="606"/>
      <c r="F18" s="732"/>
      <c r="G18" s="605"/>
      <c r="H18" s="623"/>
      <c r="I18" s="639"/>
      <c r="J18" s="620"/>
      <c r="K18" s="226"/>
      <c r="L18" s="226"/>
    </row>
    <row r="19" spans="1:12" ht="15">
      <c r="A19" s="623"/>
      <c r="B19" s="623"/>
      <c r="C19" s="623"/>
      <c r="D19" s="624"/>
      <c r="E19" s="606"/>
      <c r="F19" s="732"/>
      <c r="G19" s="605"/>
      <c r="H19" s="623"/>
      <c r="I19" s="639"/>
      <c r="J19" s="620"/>
      <c r="K19" s="226"/>
      <c r="L19" s="226"/>
    </row>
    <row r="20" spans="1:12" ht="15">
      <c r="A20" s="623"/>
      <c r="B20" s="623"/>
      <c r="C20" s="623"/>
      <c r="D20" s="624"/>
      <c r="E20" s="606"/>
      <c r="F20" s="732"/>
      <c r="G20" s="605"/>
      <c r="H20" s="623"/>
      <c r="I20" s="639"/>
      <c r="J20" s="620"/>
      <c r="K20" s="226"/>
      <c r="L20" s="226"/>
    </row>
    <row r="21" spans="1:12" ht="15">
      <c r="A21" s="623"/>
      <c r="B21" s="623"/>
      <c r="C21" s="623"/>
      <c r="D21" s="624"/>
      <c r="E21" s="606"/>
      <c r="F21" s="732"/>
      <c r="G21" s="605"/>
      <c r="H21" s="623"/>
      <c r="I21" s="639"/>
      <c r="J21" s="620"/>
      <c r="K21" s="226"/>
      <c r="L21" s="226"/>
    </row>
    <row r="22" spans="1:12" ht="15">
      <c r="A22" s="621"/>
      <c r="B22" s="1125"/>
      <c r="C22" s="1125"/>
      <c r="D22" s="621"/>
      <c r="E22" s="619"/>
      <c r="F22" s="1144" t="s">
        <v>545</v>
      </c>
      <c r="G22" s="651">
        <f>SUM(G2:G21)-SUM(I2:I21)</f>
        <v>-230.40000000000009</v>
      </c>
      <c r="H22" s="634"/>
      <c r="I22" s="639"/>
      <c r="J22" s="620"/>
      <c r="K22" s="226"/>
      <c r="L22" s="226"/>
    </row>
  </sheetData>
  <mergeCells count="3">
    <mergeCell ref="I3:I4"/>
    <mergeCell ref="K3:K4"/>
    <mergeCell ref="J3:J4"/>
  </mergeCells>
  <phoneticPr fontId="68" type="noConversion"/>
  <hyperlinks>
    <hyperlink ref="F22" location="汇总!A1" display="剩余欠款"/>
  </hyperlinks>
  <pageMargins left="0.7" right="0.7" top="0.75" bottom="0.75" header="0.3" footer="0.3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1:L68"/>
  <sheetViews>
    <sheetView workbookViewId="0">
      <pane ySplit="1" topLeftCell="A41" activePane="bottomLeft" state="frozen"/>
      <selection activeCell="C33" sqref="C33"/>
      <selection pane="bottomLeft" activeCell="F68" sqref="F68"/>
    </sheetView>
  </sheetViews>
  <sheetFormatPr defaultColWidth="8.75" defaultRowHeight="14.25"/>
  <cols>
    <col min="1" max="1" width="13" style="168" customWidth="1"/>
    <col min="2" max="2" width="9" style="168" bestFit="1" customWidth="1"/>
    <col min="3" max="3" width="13.875" style="168" bestFit="1" customWidth="1"/>
    <col min="4" max="5" width="15" style="168" customWidth="1"/>
    <col min="6" max="6" width="11.375" style="168" customWidth="1"/>
    <col min="7" max="7" width="12" style="168" bestFit="1" customWidth="1"/>
    <col min="8" max="8" width="16.75" style="168" bestFit="1" customWidth="1"/>
    <col min="9" max="9" width="12.875" style="168" customWidth="1"/>
    <col min="10" max="10" width="15" style="168" bestFit="1" customWidth="1"/>
    <col min="11" max="11" width="22.25" style="168" customWidth="1"/>
    <col min="12" max="12" width="45" style="168" customWidth="1"/>
    <col min="13" max="16384" width="8.75" style="168"/>
  </cols>
  <sheetData>
    <row r="1" spans="1:12" customFormat="1" ht="18.75">
      <c r="A1" s="255" t="s">
        <v>6275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7" t="s">
        <v>542</v>
      </c>
    </row>
    <row r="2" spans="1:12" ht="15">
      <c r="A2" s="991">
        <v>44777</v>
      </c>
      <c r="B2" s="1124" t="s">
        <v>521</v>
      </c>
      <c r="C2" s="1124" t="s">
        <v>4114</v>
      </c>
      <c r="D2" s="992" t="s">
        <v>2607</v>
      </c>
      <c r="E2" s="631">
        <v>5940.31</v>
      </c>
      <c r="F2" s="731">
        <v>0</v>
      </c>
      <c r="G2" s="611">
        <v>5940.31</v>
      </c>
      <c r="H2" s="991">
        <v>44778</v>
      </c>
      <c r="I2" s="1923">
        <v>15940</v>
      </c>
      <c r="J2" s="1903">
        <v>44851</v>
      </c>
      <c r="K2" s="1935" t="s">
        <v>3331</v>
      </c>
      <c r="L2" s="226"/>
    </row>
    <row r="3" spans="1:12" ht="15">
      <c r="A3" s="991">
        <v>44778</v>
      </c>
      <c r="B3" s="1124" t="s">
        <v>521</v>
      </c>
      <c r="C3" s="1124" t="s">
        <v>4114</v>
      </c>
      <c r="D3" s="992" t="s">
        <v>2608</v>
      </c>
      <c r="E3" s="631">
        <v>510.3</v>
      </c>
      <c r="F3" s="731">
        <v>0</v>
      </c>
      <c r="G3" s="611">
        <v>510.3</v>
      </c>
      <c r="H3" s="991">
        <v>44779</v>
      </c>
      <c r="I3" s="1961"/>
      <c r="J3" s="1904"/>
      <c r="K3" s="1950"/>
      <c r="L3" s="226"/>
    </row>
    <row r="4" spans="1:12" ht="15">
      <c r="A4" s="991">
        <v>44809</v>
      </c>
      <c r="B4" s="1124" t="s">
        <v>521</v>
      </c>
      <c r="C4" s="1124" t="s">
        <v>4114</v>
      </c>
      <c r="D4" s="992" t="s">
        <v>2958</v>
      </c>
      <c r="E4" s="631">
        <v>1400</v>
      </c>
      <c r="F4" s="731">
        <v>0</v>
      </c>
      <c r="G4" s="611">
        <v>1400</v>
      </c>
      <c r="H4" s="991">
        <v>44810</v>
      </c>
      <c r="I4" s="1961"/>
      <c r="J4" s="1904"/>
      <c r="K4" s="1950"/>
      <c r="L4" s="226"/>
    </row>
    <row r="5" spans="1:12" ht="15">
      <c r="A5" s="991">
        <v>44809</v>
      </c>
      <c r="B5" s="1124" t="s">
        <v>521</v>
      </c>
      <c r="C5" s="1124" t="s">
        <v>4114</v>
      </c>
      <c r="D5" s="992" t="s">
        <v>2959</v>
      </c>
      <c r="E5" s="631">
        <v>3870.08</v>
      </c>
      <c r="F5" s="731">
        <v>0</v>
      </c>
      <c r="G5" s="611">
        <v>3870.08</v>
      </c>
      <c r="H5" s="991">
        <v>44810</v>
      </c>
      <c r="I5" s="1961"/>
      <c r="J5" s="1904"/>
      <c r="K5" s="1950"/>
      <c r="L5" s="226"/>
    </row>
    <row r="6" spans="1:12" ht="15">
      <c r="A6" s="991">
        <v>44818</v>
      </c>
      <c r="B6" s="1124" t="s">
        <v>521</v>
      </c>
      <c r="C6" s="1124" t="s">
        <v>4114</v>
      </c>
      <c r="D6" s="992" t="s">
        <v>3008</v>
      </c>
      <c r="E6" s="631">
        <v>2800</v>
      </c>
      <c r="F6" s="731">
        <v>0</v>
      </c>
      <c r="G6" s="611">
        <v>2800</v>
      </c>
      <c r="H6" s="991">
        <v>44819</v>
      </c>
      <c r="I6" s="1961"/>
      <c r="J6" s="1904"/>
      <c r="K6" s="1950"/>
      <c r="L6" s="226"/>
    </row>
    <row r="7" spans="1:12" ht="15">
      <c r="A7" s="1903">
        <v>44830</v>
      </c>
      <c r="B7" s="1918" t="s">
        <v>521</v>
      </c>
      <c r="C7" s="1918" t="s">
        <v>4114</v>
      </c>
      <c r="D7" s="1909" t="s">
        <v>3180</v>
      </c>
      <c r="E7" s="1906">
        <v>5411.94</v>
      </c>
      <c r="F7" s="1927">
        <v>0</v>
      </c>
      <c r="G7" s="611">
        <v>1419.31</v>
      </c>
      <c r="H7" s="991">
        <v>44831.000497685185</v>
      </c>
      <c r="I7" s="1924"/>
      <c r="J7" s="1905"/>
      <c r="K7" s="1947"/>
      <c r="L7" s="226"/>
    </row>
    <row r="8" spans="1:12" ht="15">
      <c r="A8" s="1905"/>
      <c r="B8" s="1920"/>
      <c r="C8" s="1920"/>
      <c r="D8" s="1911"/>
      <c r="E8" s="1908"/>
      <c r="F8" s="1928"/>
      <c r="G8" s="611">
        <f>5411.94-1419.31</f>
        <v>3992.6299999999997</v>
      </c>
      <c r="H8" s="991">
        <v>44831.000497685185</v>
      </c>
      <c r="I8" s="611">
        <v>3992.6299999999997</v>
      </c>
      <c r="J8" s="991">
        <v>44910</v>
      </c>
      <c r="K8" s="989" t="s">
        <v>3723</v>
      </c>
      <c r="L8" s="226"/>
    </row>
    <row r="9" spans="1:12" ht="15">
      <c r="A9" s="896">
        <v>44862</v>
      </c>
      <c r="B9" s="1124" t="s">
        <v>2518</v>
      </c>
      <c r="C9" s="1124" t="s">
        <v>4114</v>
      </c>
      <c r="D9" s="898" t="s">
        <v>3357</v>
      </c>
      <c r="E9" s="631">
        <v>4550.08</v>
      </c>
      <c r="F9" s="731">
        <v>0</v>
      </c>
      <c r="G9" s="611">
        <v>4550.08</v>
      </c>
      <c r="H9" s="896">
        <v>44863</v>
      </c>
      <c r="I9" s="611">
        <v>4550.08</v>
      </c>
      <c r="J9" s="620">
        <v>44872</v>
      </c>
      <c r="K9" s="890" t="s">
        <v>3469</v>
      </c>
      <c r="L9" s="226"/>
    </row>
    <row r="10" spans="1:12" ht="15">
      <c r="A10" s="1003">
        <v>44873</v>
      </c>
      <c r="B10" s="1124" t="s">
        <v>2518</v>
      </c>
      <c r="C10" s="1124" t="s">
        <v>4114</v>
      </c>
      <c r="D10" s="1005" t="s">
        <v>3447</v>
      </c>
      <c r="E10" s="631">
        <v>2087.9299999999998</v>
      </c>
      <c r="F10" s="731">
        <v>0</v>
      </c>
      <c r="G10" s="611">
        <v>2087.9299999999998</v>
      </c>
      <c r="H10" s="1003">
        <v>44874</v>
      </c>
      <c r="I10" s="1923">
        <v>5553.71</v>
      </c>
      <c r="J10" s="1918">
        <v>44914</v>
      </c>
      <c r="K10" s="1968" t="s">
        <v>3811</v>
      </c>
      <c r="L10" s="226"/>
    </row>
    <row r="11" spans="1:12" ht="15">
      <c r="A11" s="1003">
        <v>44873</v>
      </c>
      <c r="B11" s="1124" t="s">
        <v>2518</v>
      </c>
      <c r="C11" s="1124" t="s">
        <v>4114</v>
      </c>
      <c r="D11" s="1005" t="s">
        <v>3448</v>
      </c>
      <c r="E11" s="631">
        <v>550</v>
      </c>
      <c r="F11" s="731">
        <v>0</v>
      </c>
      <c r="G11" s="611">
        <v>550</v>
      </c>
      <c r="H11" s="1003">
        <v>44874</v>
      </c>
      <c r="I11" s="1961"/>
      <c r="J11" s="1919"/>
      <c r="K11" s="1962"/>
      <c r="L11" s="226"/>
    </row>
    <row r="12" spans="1:12" ht="15">
      <c r="A12" s="1003">
        <v>44896</v>
      </c>
      <c r="B12" s="1124" t="s">
        <v>2518</v>
      </c>
      <c r="C12" s="1124" t="s">
        <v>4756</v>
      </c>
      <c r="D12" s="1005" t="s">
        <v>3612</v>
      </c>
      <c r="E12" s="631">
        <v>961.86</v>
      </c>
      <c r="F12" s="731">
        <v>0</v>
      </c>
      <c r="G12" s="611">
        <v>961.86</v>
      </c>
      <c r="H12" s="1003">
        <v>44941</v>
      </c>
      <c r="I12" s="1961"/>
      <c r="J12" s="1919"/>
      <c r="K12" s="1962"/>
      <c r="L12" s="226"/>
    </row>
    <row r="13" spans="1:12" ht="15">
      <c r="A13" s="1003">
        <v>44897</v>
      </c>
      <c r="B13" s="1124" t="s">
        <v>2518</v>
      </c>
      <c r="C13" s="1124" t="s">
        <v>4114</v>
      </c>
      <c r="D13" s="1005" t="s">
        <v>3613</v>
      </c>
      <c r="E13" s="631">
        <v>593.52</v>
      </c>
      <c r="F13" s="731">
        <v>0</v>
      </c>
      <c r="G13" s="611">
        <v>593.52</v>
      </c>
      <c r="H13" s="1003">
        <v>44898</v>
      </c>
      <c r="I13" s="1961"/>
      <c r="J13" s="1919"/>
      <c r="K13" s="1962"/>
      <c r="L13" s="226"/>
    </row>
    <row r="14" spans="1:12" ht="15">
      <c r="A14" s="1101">
        <v>44897</v>
      </c>
      <c r="B14" s="1124" t="s">
        <v>2518</v>
      </c>
      <c r="C14" s="1124" t="s">
        <v>4114</v>
      </c>
      <c r="D14" s="1102" t="s">
        <v>3614</v>
      </c>
      <c r="E14" s="631">
        <v>1360.4</v>
      </c>
      <c r="F14" s="731">
        <v>0</v>
      </c>
      <c r="G14" s="611">
        <v>1360.4</v>
      </c>
      <c r="H14" s="1003">
        <v>44898</v>
      </c>
      <c r="I14" s="1924"/>
      <c r="J14" s="1920"/>
      <c r="K14" s="1957"/>
      <c r="L14" s="226"/>
    </row>
    <row r="15" spans="1:12" ht="15">
      <c r="A15" s="1549">
        <v>44907</v>
      </c>
      <c r="B15" s="1549" t="s">
        <v>2518</v>
      </c>
      <c r="C15" s="1549" t="s">
        <v>4114</v>
      </c>
      <c r="D15" s="1551" t="s">
        <v>3697</v>
      </c>
      <c r="E15" s="631">
        <v>-302.23</v>
      </c>
      <c r="F15" s="731">
        <v>0</v>
      </c>
      <c r="G15" s="611">
        <v>-302.23</v>
      </c>
      <c r="H15" s="1549"/>
      <c r="I15" s="1933">
        <v>0</v>
      </c>
      <c r="J15" s="1903">
        <v>44957</v>
      </c>
      <c r="K15" s="1935" t="s">
        <v>4016</v>
      </c>
      <c r="L15" s="226"/>
    </row>
    <row r="16" spans="1:12" ht="15">
      <c r="A16" s="1903">
        <v>44914</v>
      </c>
      <c r="B16" s="1903" t="s">
        <v>2518</v>
      </c>
      <c r="C16" s="1903" t="s">
        <v>4114</v>
      </c>
      <c r="D16" s="1909" t="s">
        <v>3779</v>
      </c>
      <c r="E16" s="1936">
        <v>729.16</v>
      </c>
      <c r="F16" s="1933">
        <v>0</v>
      </c>
      <c r="G16" s="1545">
        <v>302.23</v>
      </c>
      <c r="H16" s="1549">
        <v>44915</v>
      </c>
      <c r="I16" s="1934"/>
      <c r="J16" s="1905"/>
      <c r="K16" s="1947"/>
      <c r="L16" s="226"/>
    </row>
    <row r="17" spans="1:12" ht="15">
      <c r="A17" s="1905"/>
      <c r="B17" s="1905"/>
      <c r="C17" s="1905"/>
      <c r="D17" s="1911"/>
      <c r="E17" s="1937"/>
      <c r="F17" s="1934"/>
      <c r="G17" s="1545">
        <f>729.16-302.23</f>
        <v>426.92999999999995</v>
      </c>
      <c r="H17" s="1549">
        <v>44915</v>
      </c>
      <c r="I17" s="1951">
        <v>20000</v>
      </c>
      <c r="J17" s="1903">
        <v>44979</v>
      </c>
      <c r="K17" s="1935" t="s">
        <v>4246</v>
      </c>
      <c r="L17" s="226"/>
    </row>
    <row r="18" spans="1:12" ht="15">
      <c r="A18" s="1549">
        <v>44914</v>
      </c>
      <c r="B18" s="1549" t="s">
        <v>2518</v>
      </c>
      <c r="C18" s="1549" t="s">
        <v>4114</v>
      </c>
      <c r="D18" s="1551" t="s">
        <v>3780</v>
      </c>
      <c r="E18" s="631">
        <v>6158.95</v>
      </c>
      <c r="F18" s="731">
        <v>0</v>
      </c>
      <c r="G18" s="611">
        <v>6158.95</v>
      </c>
      <c r="H18" s="1549">
        <v>44915</v>
      </c>
      <c r="I18" s="1952"/>
      <c r="J18" s="1904"/>
      <c r="K18" s="1950"/>
      <c r="L18" s="226"/>
    </row>
    <row r="19" spans="1:12" ht="15">
      <c r="A19" s="1903">
        <v>44928</v>
      </c>
      <c r="B19" s="1903" t="s">
        <v>2518</v>
      </c>
      <c r="C19" s="1903" t="s">
        <v>4114</v>
      </c>
      <c r="D19" s="1909" t="s">
        <v>3865</v>
      </c>
      <c r="E19" s="1936">
        <v>14741.57</v>
      </c>
      <c r="F19" s="1933">
        <v>0</v>
      </c>
      <c r="G19" s="611">
        <v>13414.12</v>
      </c>
      <c r="H19" s="1549">
        <v>44929.000497685185</v>
      </c>
      <c r="I19" s="1953"/>
      <c r="J19" s="1905"/>
      <c r="K19" s="1947"/>
      <c r="L19" s="226"/>
    </row>
    <row r="20" spans="1:12" ht="15">
      <c r="A20" s="1905"/>
      <c r="B20" s="1905"/>
      <c r="C20" s="1905"/>
      <c r="D20" s="1911"/>
      <c r="E20" s="1937"/>
      <c r="F20" s="1934"/>
      <c r="G20" s="611">
        <f>14741.57-13414.12</f>
        <v>1327.4499999999989</v>
      </c>
      <c r="H20" s="1549">
        <v>44929.000497685185</v>
      </c>
      <c r="I20" s="1951">
        <v>2002.09</v>
      </c>
      <c r="J20" s="1903">
        <v>44984</v>
      </c>
      <c r="K20" s="1935" t="s">
        <v>4757</v>
      </c>
      <c r="L20" s="226"/>
    </row>
    <row r="21" spans="1:12" ht="15">
      <c r="A21" s="1903">
        <v>44953</v>
      </c>
      <c r="B21" s="1903" t="s">
        <v>2518</v>
      </c>
      <c r="C21" s="1903" t="s">
        <v>4114</v>
      </c>
      <c r="D21" s="1909" t="s">
        <v>3963</v>
      </c>
      <c r="E21" s="1936">
        <v>9172.67</v>
      </c>
      <c r="F21" s="1933">
        <v>0</v>
      </c>
      <c r="G21" s="611">
        <v>674.64</v>
      </c>
      <c r="H21" s="1549">
        <v>45013</v>
      </c>
      <c r="I21" s="1953"/>
      <c r="J21" s="1905"/>
      <c r="K21" s="1947"/>
      <c r="L21" s="226"/>
    </row>
    <row r="22" spans="1:12" ht="15">
      <c r="A22" s="1905"/>
      <c r="B22" s="1905"/>
      <c r="C22" s="1905"/>
      <c r="D22" s="1911"/>
      <c r="E22" s="1937"/>
      <c r="F22" s="1934"/>
      <c r="G22" s="611">
        <f>9172.67-674.64</f>
        <v>8498.0300000000007</v>
      </c>
      <c r="H22" s="1549">
        <v>45013</v>
      </c>
      <c r="I22" s="1923">
        <v>14950</v>
      </c>
      <c r="J22" s="1903">
        <v>45028</v>
      </c>
      <c r="K22" s="1938" t="s">
        <v>5668</v>
      </c>
      <c r="L22" s="226"/>
    </row>
    <row r="23" spans="1:12" ht="15">
      <c r="A23" s="1549">
        <v>44958.000497685185</v>
      </c>
      <c r="B23" s="1549" t="s">
        <v>2518</v>
      </c>
      <c r="C23" s="1549" t="s">
        <v>4114</v>
      </c>
      <c r="D23" s="1551" t="s">
        <v>4028</v>
      </c>
      <c r="E23" s="631">
        <v>-106.56</v>
      </c>
      <c r="F23" s="731">
        <v>0</v>
      </c>
      <c r="G23" s="611">
        <v>-106.56</v>
      </c>
      <c r="H23" s="1549"/>
      <c r="I23" s="1961"/>
      <c r="J23" s="1904"/>
      <c r="K23" s="1950"/>
      <c r="L23" s="226"/>
    </row>
    <row r="24" spans="1:12" ht="15">
      <c r="A24" s="1549">
        <v>44974</v>
      </c>
      <c r="B24" s="1549" t="s">
        <v>2518</v>
      </c>
      <c r="C24" s="1549" t="s">
        <v>4114</v>
      </c>
      <c r="D24" s="1551" t="s">
        <v>4168</v>
      </c>
      <c r="E24" s="631">
        <v>4452</v>
      </c>
      <c r="F24" s="731">
        <v>0</v>
      </c>
      <c r="G24" s="611">
        <v>4452</v>
      </c>
      <c r="H24" s="1549">
        <v>45034</v>
      </c>
      <c r="I24" s="1961"/>
      <c r="J24" s="1904"/>
      <c r="K24" s="1950"/>
      <c r="L24" s="226"/>
    </row>
    <row r="25" spans="1:12" ht="15">
      <c r="A25" s="1903">
        <v>44984</v>
      </c>
      <c r="B25" s="1903" t="s">
        <v>2518</v>
      </c>
      <c r="C25" s="1903" t="s">
        <v>4114</v>
      </c>
      <c r="D25" s="1909" t="s">
        <v>4365</v>
      </c>
      <c r="E25" s="1936">
        <v>7966.2</v>
      </c>
      <c r="F25" s="1933">
        <v>0</v>
      </c>
      <c r="G25" s="611">
        <v>2106.5300000000002</v>
      </c>
      <c r="H25" s="1549">
        <v>45044</v>
      </c>
      <c r="I25" s="1924"/>
      <c r="J25" s="1905"/>
      <c r="K25" s="1947"/>
      <c r="L25" s="226"/>
    </row>
    <row r="26" spans="1:12" ht="15">
      <c r="A26" s="1904"/>
      <c r="B26" s="1904"/>
      <c r="C26" s="1904"/>
      <c r="D26" s="1910"/>
      <c r="E26" s="2247"/>
      <c r="F26" s="2134"/>
      <c r="G26" s="611">
        <v>3155.75</v>
      </c>
      <c r="H26" s="1549">
        <v>45044</v>
      </c>
      <c r="I26" s="1541">
        <v>3155.75</v>
      </c>
      <c r="J26" s="1540">
        <v>45030</v>
      </c>
      <c r="K26" s="1544" t="s">
        <v>4758</v>
      </c>
      <c r="L26" s="226"/>
    </row>
    <row r="27" spans="1:12" ht="15">
      <c r="A27" s="1905"/>
      <c r="B27" s="1905"/>
      <c r="C27" s="1905"/>
      <c r="D27" s="1911"/>
      <c r="E27" s="1937"/>
      <c r="F27" s="1934"/>
      <c r="G27" s="611">
        <f>7966.2-2106.53-3155.75</f>
        <v>2703.92</v>
      </c>
      <c r="H27" s="1549">
        <v>45044</v>
      </c>
      <c r="I27" s="1923">
        <v>15000</v>
      </c>
      <c r="J27" s="1903">
        <v>45104</v>
      </c>
      <c r="K27" s="1938" t="s">
        <v>5520</v>
      </c>
      <c r="L27" s="226"/>
    </row>
    <row r="28" spans="1:12" ht="15">
      <c r="A28" s="1549">
        <v>44984</v>
      </c>
      <c r="B28" s="1549" t="s">
        <v>2518</v>
      </c>
      <c r="C28" s="1549" t="s">
        <v>4114</v>
      </c>
      <c r="D28" s="1551" t="s">
        <v>4366</v>
      </c>
      <c r="E28" s="631">
        <v>11006.75</v>
      </c>
      <c r="F28" s="731">
        <v>0</v>
      </c>
      <c r="G28" s="611">
        <v>11006.75</v>
      </c>
      <c r="H28" s="1549">
        <v>45044</v>
      </c>
      <c r="I28" s="1961"/>
      <c r="J28" s="1904"/>
      <c r="K28" s="1950"/>
      <c r="L28" s="226"/>
    </row>
    <row r="29" spans="1:12" ht="15">
      <c r="A29" s="1549">
        <v>44986</v>
      </c>
      <c r="B29" s="1549" t="s">
        <v>2518</v>
      </c>
      <c r="C29" s="1549" t="s">
        <v>4114</v>
      </c>
      <c r="D29" s="1551" t="s">
        <v>4367</v>
      </c>
      <c r="E29" s="631">
        <v>-232</v>
      </c>
      <c r="F29" s="731">
        <v>0</v>
      </c>
      <c r="G29" s="611">
        <v>-232</v>
      </c>
      <c r="H29" s="1549">
        <v>44987</v>
      </c>
      <c r="I29" s="1961"/>
      <c r="J29" s="1904"/>
      <c r="K29" s="1950"/>
      <c r="L29" s="226" t="s">
        <v>4368</v>
      </c>
    </row>
    <row r="30" spans="1:12" ht="15">
      <c r="A30" s="1549">
        <v>45015</v>
      </c>
      <c r="B30" s="1549" t="s">
        <v>2518</v>
      </c>
      <c r="C30" s="1549" t="s">
        <v>4114</v>
      </c>
      <c r="D30" s="1551" t="s">
        <v>4638</v>
      </c>
      <c r="E30" s="631">
        <v>-73.290000000000006</v>
      </c>
      <c r="F30" s="731">
        <v>0</v>
      </c>
      <c r="G30" s="611">
        <v>-73.290000000000006</v>
      </c>
      <c r="H30" s="1549"/>
      <c r="I30" s="1961"/>
      <c r="J30" s="1904"/>
      <c r="K30" s="1950"/>
      <c r="L30" s="226"/>
    </row>
    <row r="31" spans="1:12" ht="15">
      <c r="A31" s="1903">
        <v>45020</v>
      </c>
      <c r="B31" s="1903" t="s">
        <v>2518</v>
      </c>
      <c r="C31" s="1903" t="s">
        <v>4114</v>
      </c>
      <c r="D31" s="1909" t="s">
        <v>4681</v>
      </c>
      <c r="E31" s="1936">
        <v>2925</v>
      </c>
      <c r="F31" s="1933">
        <v>0</v>
      </c>
      <c r="G31" s="611">
        <v>1594.62</v>
      </c>
      <c r="H31" s="1549">
        <v>45080</v>
      </c>
      <c r="I31" s="1924"/>
      <c r="J31" s="1905"/>
      <c r="K31" s="1947"/>
      <c r="L31" s="226"/>
    </row>
    <row r="32" spans="1:12" ht="15">
      <c r="A32" s="1905"/>
      <c r="B32" s="1905"/>
      <c r="C32" s="1905"/>
      <c r="D32" s="1911"/>
      <c r="E32" s="1937"/>
      <c r="F32" s="1934"/>
      <c r="G32" s="611">
        <f>2925-1594.62</f>
        <v>1330.38</v>
      </c>
      <c r="H32" s="1549">
        <v>45080</v>
      </c>
      <c r="I32" s="1923">
        <v>10283.879999999999</v>
      </c>
      <c r="J32" s="1903">
        <v>45125</v>
      </c>
      <c r="K32" s="1938" t="s">
        <v>5665</v>
      </c>
      <c r="L32" s="226"/>
    </row>
    <row r="33" spans="1:12" ht="15">
      <c r="A33" s="1549">
        <v>45021</v>
      </c>
      <c r="B33" s="1549" t="s">
        <v>2518</v>
      </c>
      <c r="C33" s="1549" t="s">
        <v>4114</v>
      </c>
      <c r="D33" s="1551" t="s">
        <v>4682</v>
      </c>
      <c r="E33" s="631">
        <v>9077.7099999999991</v>
      </c>
      <c r="F33" s="731">
        <v>0</v>
      </c>
      <c r="G33" s="611">
        <v>9077.7099999999991</v>
      </c>
      <c r="H33" s="1549">
        <v>45081</v>
      </c>
      <c r="I33" s="1961"/>
      <c r="J33" s="1904"/>
      <c r="K33" s="1950"/>
      <c r="L33" s="226"/>
    </row>
    <row r="34" spans="1:12" ht="15">
      <c r="A34" s="1549">
        <v>45096</v>
      </c>
      <c r="B34" s="1549" t="s">
        <v>2518</v>
      </c>
      <c r="C34" s="1549" t="s">
        <v>4114</v>
      </c>
      <c r="D34" s="1551" t="s">
        <v>5414</v>
      </c>
      <c r="E34" s="631">
        <v>-124.21</v>
      </c>
      <c r="F34" s="731">
        <v>0</v>
      </c>
      <c r="G34" s="611">
        <v>-124.21</v>
      </c>
      <c r="H34" s="1549"/>
      <c r="I34" s="1924"/>
      <c r="J34" s="1905"/>
      <c r="K34" s="1947"/>
      <c r="L34" s="226"/>
    </row>
    <row r="35" spans="1:12" ht="15">
      <c r="A35" s="1903">
        <v>45064</v>
      </c>
      <c r="B35" s="1903" t="s">
        <v>2518</v>
      </c>
      <c r="C35" s="1903" t="s">
        <v>4114</v>
      </c>
      <c r="D35" s="1909" t="s">
        <v>5109</v>
      </c>
      <c r="E35" s="1936">
        <v>7126.08</v>
      </c>
      <c r="F35" s="1933">
        <v>0</v>
      </c>
      <c r="G35" s="611">
        <v>4070.68</v>
      </c>
      <c r="H35" s="1527">
        <v>45124</v>
      </c>
      <c r="I35" s="1533">
        <v>4070.68</v>
      </c>
      <c r="J35" s="1523">
        <v>45121</v>
      </c>
      <c r="K35" s="1520" t="s">
        <v>544</v>
      </c>
      <c r="L35" s="226"/>
    </row>
    <row r="36" spans="1:12" ht="15">
      <c r="A36" s="1905"/>
      <c r="B36" s="1905"/>
      <c r="C36" s="1905"/>
      <c r="D36" s="1911"/>
      <c r="E36" s="1937"/>
      <c r="F36" s="1934"/>
      <c r="G36" s="611">
        <f>7126.08-4070.68</f>
        <v>3055.4</v>
      </c>
      <c r="H36" s="1549">
        <v>45124</v>
      </c>
      <c r="I36" s="1923">
        <v>9716.1200000000008</v>
      </c>
      <c r="J36" s="1903">
        <v>45125</v>
      </c>
      <c r="K36" s="1938" t="s">
        <v>6447</v>
      </c>
      <c r="L36" s="226"/>
    </row>
    <row r="37" spans="1:12" ht="15">
      <c r="A37" s="1549">
        <v>45092</v>
      </c>
      <c r="B37" s="1549" t="s">
        <v>2518</v>
      </c>
      <c r="C37" s="1549" t="s">
        <v>4114</v>
      </c>
      <c r="D37" s="1551" t="s">
        <v>5384</v>
      </c>
      <c r="E37" s="631">
        <v>947.52</v>
      </c>
      <c r="F37" s="731">
        <v>0</v>
      </c>
      <c r="G37" s="611">
        <v>947.52</v>
      </c>
      <c r="H37" s="1549">
        <v>45182</v>
      </c>
      <c r="I37" s="1961"/>
      <c r="J37" s="1904"/>
      <c r="K37" s="1950"/>
      <c r="L37" s="226"/>
    </row>
    <row r="38" spans="1:12" ht="15">
      <c r="A38" s="1549">
        <v>45096</v>
      </c>
      <c r="B38" s="1549" t="s">
        <v>2518</v>
      </c>
      <c r="C38" s="1549" t="s">
        <v>4114</v>
      </c>
      <c r="D38" s="1551" t="s">
        <v>5413</v>
      </c>
      <c r="E38" s="631">
        <v>-7.28</v>
      </c>
      <c r="F38" s="731">
        <v>0</v>
      </c>
      <c r="G38" s="611">
        <v>-7.28</v>
      </c>
      <c r="H38" s="1549"/>
      <c r="I38" s="1961"/>
      <c r="J38" s="1904"/>
      <c r="K38" s="1950"/>
      <c r="L38" s="226"/>
    </row>
    <row r="39" spans="1:12" ht="15">
      <c r="A39" s="1903">
        <v>45092</v>
      </c>
      <c r="B39" s="1903" t="s">
        <v>2518</v>
      </c>
      <c r="C39" s="1903" t="s">
        <v>4114</v>
      </c>
      <c r="D39" s="1909" t="s">
        <v>5385</v>
      </c>
      <c r="E39" s="1936">
        <v>19724.599999999999</v>
      </c>
      <c r="F39" s="1933">
        <v>0</v>
      </c>
      <c r="G39" s="611">
        <v>5720.48</v>
      </c>
      <c r="H39" s="1738">
        <v>45182</v>
      </c>
      <c r="I39" s="1924"/>
      <c r="J39" s="1905"/>
      <c r="K39" s="1947"/>
      <c r="L39" s="226"/>
    </row>
    <row r="40" spans="1:12" ht="15">
      <c r="A40" s="1905"/>
      <c r="B40" s="1905"/>
      <c r="C40" s="1905"/>
      <c r="D40" s="1911"/>
      <c r="E40" s="1937"/>
      <c r="F40" s="1934"/>
      <c r="G40" s="611">
        <f>19724.6-5720.48</f>
        <v>14004.119999999999</v>
      </c>
      <c r="H40" s="1738">
        <v>45182</v>
      </c>
      <c r="I40" s="1915">
        <v>15284.009999999998</v>
      </c>
      <c r="J40" s="1918">
        <v>45162</v>
      </c>
      <c r="K40" s="1956" t="s">
        <v>6276</v>
      </c>
      <c r="L40" s="226"/>
    </row>
    <row r="41" spans="1:12" ht="15">
      <c r="A41" s="1903">
        <v>45124</v>
      </c>
      <c r="B41" s="1903" t="s">
        <v>2518</v>
      </c>
      <c r="C41" s="1903" t="s">
        <v>4114</v>
      </c>
      <c r="D41" s="1909" t="s">
        <v>5638</v>
      </c>
      <c r="E41" s="1936">
        <v>13926.02</v>
      </c>
      <c r="F41" s="1933">
        <v>0</v>
      </c>
      <c r="G41" s="611">
        <v>1279.8900000000001</v>
      </c>
      <c r="H41" s="1645">
        <v>45184</v>
      </c>
      <c r="I41" s="1917"/>
      <c r="J41" s="1920"/>
      <c r="K41" s="1957"/>
      <c r="L41" s="226"/>
    </row>
    <row r="42" spans="1:12" ht="28.5">
      <c r="A42" s="1905"/>
      <c r="B42" s="1905"/>
      <c r="C42" s="1905"/>
      <c r="D42" s="1911"/>
      <c r="E42" s="1937"/>
      <c r="F42" s="1934"/>
      <c r="G42" s="611">
        <f>13926.02-1279.89</f>
        <v>12646.130000000001</v>
      </c>
      <c r="H42" s="1738">
        <v>45184</v>
      </c>
      <c r="I42" s="1752">
        <v>12646.130000000001</v>
      </c>
      <c r="J42" s="1738">
        <v>45196</v>
      </c>
      <c r="K42" s="1756" t="s">
        <v>6277</v>
      </c>
      <c r="L42" s="226"/>
    </row>
    <row r="43" spans="1:12" ht="15">
      <c r="A43" s="1738">
        <v>45146</v>
      </c>
      <c r="B43" s="1738" t="s">
        <v>2518</v>
      </c>
      <c r="C43" s="1738" t="s">
        <v>4114</v>
      </c>
      <c r="D43" s="1742" t="s">
        <v>5863</v>
      </c>
      <c r="E43" s="631">
        <v>-231.72</v>
      </c>
      <c r="F43" s="731">
        <v>0</v>
      </c>
      <c r="G43" s="611">
        <v>-231.73</v>
      </c>
      <c r="H43" s="1738"/>
      <c r="I43" s="1923">
        <v>-284.01</v>
      </c>
      <c r="J43" s="1903">
        <v>45162</v>
      </c>
      <c r="K43" s="1938" t="s">
        <v>5935</v>
      </c>
      <c r="L43" s="226"/>
    </row>
    <row r="44" spans="1:12" ht="15">
      <c r="A44" s="1738">
        <v>45146</v>
      </c>
      <c r="B44" s="1738" t="s">
        <v>2518</v>
      </c>
      <c r="C44" s="1738" t="s">
        <v>4114</v>
      </c>
      <c r="D44" s="1742" t="s">
        <v>5864</v>
      </c>
      <c r="E44" s="631">
        <v>-52.28</v>
      </c>
      <c r="F44" s="731">
        <v>0</v>
      </c>
      <c r="G44" s="611">
        <v>-52.28</v>
      </c>
      <c r="H44" s="1738"/>
      <c r="I44" s="1924"/>
      <c r="J44" s="1905"/>
      <c r="K44" s="1947"/>
      <c r="L44" s="226"/>
    </row>
    <row r="45" spans="1:12" ht="15">
      <c r="A45" s="1738">
        <v>45162</v>
      </c>
      <c r="B45" s="1738" t="s">
        <v>2518</v>
      </c>
      <c r="C45" s="1738" t="s">
        <v>4114</v>
      </c>
      <c r="D45" s="1742" t="s">
        <v>5919</v>
      </c>
      <c r="E45" s="631">
        <v>-197.97</v>
      </c>
      <c r="F45" s="731">
        <v>0</v>
      </c>
      <c r="G45" s="611">
        <v>-197.97</v>
      </c>
      <c r="H45" s="1738"/>
      <c r="I45" s="1923">
        <v>2353.87</v>
      </c>
      <c r="J45" s="1903">
        <v>45196</v>
      </c>
      <c r="K45" s="1938" t="s">
        <v>6278</v>
      </c>
      <c r="L45" s="226" t="s">
        <v>5921</v>
      </c>
    </row>
    <row r="46" spans="1:12" ht="15">
      <c r="A46" s="1738">
        <v>45163</v>
      </c>
      <c r="B46" s="1738" t="s">
        <v>2518</v>
      </c>
      <c r="C46" s="1738" t="s">
        <v>4114</v>
      </c>
      <c r="D46" s="1742" t="s">
        <v>5920</v>
      </c>
      <c r="E46" s="631">
        <v>-124.8</v>
      </c>
      <c r="F46" s="731">
        <v>0</v>
      </c>
      <c r="G46" s="611">
        <v>-124.8</v>
      </c>
      <c r="H46" s="1738"/>
      <c r="I46" s="1961"/>
      <c r="J46" s="1904"/>
      <c r="K46" s="1950"/>
      <c r="L46" s="226" t="s">
        <v>5922</v>
      </c>
    </row>
    <row r="47" spans="1:12" ht="28.5">
      <c r="A47" s="1738">
        <v>45187</v>
      </c>
      <c r="B47" s="1738" t="s">
        <v>2518</v>
      </c>
      <c r="C47" s="1738" t="s">
        <v>4114</v>
      </c>
      <c r="D47" s="1742" t="s">
        <v>6099</v>
      </c>
      <c r="E47" s="631">
        <v>-866</v>
      </c>
      <c r="F47" s="731">
        <v>0</v>
      </c>
      <c r="G47" s="611">
        <v>-866</v>
      </c>
      <c r="H47" s="1738">
        <v>45188</v>
      </c>
      <c r="I47" s="1961"/>
      <c r="J47" s="1904"/>
      <c r="K47" s="1950"/>
      <c r="L47" s="366" t="s">
        <v>6100</v>
      </c>
    </row>
    <row r="48" spans="1:12" ht="15">
      <c r="A48" s="1903">
        <v>45162</v>
      </c>
      <c r="B48" s="1903" t="s">
        <v>2518</v>
      </c>
      <c r="C48" s="1903" t="s">
        <v>4114</v>
      </c>
      <c r="D48" s="1909" t="s">
        <v>5917</v>
      </c>
      <c r="E48" s="1936">
        <v>8704.25</v>
      </c>
      <c r="F48" s="1933">
        <v>0</v>
      </c>
      <c r="G48" s="611">
        <v>3542.64</v>
      </c>
      <c r="H48" s="1798">
        <v>45251</v>
      </c>
      <c r="I48" s="1924"/>
      <c r="J48" s="1905"/>
      <c r="K48" s="1947"/>
      <c r="L48" s="226"/>
    </row>
    <row r="49" spans="1:12" ht="15">
      <c r="A49" s="1905"/>
      <c r="B49" s="1905"/>
      <c r="C49" s="1905"/>
      <c r="D49" s="1911"/>
      <c r="E49" s="1937"/>
      <c r="F49" s="1934"/>
      <c r="G49" s="611">
        <f>8704.26-3542.64</f>
        <v>5161.6200000000008</v>
      </c>
      <c r="H49" s="1798">
        <v>45251</v>
      </c>
      <c r="I49" s="1915">
        <v>20000</v>
      </c>
      <c r="J49" s="1918">
        <v>45229</v>
      </c>
      <c r="K49" s="1956" t="s">
        <v>6444</v>
      </c>
      <c r="L49" s="226"/>
    </row>
    <row r="50" spans="1:12" ht="15">
      <c r="A50" s="1798">
        <v>45162</v>
      </c>
      <c r="B50" s="1798" t="s">
        <v>2518</v>
      </c>
      <c r="C50" s="1798" t="s">
        <v>4114</v>
      </c>
      <c r="D50" s="1801" t="s">
        <v>5918</v>
      </c>
      <c r="E50" s="631">
        <v>6542.85</v>
      </c>
      <c r="F50" s="731">
        <v>0</v>
      </c>
      <c r="G50" s="611">
        <v>6542.85</v>
      </c>
      <c r="H50" s="1798">
        <v>45222</v>
      </c>
      <c r="I50" s="1916"/>
      <c r="J50" s="1919"/>
      <c r="K50" s="1962"/>
      <c r="L50" s="226"/>
    </row>
    <row r="51" spans="1:12" ht="15">
      <c r="A51" s="1798">
        <v>45181</v>
      </c>
      <c r="B51" s="1798" t="s">
        <v>2518</v>
      </c>
      <c r="C51" s="1798" t="s">
        <v>4114</v>
      </c>
      <c r="D51" s="1801" t="s">
        <v>6038</v>
      </c>
      <c r="E51" s="631">
        <v>4781</v>
      </c>
      <c r="F51" s="731">
        <v>0</v>
      </c>
      <c r="G51" s="611">
        <v>4781</v>
      </c>
      <c r="H51" s="1798">
        <v>45270.000497685185</v>
      </c>
      <c r="I51" s="1916"/>
      <c r="J51" s="1919"/>
      <c r="K51" s="1962"/>
      <c r="L51" s="226"/>
    </row>
    <row r="52" spans="1:12" ht="15">
      <c r="A52" s="1798">
        <v>45183</v>
      </c>
      <c r="B52" s="1798" t="s">
        <v>2518</v>
      </c>
      <c r="C52" s="1798" t="s">
        <v>4114</v>
      </c>
      <c r="D52" s="1801" t="s">
        <v>6039</v>
      </c>
      <c r="E52" s="631">
        <v>1113</v>
      </c>
      <c r="F52" s="731">
        <v>0</v>
      </c>
      <c r="G52" s="611">
        <v>1113</v>
      </c>
      <c r="H52" s="1798">
        <v>45272.000497685185</v>
      </c>
      <c r="I52" s="1916"/>
      <c r="J52" s="1919"/>
      <c r="K52" s="1962"/>
      <c r="L52" s="226"/>
    </row>
    <row r="53" spans="1:12" ht="15">
      <c r="A53" s="1903">
        <v>45210</v>
      </c>
      <c r="B53" s="1903" t="s">
        <v>2518</v>
      </c>
      <c r="C53" s="1903" t="s">
        <v>4114</v>
      </c>
      <c r="D53" s="1909" t="s">
        <v>6319</v>
      </c>
      <c r="E53" s="1936">
        <v>3180</v>
      </c>
      <c r="F53" s="1933">
        <v>0</v>
      </c>
      <c r="G53" s="611">
        <v>2401.5300000000002</v>
      </c>
      <c r="H53" s="1798">
        <v>45269</v>
      </c>
      <c r="I53" s="1917"/>
      <c r="J53" s="1920"/>
      <c r="K53" s="1957"/>
      <c r="L53" s="226"/>
    </row>
    <row r="54" spans="1:12" ht="15">
      <c r="A54" s="1905"/>
      <c r="B54" s="1905"/>
      <c r="C54" s="1905"/>
      <c r="D54" s="1911"/>
      <c r="E54" s="1937"/>
      <c r="F54" s="1934"/>
      <c r="G54" s="611">
        <f>3180-2401.53</f>
        <v>778.4699999999998</v>
      </c>
      <c r="H54" s="1835">
        <v>45269</v>
      </c>
      <c r="I54" s="1915">
        <v>4669.5</v>
      </c>
      <c r="J54" s="1918">
        <v>45235</v>
      </c>
      <c r="K54" s="1968" t="s">
        <v>6542</v>
      </c>
      <c r="L54" s="226"/>
    </row>
    <row r="55" spans="1:12" ht="15">
      <c r="A55" s="1941">
        <v>45210</v>
      </c>
      <c r="B55" s="1941" t="s">
        <v>2518</v>
      </c>
      <c r="C55" s="1941" t="s">
        <v>4114</v>
      </c>
      <c r="D55" s="1954" t="s">
        <v>6320</v>
      </c>
      <c r="E55" s="2388">
        <v>19933.13</v>
      </c>
      <c r="F55" s="2184">
        <v>0</v>
      </c>
      <c r="G55" s="611">
        <v>3891.03</v>
      </c>
      <c r="H55" s="1835">
        <v>45269</v>
      </c>
      <c r="I55" s="1917"/>
      <c r="J55" s="1920"/>
      <c r="K55" s="1957"/>
      <c r="L55" s="226"/>
    </row>
    <row r="56" spans="1:12" ht="15">
      <c r="A56" s="1942"/>
      <c r="B56" s="1942"/>
      <c r="C56" s="1942"/>
      <c r="D56" s="1955"/>
      <c r="E56" s="2389"/>
      <c r="F56" s="2185"/>
      <c r="G56" s="605">
        <f>19933.13-3891.03</f>
        <v>16042.1</v>
      </c>
      <c r="H56" s="623">
        <v>45269</v>
      </c>
      <c r="I56" s="1834"/>
      <c r="J56" s="1832"/>
      <c r="K56" s="1831"/>
      <c r="L56" s="226"/>
    </row>
    <row r="57" spans="1:12" ht="15">
      <c r="A57" s="623">
        <v>45215.333831018521</v>
      </c>
      <c r="B57" s="623" t="s">
        <v>2518</v>
      </c>
      <c r="C57" s="623" t="s">
        <v>4114</v>
      </c>
      <c r="D57" s="624" t="s">
        <v>6362</v>
      </c>
      <c r="E57" s="606">
        <v>-187.57</v>
      </c>
      <c r="F57" s="732">
        <v>0</v>
      </c>
      <c r="G57" s="605">
        <v>-187.57</v>
      </c>
      <c r="H57" s="623" t="s">
        <v>1529</v>
      </c>
      <c r="I57" s="1646"/>
      <c r="J57" s="1641"/>
      <c r="K57" s="1639"/>
      <c r="L57" s="226"/>
    </row>
    <row r="58" spans="1:12" ht="15">
      <c r="A58" s="623">
        <v>45215.333831018521</v>
      </c>
      <c r="B58" s="623" t="s">
        <v>2518</v>
      </c>
      <c r="C58" s="623" t="s">
        <v>4114</v>
      </c>
      <c r="D58" s="624" t="s">
        <v>6363</v>
      </c>
      <c r="E58" s="606">
        <v>-33.619999999999997</v>
      </c>
      <c r="F58" s="732">
        <v>0</v>
      </c>
      <c r="G58" s="605">
        <v>-33.619999999999997</v>
      </c>
      <c r="H58" s="623" t="s">
        <v>1529</v>
      </c>
      <c r="I58" s="1498"/>
      <c r="J58" s="1284"/>
      <c r="K58" s="1283"/>
      <c r="L58" s="226"/>
    </row>
    <row r="59" spans="1:12" ht="15">
      <c r="A59" s="623">
        <v>45225</v>
      </c>
      <c r="B59" s="623" t="s">
        <v>2518</v>
      </c>
      <c r="C59" s="623" t="s">
        <v>4114</v>
      </c>
      <c r="D59" s="624" t="s">
        <v>6418</v>
      </c>
      <c r="E59" s="606">
        <v>164.85</v>
      </c>
      <c r="F59" s="732">
        <v>0</v>
      </c>
      <c r="G59" s="605">
        <v>164.85</v>
      </c>
      <c r="H59" s="623">
        <v>45314</v>
      </c>
      <c r="I59" s="1786"/>
      <c r="J59" s="1780"/>
      <c r="K59" s="1778"/>
      <c r="L59" s="226"/>
    </row>
    <row r="60" spans="1:12" ht="15">
      <c r="A60" s="623">
        <v>45226</v>
      </c>
      <c r="B60" s="623" t="s">
        <v>2518</v>
      </c>
      <c r="C60" s="623" t="s">
        <v>4114</v>
      </c>
      <c r="D60" s="624" t="s">
        <v>6419</v>
      </c>
      <c r="E60" s="606">
        <v>10661.63</v>
      </c>
      <c r="F60" s="732">
        <v>0</v>
      </c>
      <c r="G60" s="605">
        <v>10661.63</v>
      </c>
      <c r="H60" s="623">
        <v>45285</v>
      </c>
      <c r="I60" s="1786"/>
      <c r="J60" s="1780"/>
      <c r="K60" s="1778"/>
      <c r="L60" s="226"/>
    </row>
    <row r="61" spans="1:12" ht="15">
      <c r="A61" s="623"/>
      <c r="B61" s="623"/>
      <c r="C61" s="623"/>
      <c r="D61" s="624"/>
      <c r="E61" s="606"/>
      <c r="F61" s="732"/>
      <c r="G61" s="605"/>
      <c r="H61" s="623"/>
      <c r="I61" s="1786"/>
      <c r="J61" s="1780"/>
      <c r="K61" s="1778"/>
      <c r="L61" s="226"/>
    </row>
    <row r="62" spans="1:12" ht="15">
      <c r="A62" s="623"/>
      <c r="B62" s="623"/>
      <c r="C62" s="623"/>
      <c r="D62" s="624"/>
      <c r="E62" s="606"/>
      <c r="F62" s="732"/>
      <c r="G62" s="605"/>
      <c r="H62" s="623"/>
      <c r="I62" s="1786"/>
      <c r="J62" s="1780"/>
      <c r="K62" s="1778"/>
      <c r="L62" s="226"/>
    </row>
    <row r="63" spans="1:12" ht="15">
      <c r="A63" s="623"/>
      <c r="B63" s="623"/>
      <c r="C63" s="623"/>
      <c r="D63" s="624"/>
      <c r="E63" s="606"/>
      <c r="F63" s="732"/>
      <c r="G63" s="605"/>
      <c r="H63" s="623"/>
      <c r="I63" s="1786"/>
      <c r="J63" s="1780"/>
      <c r="K63" s="1778"/>
      <c r="L63" s="226"/>
    </row>
    <row r="64" spans="1:12" ht="15">
      <c r="A64" s="623"/>
      <c r="B64" s="623"/>
      <c r="C64" s="623"/>
      <c r="D64" s="624"/>
      <c r="E64" s="606"/>
      <c r="F64" s="732"/>
      <c r="G64" s="605"/>
      <c r="H64" s="623"/>
      <c r="I64" s="1786"/>
      <c r="J64" s="1780"/>
      <c r="K64" s="1778"/>
      <c r="L64" s="226"/>
    </row>
    <row r="65" spans="1:12" ht="15">
      <c r="A65" s="623"/>
      <c r="B65" s="623"/>
      <c r="C65" s="623"/>
      <c r="D65" s="624"/>
      <c r="E65" s="606"/>
      <c r="F65" s="732"/>
      <c r="G65" s="605"/>
      <c r="H65" s="623"/>
      <c r="I65" s="1498"/>
      <c r="J65" s="1284"/>
      <c r="K65" s="1283"/>
      <c r="L65" s="226"/>
    </row>
    <row r="66" spans="1:12" ht="15">
      <c r="A66" s="623"/>
      <c r="B66" s="623"/>
      <c r="C66" s="623"/>
      <c r="D66" s="624"/>
      <c r="E66" s="606"/>
      <c r="F66" s="732"/>
      <c r="G66" s="605"/>
      <c r="H66" s="623"/>
      <c r="I66" s="1498"/>
      <c r="J66" s="1019"/>
      <c r="K66" s="1165"/>
      <c r="L66" s="226"/>
    </row>
    <row r="67" spans="1:12" ht="15">
      <c r="A67" s="623"/>
      <c r="B67" s="623"/>
      <c r="C67" s="623"/>
      <c r="D67" s="624"/>
      <c r="E67" s="606"/>
      <c r="F67" s="732"/>
      <c r="G67" s="605"/>
      <c r="H67" s="623"/>
      <c r="I67" s="1498"/>
      <c r="J67" s="620"/>
      <c r="K67" s="1165"/>
      <c r="L67" s="226"/>
    </row>
    <row r="68" spans="1:12" ht="15">
      <c r="A68" s="621"/>
      <c r="B68" s="1125"/>
      <c r="C68" s="1125"/>
      <c r="D68" s="621"/>
      <c r="E68" s="619"/>
      <c r="F68" s="1144" t="s">
        <v>545</v>
      </c>
      <c r="G68" s="651">
        <f>SUM(G2:G67)-SUM(I2:I67)</f>
        <v>26647.390000000043</v>
      </c>
      <c r="H68" s="634"/>
      <c r="I68" s="1498"/>
      <c r="J68" s="620"/>
      <c r="K68" s="226"/>
      <c r="L68" s="226"/>
    </row>
  </sheetData>
  <mergeCells count="114">
    <mergeCell ref="E41:E42"/>
    <mergeCell ref="D41:D42"/>
    <mergeCell ref="C41:C42"/>
    <mergeCell ref="B41:B42"/>
    <mergeCell ref="A41:A42"/>
    <mergeCell ref="F41:F42"/>
    <mergeCell ref="K43:K44"/>
    <mergeCell ref="K40:K41"/>
    <mergeCell ref="J40:J41"/>
    <mergeCell ref="J43:J44"/>
    <mergeCell ref="I43:I44"/>
    <mergeCell ref="I40:I41"/>
    <mergeCell ref="F39:F40"/>
    <mergeCell ref="E39:E40"/>
    <mergeCell ref="D39:D40"/>
    <mergeCell ref="C39:C40"/>
    <mergeCell ref="B39:B40"/>
    <mergeCell ref="A39:A40"/>
    <mergeCell ref="K36:K39"/>
    <mergeCell ref="J36:J39"/>
    <mergeCell ref="I36:I39"/>
    <mergeCell ref="K27:K31"/>
    <mergeCell ref="J27:J31"/>
    <mergeCell ref="I27:I31"/>
    <mergeCell ref="F31:F32"/>
    <mergeCell ref="E31:E32"/>
    <mergeCell ref="D31:D32"/>
    <mergeCell ref="C31:C32"/>
    <mergeCell ref="B31:B32"/>
    <mergeCell ref="B25:B27"/>
    <mergeCell ref="K22:K25"/>
    <mergeCell ref="J22:J25"/>
    <mergeCell ref="D25:D27"/>
    <mergeCell ref="C25:C27"/>
    <mergeCell ref="I22:I25"/>
    <mergeCell ref="F25:F27"/>
    <mergeCell ref="E25:E27"/>
    <mergeCell ref="F21:F22"/>
    <mergeCell ref="E21:E22"/>
    <mergeCell ref="K32:K34"/>
    <mergeCell ref="J32:J34"/>
    <mergeCell ref="I32:I34"/>
    <mergeCell ref="K2:K7"/>
    <mergeCell ref="J2:J7"/>
    <mergeCell ref="I2:I7"/>
    <mergeCell ref="K10:K14"/>
    <mergeCell ref="J10:J14"/>
    <mergeCell ref="I10:I14"/>
    <mergeCell ref="C16:C17"/>
    <mergeCell ref="B16:B17"/>
    <mergeCell ref="D21:D22"/>
    <mergeCell ref="C21:C22"/>
    <mergeCell ref="B21:B22"/>
    <mergeCell ref="C19:C20"/>
    <mergeCell ref="B19:B20"/>
    <mergeCell ref="D16:D17"/>
    <mergeCell ref="K15:K16"/>
    <mergeCell ref="J15:J16"/>
    <mergeCell ref="I15:I16"/>
    <mergeCell ref="K20:K21"/>
    <mergeCell ref="J20:J21"/>
    <mergeCell ref="I20:I21"/>
    <mergeCell ref="K17:K19"/>
    <mergeCell ref="J17:J19"/>
    <mergeCell ref="I17:I19"/>
    <mergeCell ref="F19:F20"/>
    <mergeCell ref="C48:C49"/>
    <mergeCell ref="D48:D49"/>
    <mergeCell ref="E48:E49"/>
    <mergeCell ref="C7:C8"/>
    <mergeCell ref="B7:B8"/>
    <mergeCell ref="F16:F17"/>
    <mergeCell ref="A35:A36"/>
    <mergeCell ref="F35:F36"/>
    <mergeCell ref="E35:E36"/>
    <mergeCell ref="D35:D36"/>
    <mergeCell ref="C35:C36"/>
    <mergeCell ref="B35:B36"/>
    <mergeCell ref="D7:D8"/>
    <mergeCell ref="A16:A17"/>
    <mergeCell ref="A19:A20"/>
    <mergeCell ref="D19:D20"/>
    <mergeCell ref="A7:A8"/>
    <mergeCell ref="F7:F8"/>
    <mergeCell ref="E7:E8"/>
    <mergeCell ref="A31:A32"/>
    <mergeCell ref="A25:A27"/>
    <mergeCell ref="A21:A22"/>
    <mergeCell ref="E19:E20"/>
    <mergeCell ref="E16:E17"/>
    <mergeCell ref="A55:A56"/>
    <mergeCell ref="B55:B56"/>
    <mergeCell ref="C55:C56"/>
    <mergeCell ref="D55:D56"/>
    <mergeCell ref="E55:E56"/>
    <mergeCell ref="F55:F56"/>
    <mergeCell ref="K54:K55"/>
    <mergeCell ref="J54:J55"/>
    <mergeCell ref="I54:I55"/>
    <mergeCell ref="F53:F54"/>
    <mergeCell ref="K49:K53"/>
    <mergeCell ref="J49:J53"/>
    <mergeCell ref="I49:I53"/>
    <mergeCell ref="A53:A54"/>
    <mergeCell ref="B53:B54"/>
    <mergeCell ref="C53:C54"/>
    <mergeCell ref="D53:D54"/>
    <mergeCell ref="E53:E54"/>
    <mergeCell ref="F48:F49"/>
    <mergeCell ref="K45:K48"/>
    <mergeCell ref="J45:J48"/>
    <mergeCell ref="I45:I48"/>
    <mergeCell ref="A48:A49"/>
    <mergeCell ref="B48:B49"/>
  </mergeCells>
  <phoneticPr fontId="15" type="noConversion"/>
  <hyperlinks>
    <hyperlink ref="F68" location="汇总!A1" display="剩余欠款"/>
  </hyperlinks>
  <pageMargins left="0.7" right="0.7" top="0.75" bottom="0.75" header="0.3" footer="0.3"/>
  <pageSetup paperSize="9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/>
  <dimension ref="A1:L35"/>
  <sheetViews>
    <sheetView workbookViewId="0">
      <pane ySplit="1" topLeftCell="A5" activePane="bottomLeft" state="frozen"/>
      <selection activeCell="C33" sqref="C33"/>
      <selection pane="bottomLeft" activeCell="F35" sqref="F35"/>
    </sheetView>
  </sheetViews>
  <sheetFormatPr defaultColWidth="8.75" defaultRowHeight="14.25"/>
  <cols>
    <col min="1" max="1" width="13" style="168" customWidth="1"/>
    <col min="2" max="2" width="9" style="168" bestFit="1" customWidth="1"/>
    <col min="3" max="3" width="25.75" style="168" bestFit="1" customWidth="1"/>
    <col min="4" max="6" width="15" style="168" customWidth="1"/>
    <col min="7" max="7" width="11.375" style="168" bestFit="1" customWidth="1"/>
    <col min="8" max="8" width="16.625" style="168" bestFit="1" customWidth="1"/>
    <col min="9" max="9" width="12.875" style="168" customWidth="1"/>
    <col min="10" max="10" width="15" style="168" bestFit="1" customWidth="1"/>
    <col min="11" max="11" width="21.625" style="168" bestFit="1" customWidth="1"/>
    <col min="12" max="12" width="16.125" style="168" bestFit="1" customWidth="1"/>
    <col min="13" max="16384" width="8.75" style="168"/>
  </cols>
  <sheetData>
    <row r="1" spans="1:12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7" t="s">
        <v>542</v>
      </c>
    </row>
    <row r="2" spans="1:12" ht="15">
      <c r="A2" s="841">
        <v>44795</v>
      </c>
      <c r="B2" s="1124" t="s">
        <v>2518</v>
      </c>
      <c r="C2" s="1124" t="s">
        <v>4405</v>
      </c>
      <c r="D2" s="842" t="s">
        <v>2867</v>
      </c>
      <c r="E2" s="631">
        <v>1810.35</v>
      </c>
      <c r="F2" s="731">
        <v>0</v>
      </c>
      <c r="G2" s="611">
        <v>1810.35</v>
      </c>
      <c r="H2" s="841">
        <v>44796</v>
      </c>
      <c r="I2" s="611">
        <v>1810.35</v>
      </c>
      <c r="J2" s="1527">
        <v>44844</v>
      </c>
      <c r="K2" s="836" t="s">
        <v>3270</v>
      </c>
      <c r="L2" s="226"/>
    </row>
    <row r="3" spans="1:12" ht="15">
      <c r="A3" s="991">
        <v>44839</v>
      </c>
      <c r="B3" s="1124" t="s">
        <v>2518</v>
      </c>
      <c r="C3" s="1124" t="s">
        <v>4405</v>
      </c>
      <c r="D3" s="992" t="s">
        <v>3217</v>
      </c>
      <c r="E3" s="631">
        <v>1479.3</v>
      </c>
      <c r="F3" s="731">
        <v>0</v>
      </c>
      <c r="G3" s="611">
        <v>1479.3</v>
      </c>
      <c r="H3" s="991">
        <v>44840</v>
      </c>
      <c r="I3" s="611">
        <v>1479.3</v>
      </c>
      <c r="J3" s="1527">
        <v>44893</v>
      </c>
      <c r="K3" s="929" t="s">
        <v>3646</v>
      </c>
      <c r="L3" s="226"/>
    </row>
    <row r="4" spans="1:12" ht="15">
      <c r="A4" s="1031">
        <v>44867.000497685185</v>
      </c>
      <c r="B4" s="1124" t="s">
        <v>2518</v>
      </c>
      <c r="C4" s="1124" t="s">
        <v>4405</v>
      </c>
      <c r="D4" s="1036" t="s">
        <v>3410</v>
      </c>
      <c r="E4" s="631">
        <v>1139.5999999999999</v>
      </c>
      <c r="F4" s="731">
        <v>0</v>
      </c>
      <c r="G4" s="611">
        <v>1139.5999999999999</v>
      </c>
      <c r="H4" s="1031">
        <v>44868.000497685185</v>
      </c>
      <c r="I4" s="611">
        <v>1139.5999999999999</v>
      </c>
      <c r="J4" s="1527">
        <v>44911</v>
      </c>
      <c r="K4" s="925" t="s">
        <v>3722</v>
      </c>
      <c r="L4" s="226"/>
    </row>
    <row r="5" spans="1:12" ht="15">
      <c r="A5" s="1258">
        <v>44907</v>
      </c>
      <c r="B5" s="1258" t="s">
        <v>2644</v>
      </c>
      <c r="C5" s="1258" t="s">
        <v>4405</v>
      </c>
      <c r="D5" s="1262" t="s">
        <v>3694</v>
      </c>
      <c r="E5" s="631">
        <v>1513.2</v>
      </c>
      <c r="F5" s="731">
        <v>0</v>
      </c>
      <c r="G5" s="611">
        <v>1513.2</v>
      </c>
      <c r="H5" s="1258">
        <v>44908</v>
      </c>
      <c r="I5" s="1923">
        <v>1502.74</v>
      </c>
      <c r="J5" s="1903">
        <v>44935</v>
      </c>
      <c r="K5" s="1968" t="s">
        <v>3928</v>
      </c>
      <c r="L5" s="226"/>
    </row>
    <row r="6" spans="1:12" ht="15">
      <c r="A6" s="1258">
        <v>44911</v>
      </c>
      <c r="B6" s="1258" t="s">
        <v>2644</v>
      </c>
      <c r="C6" s="1258" t="s">
        <v>4405</v>
      </c>
      <c r="D6" s="1262" t="s">
        <v>3695</v>
      </c>
      <c r="E6" s="631">
        <v>-10.46</v>
      </c>
      <c r="F6" s="731">
        <v>0</v>
      </c>
      <c r="G6" s="611">
        <v>-10.46</v>
      </c>
      <c r="H6" s="1258"/>
      <c r="I6" s="1924"/>
      <c r="J6" s="1905"/>
      <c r="K6" s="1957"/>
      <c r="L6" s="226"/>
    </row>
    <row r="7" spans="1:12" ht="15">
      <c r="A7" s="1258">
        <v>44936</v>
      </c>
      <c r="B7" s="1258" t="s">
        <v>2644</v>
      </c>
      <c r="C7" s="1258" t="s">
        <v>4405</v>
      </c>
      <c r="D7" s="1262" t="s">
        <v>3890</v>
      </c>
      <c r="E7" s="631">
        <v>1732.48</v>
      </c>
      <c r="F7" s="731">
        <v>0</v>
      </c>
      <c r="G7" s="611">
        <v>1732.48</v>
      </c>
      <c r="H7" s="1258">
        <v>44996</v>
      </c>
      <c r="I7" s="1951">
        <v>3133.76</v>
      </c>
      <c r="J7" s="1903">
        <v>45007</v>
      </c>
      <c r="K7" s="1956" t="s">
        <v>4581</v>
      </c>
      <c r="L7" s="226"/>
    </row>
    <row r="8" spans="1:12" ht="15">
      <c r="A8" s="1258">
        <v>44963.000497685185</v>
      </c>
      <c r="B8" s="1258" t="s">
        <v>2644</v>
      </c>
      <c r="C8" s="1258" t="s">
        <v>4405</v>
      </c>
      <c r="D8" s="1262" t="s">
        <v>4080</v>
      </c>
      <c r="E8" s="631">
        <v>1415.6</v>
      </c>
      <c r="F8" s="731">
        <v>0</v>
      </c>
      <c r="G8" s="611">
        <v>1415.6</v>
      </c>
      <c r="H8" s="1258">
        <v>45008.000497685185</v>
      </c>
      <c r="I8" s="1952"/>
      <c r="J8" s="1904"/>
      <c r="K8" s="1962"/>
      <c r="L8" s="226"/>
    </row>
    <row r="9" spans="1:12" ht="15">
      <c r="A9" s="1258">
        <v>45007</v>
      </c>
      <c r="B9" s="1258" t="s">
        <v>2644</v>
      </c>
      <c r="C9" s="1258" t="s">
        <v>4405</v>
      </c>
      <c r="D9" s="1262" t="s">
        <v>4546</v>
      </c>
      <c r="E9" s="631">
        <v>-14.32</v>
      </c>
      <c r="F9" s="731">
        <v>0</v>
      </c>
      <c r="G9" s="611">
        <v>-14.32</v>
      </c>
      <c r="H9" s="1258"/>
      <c r="I9" s="1953"/>
      <c r="J9" s="1905"/>
      <c r="K9" s="1957"/>
      <c r="L9" s="226"/>
    </row>
    <row r="10" spans="1:12" ht="15">
      <c r="A10" s="1403">
        <v>44987</v>
      </c>
      <c r="B10" s="1403" t="s">
        <v>2644</v>
      </c>
      <c r="C10" s="1403" t="s">
        <v>4405</v>
      </c>
      <c r="D10" s="1405" t="s">
        <v>4359</v>
      </c>
      <c r="E10" s="631">
        <v>993.25</v>
      </c>
      <c r="F10" s="731">
        <v>0</v>
      </c>
      <c r="G10" s="611">
        <v>993.25</v>
      </c>
      <c r="H10" s="1403">
        <v>45032</v>
      </c>
      <c r="I10" s="1951">
        <v>2643.73</v>
      </c>
      <c r="J10" s="1903">
        <v>45061</v>
      </c>
      <c r="K10" s="1956" t="s">
        <v>5133</v>
      </c>
      <c r="L10" s="226"/>
    </row>
    <row r="11" spans="1:12" ht="15">
      <c r="A11" s="1403">
        <v>45001</v>
      </c>
      <c r="B11" s="1403" t="s">
        <v>2644</v>
      </c>
      <c r="C11" s="1403" t="s">
        <v>4405</v>
      </c>
      <c r="D11" s="1405" t="s">
        <v>4492</v>
      </c>
      <c r="E11" s="631">
        <v>422.4</v>
      </c>
      <c r="F11" s="731">
        <v>0</v>
      </c>
      <c r="G11" s="611">
        <v>422.4</v>
      </c>
      <c r="H11" s="1403">
        <v>45046</v>
      </c>
      <c r="I11" s="1952"/>
      <c r="J11" s="1904"/>
      <c r="K11" s="1962"/>
      <c r="L11" s="226"/>
    </row>
    <row r="12" spans="1:12" ht="15">
      <c r="A12" s="1403">
        <v>45001</v>
      </c>
      <c r="B12" s="1403" t="s">
        <v>2644</v>
      </c>
      <c r="C12" s="1403" t="s">
        <v>4405</v>
      </c>
      <c r="D12" s="1405" t="s">
        <v>4493</v>
      </c>
      <c r="E12" s="631">
        <v>1228.08</v>
      </c>
      <c r="F12" s="731">
        <v>0</v>
      </c>
      <c r="G12" s="611">
        <v>1228.08</v>
      </c>
      <c r="H12" s="1403">
        <v>45046</v>
      </c>
      <c r="I12" s="1953"/>
      <c r="J12" s="1905"/>
      <c r="K12" s="1957"/>
      <c r="L12" s="226"/>
    </row>
    <row r="13" spans="1:12" ht="15">
      <c r="A13" s="1456">
        <v>45020</v>
      </c>
      <c r="B13" s="1456" t="s">
        <v>2644</v>
      </c>
      <c r="C13" s="1456" t="s">
        <v>4405</v>
      </c>
      <c r="D13" s="1461" t="s">
        <v>4673</v>
      </c>
      <c r="E13" s="631">
        <v>1014.85</v>
      </c>
      <c r="F13" s="731">
        <v>0</v>
      </c>
      <c r="G13" s="611">
        <v>1014.85</v>
      </c>
      <c r="H13" s="1456">
        <v>45065</v>
      </c>
      <c r="I13" s="611">
        <v>1014.85</v>
      </c>
      <c r="J13" s="1527">
        <v>45086</v>
      </c>
      <c r="K13" s="1283" t="s">
        <v>5357</v>
      </c>
      <c r="L13" s="226"/>
    </row>
    <row r="14" spans="1:12" ht="15">
      <c r="A14" s="1527">
        <v>45054</v>
      </c>
      <c r="B14" s="1527" t="s">
        <v>2644</v>
      </c>
      <c r="C14" s="1527" t="s">
        <v>4405</v>
      </c>
      <c r="D14" s="1530" t="s">
        <v>4974</v>
      </c>
      <c r="E14" s="631">
        <v>290.39999999999998</v>
      </c>
      <c r="F14" s="731">
        <v>0</v>
      </c>
      <c r="G14" s="611">
        <v>290.39999999999998</v>
      </c>
      <c r="H14" s="1527">
        <v>45114</v>
      </c>
      <c r="I14" s="1951">
        <v>3372.21</v>
      </c>
      <c r="J14" s="1903">
        <v>45121</v>
      </c>
      <c r="K14" s="1968" t="s">
        <v>5609</v>
      </c>
      <c r="L14" s="226"/>
    </row>
    <row r="15" spans="1:12" ht="15">
      <c r="A15" s="1527">
        <v>45054</v>
      </c>
      <c r="B15" s="1527" t="s">
        <v>2644</v>
      </c>
      <c r="C15" s="1527" t="s">
        <v>4405</v>
      </c>
      <c r="D15" s="1530" t="s">
        <v>4975</v>
      </c>
      <c r="E15" s="631">
        <v>1619.5</v>
      </c>
      <c r="F15" s="731">
        <v>0</v>
      </c>
      <c r="G15" s="611">
        <v>1619.5</v>
      </c>
      <c r="H15" s="1527">
        <v>45099</v>
      </c>
      <c r="I15" s="1952"/>
      <c r="J15" s="1904"/>
      <c r="K15" s="1962"/>
      <c r="L15" s="226"/>
    </row>
    <row r="16" spans="1:12" ht="15">
      <c r="A16" s="1527">
        <v>45072</v>
      </c>
      <c r="B16" s="1527" t="s">
        <v>2644</v>
      </c>
      <c r="C16" s="1527" t="s">
        <v>4405</v>
      </c>
      <c r="D16" s="1530" t="s">
        <v>5207</v>
      </c>
      <c r="E16" s="631">
        <v>1477.2</v>
      </c>
      <c r="F16" s="731">
        <v>0</v>
      </c>
      <c r="G16" s="611">
        <v>1477.2</v>
      </c>
      <c r="H16" s="1527">
        <v>45117</v>
      </c>
      <c r="I16" s="1952"/>
      <c r="J16" s="1904"/>
      <c r="K16" s="1962"/>
      <c r="L16" s="226"/>
    </row>
    <row r="17" spans="1:12" ht="15">
      <c r="A17" s="1527">
        <v>45086</v>
      </c>
      <c r="B17" s="1527" t="s">
        <v>2644</v>
      </c>
      <c r="C17" s="1527" t="s">
        <v>4405</v>
      </c>
      <c r="D17" s="1530" t="s">
        <v>5325</v>
      </c>
      <c r="E17" s="631">
        <v>-14.89</v>
      </c>
      <c r="F17" s="731">
        <v>0</v>
      </c>
      <c r="G17" s="611">
        <v>-14.89</v>
      </c>
      <c r="H17" s="1527"/>
      <c r="I17" s="1953"/>
      <c r="J17" s="1905"/>
      <c r="K17" s="1957"/>
      <c r="L17" s="226"/>
    </row>
    <row r="18" spans="1:12" ht="15">
      <c r="A18" s="1527">
        <v>45086</v>
      </c>
      <c r="B18" s="1527" t="s">
        <v>2644</v>
      </c>
      <c r="C18" s="1527" t="s">
        <v>4405</v>
      </c>
      <c r="D18" s="1530" t="s">
        <v>5326</v>
      </c>
      <c r="E18" s="631">
        <v>-19.28</v>
      </c>
      <c r="F18" s="731">
        <v>0</v>
      </c>
      <c r="G18" s="611">
        <v>-19.28</v>
      </c>
      <c r="H18" s="1527"/>
      <c r="I18" s="611">
        <v>-19.28</v>
      </c>
      <c r="J18" s="1527">
        <v>45121</v>
      </c>
      <c r="K18" s="1451" t="s">
        <v>5610</v>
      </c>
      <c r="L18" s="226"/>
    </row>
    <row r="19" spans="1:12" ht="15">
      <c r="A19" s="1645">
        <v>45090</v>
      </c>
      <c r="B19" s="1645" t="s">
        <v>2644</v>
      </c>
      <c r="C19" s="1645" t="s">
        <v>4405</v>
      </c>
      <c r="D19" s="1648" t="s">
        <v>5374</v>
      </c>
      <c r="E19" s="631">
        <v>1469.7</v>
      </c>
      <c r="F19" s="731">
        <v>0</v>
      </c>
      <c r="G19" s="611">
        <v>1469.7</v>
      </c>
      <c r="H19" s="1645">
        <v>45135</v>
      </c>
      <c r="I19" s="1951">
        <v>3461.53</v>
      </c>
      <c r="J19" s="1903">
        <v>45159</v>
      </c>
      <c r="K19" s="1935" t="s">
        <v>6440</v>
      </c>
      <c r="L19" s="226"/>
    </row>
    <row r="20" spans="1:12" ht="15">
      <c r="A20" s="1645">
        <v>45111</v>
      </c>
      <c r="B20" s="1645" t="s">
        <v>2644</v>
      </c>
      <c r="C20" s="1645" t="s">
        <v>4405</v>
      </c>
      <c r="D20" s="1648" t="s">
        <v>5545</v>
      </c>
      <c r="E20" s="631">
        <v>1052.9000000000001</v>
      </c>
      <c r="F20" s="731">
        <v>0</v>
      </c>
      <c r="G20" s="611">
        <v>1052.9000000000001</v>
      </c>
      <c r="H20" s="1645">
        <v>45156</v>
      </c>
      <c r="I20" s="1952"/>
      <c r="J20" s="1904"/>
      <c r="K20" s="1950"/>
      <c r="L20" s="226"/>
    </row>
    <row r="21" spans="1:12" ht="15">
      <c r="A21" s="1645">
        <v>45117</v>
      </c>
      <c r="B21" s="1645" t="s">
        <v>2644</v>
      </c>
      <c r="C21" s="1645" t="s">
        <v>4405</v>
      </c>
      <c r="D21" s="1648" t="s">
        <v>5584</v>
      </c>
      <c r="E21" s="631">
        <v>938.93</v>
      </c>
      <c r="F21" s="731">
        <v>0</v>
      </c>
      <c r="G21" s="611">
        <v>938.93</v>
      </c>
      <c r="H21" s="1645">
        <v>45162</v>
      </c>
      <c r="I21" s="1953"/>
      <c r="J21" s="1905"/>
      <c r="K21" s="1947"/>
      <c r="L21" s="226"/>
    </row>
    <row r="22" spans="1:12" ht="15">
      <c r="A22" s="1798">
        <v>45138</v>
      </c>
      <c r="B22" s="1798" t="s">
        <v>2644</v>
      </c>
      <c r="C22" s="1798" t="s">
        <v>4405</v>
      </c>
      <c r="D22" s="1801" t="s">
        <v>5739</v>
      </c>
      <c r="E22" s="631">
        <v>1022.95</v>
      </c>
      <c r="F22" s="731">
        <v>0</v>
      </c>
      <c r="G22" s="611">
        <v>1022.95</v>
      </c>
      <c r="H22" s="1798">
        <v>45183</v>
      </c>
      <c r="I22" s="1951">
        <v>2866.04</v>
      </c>
      <c r="J22" s="1903">
        <v>45222</v>
      </c>
      <c r="K22" s="1935" t="s">
        <v>6441</v>
      </c>
      <c r="L22" s="226"/>
    </row>
    <row r="23" spans="1:12" ht="15">
      <c r="A23" s="1798">
        <v>45156</v>
      </c>
      <c r="B23" s="1798" t="s">
        <v>5522</v>
      </c>
      <c r="C23" s="1798" t="s">
        <v>4405</v>
      </c>
      <c r="D23" s="1801" t="s">
        <v>5891</v>
      </c>
      <c r="E23" s="631">
        <v>1088.8399999999999</v>
      </c>
      <c r="F23" s="731">
        <v>0</v>
      </c>
      <c r="G23" s="611">
        <v>1088.8399999999999</v>
      </c>
      <c r="H23" s="1798">
        <v>45201</v>
      </c>
      <c r="I23" s="1952"/>
      <c r="J23" s="1904"/>
      <c r="K23" s="1950"/>
      <c r="L23" s="226"/>
    </row>
    <row r="24" spans="1:12" ht="15">
      <c r="A24" s="1798">
        <v>45177</v>
      </c>
      <c r="B24" s="1798" t="s">
        <v>5522</v>
      </c>
      <c r="C24" s="1798" t="s">
        <v>4405</v>
      </c>
      <c r="D24" s="1801" t="s">
        <v>5996</v>
      </c>
      <c r="E24" s="631">
        <v>-314.10000000000002</v>
      </c>
      <c r="F24" s="731">
        <v>0</v>
      </c>
      <c r="G24" s="611">
        <v>-314.10000000000002</v>
      </c>
      <c r="H24" s="1798"/>
      <c r="I24" s="1952"/>
      <c r="J24" s="1904"/>
      <c r="K24" s="1950"/>
      <c r="L24" s="226"/>
    </row>
    <row r="25" spans="1:12" ht="15">
      <c r="A25" s="1798">
        <v>45182</v>
      </c>
      <c r="B25" s="1798" t="s">
        <v>5522</v>
      </c>
      <c r="C25" s="1798" t="s">
        <v>4405</v>
      </c>
      <c r="D25" s="1801" t="s">
        <v>6034</v>
      </c>
      <c r="E25" s="631">
        <v>1068.3499999999999</v>
      </c>
      <c r="F25" s="731">
        <v>0</v>
      </c>
      <c r="G25" s="611">
        <v>1068.3499999999999</v>
      </c>
      <c r="H25" s="1798">
        <v>45227.000497685185</v>
      </c>
      <c r="I25" s="1953"/>
      <c r="J25" s="1905"/>
      <c r="K25" s="1947"/>
      <c r="L25" s="226"/>
    </row>
    <row r="26" spans="1:12" ht="15">
      <c r="A26" s="623">
        <v>45209</v>
      </c>
      <c r="B26" s="623" t="s">
        <v>5522</v>
      </c>
      <c r="C26" s="623" t="s">
        <v>4405</v>
      </c>
      <c r="D26" s="624" t="s">
        <v>6314</v>
      </c>
      <c r="E26" s="606">
        <v>975.7</v>
      </c>
      <c r="F26" s="732">
        <v>0</v>
      </c>
      <c r="G26" s="605">
        <v>975.7</v>
      </c>
      <c r="H26" s="623">
        <v>45253</v>
      </c>
      <c r="I26" s="639"/>
      <c r="J26" s="1579"/>
      <c r="K26" s="1577"/>
      <c r="L26" s="226"/>
    </row>
    <row r="27" spans="1:12" ht="15">
      <c r="A27" s="623">
        <v>45238</v>
      </c>
      <c r="B27" s="623" t="s">
        <v>5522</v>
      </c>
      <c r="C27" s="623" t="s">
        <v>4405</v>
      </c>
      <c r="D27" s="624" t="s">
        <v>6520</v>
      </c>
      <c r="E27" s="606">
        <v>1084.7</v>
      </c>
      <c r="F27" s="732">
        <v>0</v>
      </c>
      <c r="G27" s="605">
        <v>1084.7</v>
      </c>
      <c r="H27" s="623">
        <v>45283</v>
      </c>
      <c r="I27" s="639"/>
      <c r="J27" s="1579"/>
      <c r="K27" s="1577"/>
      <c r="L27" s="226"/>
    </row>
    <row r="28" spans="1:12" ht="15">
      <c r="A28" s="623"/>
      <c r="B28" s="623"/>
      <c r="C28" s="623"/>
      <c r="D28" s="624"/>
      <c r="E28" s="606"/>
      <c r="F28" s="732"/>
      <c r="G28" s="605"/>
      <c r="H28" s="623"/>
      <c r="I28" s="639"/>
      <c r="J28" s="1579"/>
      <c r="K28" s="1577"/>
      <c r="L28" s="226"/>
    </row>
    <row r="29" spans="1:12" ht="15">
      <c r="A29" s="623"/>
      <c r="B29" s="623"/>
      <c r="C29" s="623"/>
      <c r="D29" s="624"/>
      <c r="E29" s="606"/>
      <c r="F29" s="732"/>
      <c r="G29" s="605"/>
      <c r="H29" s="623"/>
      <c r="I29" s="639"/>
      <c r="J29" s="1579"/>
      <c r="K29" s="1577"/>
      <c r="L29" s="226"/>
    </row>
    <row r="30" spans="1:12" ht="15">
      <c r="A30" s="623"/>
      <c r="B30" s="623"/>
      <c r="C30" s="623"/>
      <c r="D30" s="624"/>
      <c r="E30" s="606"/>
      <c r="F30" s="732"/>
      <c r="G30" s="605"/>
      <c r="H30" s="623"/>
      <c r="I30" s="639"/>
      <c r="J30" s="1527"/>
      <c r="K30" s="1373"/>
      <c r="L30" s="226"/>
    </row>
    <row r="31" spans="1:12" ht="15">
      <c r="A31" s="623"/>
      <c r="B31" s="623"/>
      <c r="C31" s="623"/>
      <c r="D31" s="624"/>
      <c r="E31" s="606"/>
      <c r="F31" s="732"/>
      <c r="G31" s="605"/>
      <c r="H31" s="623"/>
      <c r="I31" s="639"/>
      <c r="J31" s="1527"/>
      <c r="K31" s="1373"/>
      <c r="L31" s="226"/>
    </row>
    <row r="32" spans="1:12" ht="15">
      <c r="A32" s="623"/>
      <c r="B32" s="623"/>
      <c r="C32" s="623"/>
      <c r="D32" s="624"/>
      <c r="E32" s="606"/>
      <c r="F32" s="732"/>
      <c r="G32" s="605"/>
      <c r="H32" s="623"/>
      <c r="I32" s="639"/>
      <c r="J32" s="1527"/>
      <c r="K32" s="1373"/>
      <c r="L32" s="226"/>
    </row>
    <row r="33" spans="1:12" ht="15.75" customHeight="1">
      <c r="A33" s="623"/>
      <c r="B33" s="623"/>
      <c r="C33" s="623"/>
      <c r="D33" s="624"/>
      <c r="E33" s="606"/>
      <c r="F33" s="732"/>
      <c r="G33" s="605"/>
      <c r="H33" s="623"/>
      <c r="I33" s="639"/>
      <c r="J33" s="1527"/>
      <c r="K33" s="925"/>
      <c r="L33" s="226"/>
    </row>
    <row r="34" spans="1:12" ht="15">
      <c r="A34" s="623"/>
      <c r="B34" s="623"/>
      <c r="C34" s="623"/>
      <c r="D34" s="624"/>
      <c r="E34" s="606"/>
      <c r="F34" s="732"/>
      <c r="G34" s="605"/>
      <c r="H34" s="623"/>
      <c r="I34" s="639"/>
      <c r="J34" s="1527"/>
      <c r="K34" s="925"/>
      <c r="L34" s="226"/>
    </row>
    <row r="35" spans="1:12" ht="15">
      <c r="A35" s="621"/>
      <c r="B35" s="1125"/>
      <c r="C35" s="1125"/>
      <c r="D35" s="619"/>
      <c r="E35" s="619"/>
      <c r="F35" s="1144" t="s">
        <v>545</v>
      </c>
      <c r="G35" s="651">
        <f>SUM(G2:G34)-SUM(I2:I34)</f>
        <v>2060.4000000000015</v>
      </c>
      <c r="H35" s="634"/>
      <c r="I35" s="639"/>
      <c r="J35" s="1527"/>
      <c r="K35" s="226"/>
      <c r="L35" s="226"/>
    </row>
  </sheetData>
  <mergeCells count="18">
    <mergeCell ref="K14:K17"/>
    <mergeCell ref="J14:J17"/>
    <mergeCell ref="I14:I17"/>
    <mergeCell ref="K10:K12"/>
    <mergeCell ref="J10:J12"/>
    <mergeCell ref="I10:I12"/>
    <mergeCell ref="K5:K6"/>
    <mergeCell ref="J5:J6"/>
    <mergeCell ref="I5:I6"/>
    <mergeCell ref="K7:K9"/>
    <mergeCell ref="J7:J9"/>
    <mergeCell ref="I7:I9"/>
    <mergeCell ref="K22:K25"/>
    <mergeCell ref="J22:J25"/>
    <mergeCell ref="I22:I25"/>
    <mergeCell ref="I19:I21"/>
    <mergeCell ref="K19:K21"/>
    <mergeCell ref="J19:J21"/>
  </mergeCells>
  <phoneticPr fontId="69" type="noConversion"/>
  <hyperlinks>
    <hyperlink ref="F35" location="汇总!A1" display="剩余欠款"/>
  </hyperlinks>
  <pageMargins left="0.7" right="0.7" top="0.75" bottom="0.75" header="0.3" footer="0.3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/>
  <dimension ref="A1:L14"/>
  <sheetViews>
    <sheetView workbookViewId="0">
      <pane ySplit="1" topLeftCell="A2" activePane="bottomLeft" state="frozen"/>
      <selection activeCell="C33" sqref="C33"/>
      <selection pane="bottomLeft" activeCell="F14" sqref="F14"/>
    </sheetView>
  </sheetViews>
  <sheetFormatPr defaultColWidth="8.75" defaultRowHeight="14.25"/>
  <cols>
    <col min="1" max="3" width="13" style="168" customWidth="1"/>
    <col min="4" max="6" width="15" style="168" customWidth="1"/>
    <col min="7" max="7" width="11.375" style="168" bestFit="1" customWidth="1"/>
    <col min="8" max="8" width="16.625" style="168" bestFit="1" customWidth="1"/>
    <col min="9" max="9" width="12.875" style="168" customWidth="1"/>
    <col min="10" max="10" width="15" style="168" bestFit="1" customWidth="1"/>
    <col min="11" max="11" width="12" style="168" customWidth="1"/>
    <col min="12" max="12" width="16.125" style="168" bestFit="1" customWidth="1"/>
    <col min="13" max="16384" width="8.75" style="168"/>
  </cols>
  <sheetData>
    <row r="1" spans="1:12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7" t="s">
        <v>542</v>
      </c>
    </row>
    <row r="2" spans="1:12" ht="15">
      <c r="A2" s="623"/>
      <c r="B2" s="623"/>
      <c r="C2" s="623"/>
      <c r="D2" s="624"/>
      <c r="E2" s="624"/>
      <c r="F2" s="624"/>
      <c r="G2" s="605"/>
      <c r="H2" s="623"/>
      <c r="I2" s="639"/>
      <c r="J2" s="620"/>
      <c r="K2" s="226"/>
      <c r="L2" s="226"/>
    </row>
    <row r="3" spans="1:12" ht="15">
      <c r="A3" s="623"/>
      <c r="B3" s="623"/>
      <c r="C3" s="623"/>
      <c r="D3" s="624"/>
      <c r="E3" s="624"/>
      <c r="F3" s="624"/>
      <c r="G3" s="605"/>
      <c r="H3" s="623"/>
      <c r="I3" s="639"/>
      <c r="J3" s="620"/>
      <c r="K3" s="226"/>
      <c r="L3" s="226"/>
    </row>
    <row r="4" spans="1:12" ht="15">
      <c r="A4" s="623"/>
      <c r="B4" s="623"/>
      <c r="C4" s="623"/>
      <c r="D4" s="624"/>
      <c r="E4" s="624"/>
      <c r="F4" s="624"/>
      <c r="G4" s="605"/>
      <c r="H4" s="623"/>
      <c r="I4" s="639"/>
      <c r="J4" s="620"/>
      <c r="K4" s="226"/>
      <c r="L4" s="226"/>
    </row>
    <row r="5" spans="1:12" ht="15">
      <c r="A5" s="623"/>
      <c r="B5" s="623"/>
      <c r="C5" s="623"/>
      <c r="D5" s="624"/>
      <c r="E5" s="624"/>
      <c r="F5" s="624"/>
      <c r="G5" s="605"/>
      <c r="H5" s="623"/>
      <c r="I5" s="639"/>
      <c r="J5" s="620"/>
      <c r="K5" s="226"/>
      <c r="L5" s="226"/>
    </row>
    <row r="6" spans="1:12" ht="15">
      <c r="A6" s="620"/>
      <c r="B6" s="1124"/>
      <c r="C6" s="1124"/>
      <c r="D6" s="621"/>
      <c r="E6" s="621"/>
      <c r="F6" s="621"/>
      <c r="G6" s="639"/>
      <c r="H6" s="620"/>
      <c r="I6" s="639"/>
      <c r="J6" s="620"/>
      <c r="K6" s="226"/>
      <c r="L6" s="226"/>
    </row>
    <row r="7" spans="1:12" ht="15">
      <c r="A7" s="620"/>
      <c r="B7" s="1124"/>
      <c r="C7" s="1124"/>
      <c r="D7" s="621"/>
      <c r="E7" s="621"/>
      <c r="F7" s="621"/>
      <c r="G7" s="639"/>
      <c r="H7" s="620"/>
      <c r="I7" s="639"/>
      <c r="J7" s="620"/>
      <c r="K7" s="226"/>
      <c r="L7" s="226"/>
    </row>
    <row r="8" spans="1:12" ht="15">
      <c r="A8" s="620"/>
      <c r="B8" s="1124"/>
      <c r="C8" s="1124"/>
      <c r="D8" s="621"/>
      <c r="E8" s="621"/>
      <c r="F8" s="621"/>
      <c r="G8" s="639"/>
      <c r="H8" s="620"/>
      <c r="I8" s="639"/>
      <c r="J8" s="620"/>
      <c r="K8" s="226"/>
      <c r="L8" s="226"/>
    </row>
    <row r="9" spans="1:12" ht="15">
      <c r="A9" s="620"/>
      <c r="B9" s="1124"/>
      <c r="C9" s="1124"/>
      <c r="D9" s="621"/>
      <c r="E9" s="621"/>
      <c r="F9" s="621"/>
      <c r="G9" s="639"/>
      <c r="H9" s="620"/>
      <c r="I9" s="639"/>
      <c r="J9" s="620"/>
      <c r="K9" s="226"/>
      <c r="L9" s="226"/>
    </row>
    <row r="10" spans="1:12" ht="15">
      <c r="A10" s="620"/>
      <c r="B10" s="1124"/>
      <c r="C10" s="1124"/>
      <c r="D10" s="621"/>
      <c r="E10" s="621"/>
      <c r="F10" s="621"/>
      <c r="G10" s="639"/>
      <c r="H10" s="620"/>
      <c r="I10" s="639"/>
      <c r="J10" s="620"/>
      <c r="K10" s="226"/>
      <c r="L10" s="226"/>
    </row>
    <row r="11" spans="1:12" ht="15">
      <c r="A11" s="620"/>
      <c r="B11" s="1124"/>
      <c r="C11" s="1124"/>
      <c r="D11" s="621"/>
      <c r="E11" s="621"/>
      <c r="F11" s="621"/>
      <c r="G11" s="639"/>
      <c r="H11" s="620"/>
      <c r="I11" s="639"/>
      <c r="J11" s="620"/>
      <c r="K11" s="226"/>
      <c r="L11" s="226"/>
    </row>
    <row r="12" spans="1:12" ht="15">
      <c r="A12" s="620"/>
      <c r="B12" s="1124"/>
      <c r="C12" s="1124"/>
      <c r="D12" s="621"/>
      <c r="E12" s="621"/>
      <c r="F12" s="621"/>
      <c r="G12" s="639"/>
      <c r="H12" s="620"/>
      <c r="I12" s="639"/>
      <c r="J12" s="620"/>
      <c r="K12" s="226"/>
      <c r="L12" s="226"/>
    </row>
    <row r="13" spans="1:12" ht="15">
      <c r="A13" s="620"/>
      <c r="B13" s="1124"/>
      <c r="C13" s="1124"/>
      <c r="D13" s="621"/>
      <c r="E13" s="621"/>
      <c r="F13" s="621"/>
      <c r="G13" s="639"/>
      <c r="H13" s="620"/>
      <c r="I13" s="639"/>
      <c r="J13" s="620"/>
      <c r="K13" s="226"/>
      <c r="L13" s="226"/>
    </row>
    <row r="14" spans="1:12" ht="15">
      <c r="A14" s="621"/>
      <c r="B14" s="1125"/>
      <c r="C14" s="1125"/>
      <c r="D14" s="619"/>
      <c r="E14" s="619"/>
      <c r="F14" s="1144" t="s">
        <v>545</v>
      </c>
      <c r="G14" s="651">
        <f>SUM(G2:G13)-SUM(I2:I13)</f>
        <v>0</v>
      </c>
      <c r="H14" s="634"/>
      <c r="I14" s="639"/>
      <c r="J14" s="620"/>
      <c r="K14" s="226"/>
      <c r="L14" s="226"/>
    </row>
  </sheetData>
  <phoneticPr fontId="15" type="noConversion"/>
  <hyperlinks>
    <hyperlink ref="F14" location="汇总!A1" display="剩余欠款"/>
  </hyperlinks>
  <pageMargins left="0.7" right="0.7" top="0.75" bottom="0.75" header="0.3" footer="0.3"/>
  <pageSetup paperSize="9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/>
  <dimension ref="A1:L26"/>
  <sheetViews>
    <sheetView workbookViewId="0">
      <pane ySplit="1" topLeftCell="A2" activePane="bottomLeft" state="frozen"/>
      <selection activeCell="C33" sqref="C33"/>
      <selection pane="bottomLeft" activeCell="F26" sqref="F26"/>
    </sheetView>
  </sheetViews>
  <sheetFormatPr defaultColWidth="8.75" defaultRowHeight="14.25"/>
  <cols>
    <col min="1" max="1" width="13" style="168" customWidth="1"/>
    <col min="2" max="2" width="11" style="168" bestFit="1" customWidth="1"/>
    <col min="3" max="3" width="30.5" style="168" bestFit="1" customWidth="1"/>
    <col min="4" max="5" width="15" style="168" customWidth="1"/>
    <col min="6" max="6" width="11.25" style="527" bestFit="1" customWidth="1"/>
    <col min="7" max="7" width="12" style="168" bestFit="1" customWidth="1"/>
    <col min="8" max="8" width="16.75" style="168" bestFit="1" customWidth="1"/>
    <col min="9" max="9" width="12.875" style="168" customWidth="1"/>
    <col min="10" max="10" width="15.125" style="168" bestFit="1" customWidth="1"/>
    <col min="11" max="11" width="19.125" style="237" customWidth="1"/>
    <col min="12" max="12" width="46.875" style="168" customWidth="1"/>
    <col min="13" max="16384" width="8.75" style="168"/>
  </cols>
  <sheetData>
    <row r="1" spans="1:12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7" t="s">
        <v>542</v>
      </c>
    </row>
    <row r="2" spans="1:12" ht="15">
      <c r="A2" s="815">
        <v>44820</v>
      </c>
      <c r="B2" s="1124" t="s">
        <v>2644</v>
      </c>
      <c r="C2" s="1124" t="s">
        <v>4113</v>
      </c>
      <c r="D2" s="817" t="s">
        <v>2986</v>
      </c>
      <c r="E2" s="611">
        <v>3357.15</v>
      </c>
      <c r="F2" s="731">
        <v>0</v>
      </c>
      <c r="G2" s="611">
        <v>3357.15</v>
      </c>
      <c r="H2" s="815">
        <v>44821</v>
      </c>
      <c r="I2" s="1915">
        <v>10318.09</v>
      </c>
      <c r="J2" s="1918">
        <v>44837</v>
      </c>
      <c r="K2" s="1968" t="s">
        <v>3199</v>
      </c>
      <c r="L2" s="1968"/>
    </row>
    <row r="3" spans="1:12" ht="15">
      <c r="A3" s="815">
        <v>44820</v>
      </c>
      <c r="B3" s="1124" t="s">
        <v>2644</v>
      </c>
      <c r="C3" s="1124" t="s">
        <v>4113</v>
      </c>
      <c r="D3" s="817" t="s">
        <v>2987</v>
      </c>
      <c r="E3" s="611">
        <v>85.58</v>
      </c>
      <c r="F3" s="731">
        <v>0</v>
      </c>
      <c r="G3" s="611">
        <v>85.58</v>
      </c>
      <c r="H3" s="815">
        <v>44821</v>
      </c>
      <c r="I3" s="1916"/>
      <c r="J3" s="1919"/>
      <c r="K3" s="1962"/>
      <c r="L3" s="1962"/>
    </row>
    <row r="4" spans="1:12" ht="15">
      <c r="A4" s="1903">
        <v>44820</v>
      </c>
      <c r="B4" s="1918" t="s">
        <v>2644</v>
      </c>
      <c r="C4" s="1918" t="s">
        <v>4113</v>
      </c>
      <c r="D4" s="1909" t="s">
        <v>2988</v>
      </c>
      <c r="E4" s="1923">
        <v>17195.36</v>
      </c>
      <c r="F4" s="1927">
        <v>0</v>
      </c>
      <c r="G4" s="611">
        <v>6875.3600000000006</v>
      </c>
      <c r="H4" s="815">
        <v>44821</v>
      </c>
      <c r="I4" s="1917"/>
      <c r="J4" s="1920"/>
      <c r="K4" s="1957"/>
      <c r="L4" s="1957"/>
    </row>
    <row r="5" spans="1:12" ht="15">
      <c r="A5" s="1905"/>
      <c r="B5" s="1920"/>
      <c r="C5" s="1920"/>
      <c r="D5" s="1911"/>
      <c r="E5" s="1924"/>
      <c r="F5" s="1928"/>
      <c r="G5" s="611">
        <v>10320</v>
      </c>
      <c r="H5" s="815">
        <v>44821</v>
      </c>
      <c r="I5" s="611">
        <v>10320</v>
      </c>
      <c r="J5" s="815">
        <v>44823</v>
      </c>
      <c r="K5" s="809" t="s">
        <v>5882</v>
      </c>
      <c r="L5" s="226"/>
    </row>
    <row r="6" spans="1:12" ht="15">
      <c r="A6" s="632">
        <v>44823</v>
      </c>
      <c r="B6" s="1124" t="s">
        <v>2644</v>
      </c>
      <c r="C6" s="1124" t="s">
        <v>4113</v>
      </c>
      <c r="D6" s="615" t="s">
        <v>3044</v>
      </c>
      <c r="E6" s="611">
        <v>513.04</v>
      </c>
      <c r="F6" s="731">
        <v>0</v>
      </c>
      <c r="G6" s="611">
        <v>513.04</v>
      </c>
      <c r="H6" s="632">
        <v>44824</v>
      </c>
      <c r="I6" s="611">
        <v>513.04</v>
      </c>
      <c r="J6" s="620">
        <v>44823</v>
      </c>
      <c r="K6" s="589" t="s">
        <v>5883</v>
      </c>
      <c r="L6" s="226"/>
    </row>
    <row r="7" spans="1:12" ht="15">
      <c r="A7" s="885">
        <v>44867.000497685185</v>
      </c>
      <c r="B7" s="1124" t="s">
        <v>518</v>
      </c>
      <c r="C7" s="1124" t="s">
        <v>4113</v>
      </c>
      <c r="D7" s="886" t="s">
        <v>3406</v>
      </c>
      <c r="E7" s="611">
        <v>1655.39</v>
      </c>
      <c r="F7" s="731">
        <v>0</v>
      </c>
      <c r="G7" s="611">
        <v>1655.39</v>
      </c>
      <c r="H7" s="885">
        <v>44868.000497685185</v>
      </c>
      <c r="I7" s="611">
        <v>1655.39</v>
      </c>
      <c r="J7" s="885">
        <v>44867</v>
      </c>
      <c r="K7" s="883" t="s">
        <v>3419</v>
      </c>
      <c r="L7" s="166"/>
    </row>
    <row r="8" spans="1:12" ht="15">
      <c r="A8" s="1003">
        <v>44838</v>
      </c>
      <c r="B8" s="1124" t="s">
        <v>2518</v>
      </c>
      <c r="C8" s="1124" t="s">
        <v>4113</v>
      </c>
      <c r="D8" s="1005" t="s">
        <v>3210</v>
      </c>
      <c r="E8" s="611">
        <v>-122.4</v>
      </c>
      <c r="F8" s="731">
        <v>0</v>
      </c>
      <c r="G8" s="611">
        <v>-122.4</v>
      </c>
      <c r="H8" s="1003">
        <v>44839</v>
      </c>
      <c r="I8" s="1923">
        <v>2415.92</v>
      </c>
      <c r="J8" s="1918">
        <v>44915</v>
      </c>
      <c r="K8" s="1968" t="s">
        <v>3805</v>
      </c>
      <c r="L8" s="226" t="s">
        <v>3211</v>
      </c>
    </row>
    <row r="9" spans="1:12" ht="15">
      <c r="A9" s="1003">
        <v>44915</v>
      </c>
      <c r="B9" s="1124" t="s">
        <v>518</v>
      </c>
      <c r="C9" s="1124" t="s">
        <v>4113</v>
      </c>
      <c r="D9" s="1005" t="s">
        <v>3737</v>
      </c>
      <c r="E9" s="611">
        <v>2538.3200000000002</v>
      </c>
      <c r="F9" s="731">
        <v>0</v>
      </c>
      <c r="G9" s="611">
        <v>2538.3200000000002</v>
      </c>
      <c r="H9" s="1003">
        <v>44916</v>
      </c>
      <c r="I9" s="1924"/>
      <c r="J9" s="1920"/>
      <c r="K9" s="1957"/>
      <c r="L9" s="226"/>
    </row>
    <row r="10" spans="1:12" ht="15">
      <c r="A10" s="1235">
        <v>44999</v>
      </c>
      <c r="B10" s="1235" t="s">
        <v>518</v>
      </c>
      <c r="C10" s="1235" t="s">
        <v>4113</v>
      </c>
      <c r="D10" s="1237" t="s">
        <v>4482</v>
      </c>
      <c r="E10" s="611">
        <v>3014.07</v>
      </c>
      <c r="F10" s="731">
        <v>0</v>
      </c>
      <c r="G10" s="611">
        <v>3014.07</v>
      </c>
      <c r="H10" s="1235">
        <v>45000</v>
      </c>
      <c r="I10" s="611">
        <v>3014.07</v>
      </c>
      <c r="J10" s="1235">
        <v>45000</v>
      </c>
      <c r="K10" s="1234" t="s">
        <v>1752</v>
      </c>
      <c r="L10" s="226"/>
    </row>
    <row r="11" spans="1:12" ht="15">
      <c r="A11" s="1903">
        <v>45063</v>
      </c>
      <c r="B11" s="1903" t="s">
        <v>518</v>
      </c>
      <c r="C11" s="1903" t="s">
        <v>4113</v>
      </c>
      <c r="D11" s="1909" t="s">
        <v>5068</v>
      </c>
      <c r="E11" s="1951">
        <v>3694.01</v>
      </c>
      <c r="F11" s="1933">
        <v>0</v>
      </c>
      <c r="G11" s="611">
        <v>1527.27</v>
      </c>
      <c r="H11" s="1497">
        <v>45123</v>
      </c>
      <c r="I11" s="611">
        <v>1527.27</v>
      </c>
      <c r="J11" s="1497">
        <v>45098</v>
      </c>
      <c r="K11" s="1496" t="s">
        <v>5452</v>
      </c>
      <c r="L11" s="226"/>
    </row>
    <row r="12" spans="1:12" ht="15">
      <c r="A12" s="1905"/>
      <c r="B12" s="1905"/>
      <c r="C12" s="1905"/>
      <c r="D12" s="1911"/>
      <c r="E12" s="1953"/>
      <c r="F12" s="1934"/>
      <c r="G12" s="611">
        <f>3694.01-1527.27</f>
        <v>2166.7400000000002</v>
      </c>
      <c r="H12" s="1497">
        <v>45123</v>
      </c>
      <c r="I12" s="1951">
        <v>3026.91</v>
      </c>
      <c r="J12" s="1903">
        <v>45103</v>
      </c>
      <c r="K12" s="1935" t="s">
        <v>5518</v>
      </c>
      <c r="L12" s="226"/>
    </row>
    <row r="13" spans="1:12" ht="15">
      <c r="A13" s="1497">
        <v>45063</v>
      </c>
      <c r="B13" s="1497" t="s">
        <v>518</v>
      </c>
      <c r="C13" s="1497" t="s">
        <v>4113</v>
      </c>
      <c r="D13" s="1499" t="s">
        <v>5069</v>
      </c>
      <c r="E13" s="611">
        <v>860.17</v>
      </c>
      <c r="F13" s="731">
        <v>0</v>
      </c>
      <c r="G13" s="611">
        <v>860.17</v>
      </c>
      <c r="H13" s="1497">
        <v>45123</v>
      </c>
      <c r="I13" s="1953"/>
      <c r="J13" s="1905"/>
      <c r="K13" s="1947"/>
      <c r="L13" s="226"/>
    </row>
    <row r="14" spans="1:12" ht="42.75">
      <c r="A14" s="1484">
        <v>45091</v>
      </c>
      <c r="B14" s="1484" t="s">
        <v>518</v>
      </c>
      <c r="C14" s="1484" t="s">
        <v>4113</v>
      </c>
      <c r="D14" s="1486" t="s">
        <v>5360</v>
      </c>
      <c r="E14" s="611">
        <v>320.73</v>
      </c>
      <c r="F14" s="731">
        <v>0</v>
      </c>
      <c r="G14" s="611">
        <v>320.73</v>
      </c>
      <c r="H14" s="1484">
        <v>45092</v>
      </c>
      <c r="I14" s="1933">
        <v>0</v>
      </c>
      <c r="J14" s="1903">
        <v>45098</v>
      </c>
      <c r="K14" s="1935" t="s">
        <v>5451</v>
      </c>
      <c r="L14" s="366" t="s">
        <v>5361</v>
      </c>
    </row>
    <row r="15" spans="1:12" ht="15">
      <c r="A15" s="1484">
        <v>45098</v>
      </c>
      <c r="B15" s="1484" t="s">
        <v>518</v>
      </c>
      <c r="C15" s="1484" t="s">
        <v>4113</v>
      </c>
      <c r="D15" s="1486" t="s">
        <v>5398</v>
      </c>
      <c r="E15" s="611">
        <v>-320.73</v>
      </c>
      <c r="F15" s="731">
        <v>0</v>
      </c>
      <c r="G15" s="611">
        <v>-320.73</v>
      </c>
      <c r="H15" s="1484">
        <v>45099</v>
      </c>
      <c r="I15" s="1934"/>
      <c r="J15" s="1905"/>
      <c r="K15" s="1947"/>
      <c r="L15" s="226" t="s">
        <v>5399</v>
      </c>
    </row>
    <row r="16" spans="1:12" ht="15">
      <c r="A16" s="1903">
        <v>45154</v>
      </c>
      <c r="B16" s="1903" t="s">
        <v>5880</v>
      </c>
      <c r="C16" s="1903" t="s">
        <v>4113</v>
      </c>
      <c r="D16" s="1909" t="s">
        <v>5881</v>
      </c>
      <c r="E16" s="1951">
        <v>5358.71</v>
      </c>
      <c r="F16" s="1933">
        <v>0</v>
      </c>
      <c r="G16" s="611">
        <v>2679.35</v>
      </c>
      <c r="H16" s="1679">
        <v>45214</v>
      </c>
      <c r="I16" s="611">
        <v>2679.35</v>
      </c>
      <c r="J16" s="1679">
        <v>45160</v>
      </c>
      <c r="K16" s="1677" t="s">
        <v>5928</v>
      </c>
      <c r="L16" s="226"/>
    </row>
    <row r="17" spans="1:12" ht="15">
      <c r="A17" s="1905"/>
      <c r="B17" s="1905"/>
      <c r="C17" s="1905"/>
      <c r="D17" s="1911"/>
      <c r="E17" s="1953"/>
      <c r="F17" s="1934"/>
      <c r="G17" s="611">
        <f>5358.7-2679.35</f>
        <v>2679.35</v>
      </c>
      <c r="H17" s="1679">
        <v>45214</v>
      </c>
      <c r="I17" s="611">
        <v>2679.35</v>
      </c>
      <c r="J17" s="1679">
        <v>45177</v>
      </c>
      <c r="K17" s="1677" t="s">
        <v>544</v>
      </c>
      <c r="L17" s="226"/>
    </row>
    <row r="18" spans="1:12" ht="15">
      <c r="A18" s="623"/>
      <c r="B18" s="623"/>
      <c r="C18" s="623"/>
      <c r="D18" s="624"/>
      <c r="E18" s="605"/>
      <c r="F18" s="732"/>
      <c r="G18" s="605"/>
      <c r="H18" s="623"/>
      <c r="I18" s="611"/>
      <c r="J18" s="1629"/>
      <c r="K18" s="1630"/>
      <c r="L18" s="226"/>
    </row>
    <row r="19" spans="1:12" ht="15">
      <c r="A19" s="623"/>
      <c r="B19" s="623"/>
      <c r="C19" s="623"/>
      <c r="D19" s="624"/>
      <c r="E19" s="605"/>
      <c r="F19" s="732"/>
      <c r="G19" s="605"/>
      <c r="H19" s="623"/>
      <c r="I19" s="611"/>
      <c r="J19" s="1629"/>
      <c r="K19" s="1630"/>
      <c r="L19" s="226"/>
    </row>
    <row r="20" spans="1:12" ht="15">
      <c r="A20" s="623"/>
      <c r="B20" s="623"/>
      <c r="C20" s="623"/>
      <c r="D20" s="624"/>
      <c r="E20" s="605"/>
      <c r="F20" s="732"/>
      <c r="G20" s="605"/>
      <c r="H20" s="623"/>
      <c r="I20" s="611"/>
      <c r="J20" s="1629"/>
      <c r="K20" s="1630"/>
      <c r="L20" s="226"/>
    </row>
    <row r="21" spans="1:12" ht="15">
      <c r="A21" s="623"/>
      <c r="B21" s="623"/>
      <c r="C21" s="623"/>
      <c r="D21" s="624"/>
      <c r="E21" s="605"/>
      <c r="F21" s="732"/>
      <c r="G21" s="605"/>
      <c r="H21" s="623"/>
      <c r="I21" s="611"/>
      <c r="J21" s="1403"/>
      <c r="K21" s="1401"/>
      <c r="L21" s="226"/>
    </row>
    <row r="22" spans="1:12" ht="15">
      <c r="A22" s="623"/>
      <c r="B22" s="623"/>
      <c r="C22" s="623"/>
      <c r="D22" s="624"/>
      <c r="E22" s="605"/>
      <c r="F22" s="732"/>
      <c r="G22" s="605"/>
      <c r="H22" s="623"/>
      <c r="I22" s="639"/>
      <c r="J22" s="620"/>
      <c r="K22" s="589"/>
      <c r="L22" s="226"/>
    </row>
    <row r="23" spans="1:12" ht="15">
      <c r="A23" s="623"/>
      <c r="B23" s="623"/>
      <c r="C23" s="623"/>
      <c r="D23" s="624"/>
      <c r="E23" s="605"/>
      <c r="F23" s="732"/>
      <c r="G23" s="605"/>
      <c r="H23" s="623"/>
      <c r="I23" s="639"/>
      <c r="J23" s="620"/>
      <c r="K23" s="589"/>
      <c r="L23" s="226"/>
    </row>
    <row r="24" spans="1:12" ht="15">
      <c r="A24" s="623"/>
      <c r="B24" s="623"/>
      <c r="C24" s="623"/>
      <c r="D24" s="624"/>
      <c r="E24" s="605"/>
      <c r="F24" s="732"/>
      <c r="G24" s="605"/>
      <c r="H24" s="623"/>
      <c r="I24" s="639"/>
      <c r="J24" s="620"/>
      <c r="K24" s="589"/>
      <c r="L24" s="226"/>
    </row>
    <row r="25" spans="1:12" ht="15">
      <c r="A25" s="623"/>
      <c r="B25" s="623"/>
      <c r="C25" s="623"/>
      <c r="D25" s="624"/>
      <c r="E25" s="605"/>
      <c r="F25" s="732"/>
      <c r="G25" s="605"/>
      <c r="H25" s="623"/>
      <c r="I25" s="639"/>
      <c r="J25" s="620"/>
      <c r="K25" s="589"/>
      <c r="L25" s="226"/>
    </row>
    <row r="26" spans="1:12" ht="15">
      <c r="A26" s="621"/>
      <c r="B26" s="1125"/>
      <c r="C26" s="1125"/>
      <c r="D26" s="619"/>
      <c r="E26" s="619"/>
      <c r="F26" s="1144" t="s">
        <v>545</v>
      </c>
      <c r="G26" s="651">
        <f>SUM(G2:G25)-SUM(I2:I25)</f>
        <v>0</v>
      </c>
      <c r="H26" s="634"/>
      <c r="I26" s="639"/>
      <c r="J26" s="620"/>
      <c r="K26" s="589"/>
      <c r="L26" s="226"/>
    </row>
  </sheetData>
  <mergeCells count="31">
    <mergeCell ref="A16:A17"/>
    <mergeCell ref="F16:F17"/>
    <mergeCell ref="E16:E17"/>
    <mergeCell ref="D16:D17"/>
    <mergeCell ref="C16:C17"/>
    <mergeCell ref="B16:B17"/>
    <mergeCell ref="L2:L4"/>
    <mergeCell ref="F4:F5"/>
    <mergeCell ref="E4:E5"/>
    <mergeCell ref="D4:D5"/>
    <mergeCell ref="A4:A5"/>
    <mergeCell ref="I2:I4"/>
    <mergeCell ref="K2:K4"/>
    <mergeCell ref="J2:J4"/>
    <mergeCell ref="C4:C5"/>
    <mergeCell ref="B4:B5"/>
    <mergeCell ref="K14:K15"/>
    <mergeCell ref="J14:J15"/>
    <mergeCell ref="F11:F12"/>
    <mergeCell ref="E11:E12"/>
    <mergeCell ref="K8:K9"/>
    <mergeCell ref="J8:J9"/>
    <mergeCell ref="I8:I9"/>
    <mergeCell ref="K12:K13"/>
    <mergeCell ref="J12:J13"/>
    <mergeCell ref="I12:I13"/>
    <mergeCell ref="D11:D12"/>
    <mergeCell ref="C11:C12"/>
    <mergeCell ref="B11:B12"/>
    <mergeCell ref="A11:A12"/>
    <mergeCell ref="I14:I15"/>
  </mergeCells>
  <phoneticPr fontId="15" type="noConversion"/>
  <hyperlinks>
    <hyperlink ref="F26" location="汇总!A1" display="剩余欠款"/>
  </hyperlinks>
  <pageMargins left="0.7" right="0.7" top="0.75" bottom="0.75" header="0.3" footer="0.3"/>
  <pageSetup paperSize="9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/>
  <dimension ref="A1:L64"/>
  <sheetViews>
    <sheetView workbookViewId="0">
      <pane ySplit="1" topLeftCell="A35" activePane="bottomLeft" state="frozen"/>
      <selection activeCell="C33" sqref="C33"/>
      <selection pane="bottomLeft" activeCell="F64" sqref="F64"/>
    </sheetView>
  </sheetViews>
  <sheetFormatPr defaultColWidth="8.75" defaultRowHeight="14.25"/>
  <cols>
    <col min="1" max="1" width="13" style="168" customWidth="1"/>
    <col min="2" max="2" width="8.875" style="168" bestFit="1" customWidth="1"/>
    <col min="3" max="3" width="15" style="168" bestFit="1" customWidth="1"/>
    <col min="4" max="5" width="15" style="168" customWidth="1"/>
    <col min="6" max="6" width="15" style="527" customWidth="1"/>
    <col min="7" max="7" width="11.375" style="168" bestFit="1" customWidth="1"/>
    <col min="8" max="8" width="16.625" style="168" bestFit="1" customWidth="1"/>
    <col min="9" max="9" width="12.875" style="168" customWidth="1"/>
    <col min="10" max="10" width="15" style="168" bestFit="1" customWidth="1"/>
    <col min="11" max="11" width="12" style="237" customWidth="1"/>
    <col min="12" max="12" width="16.125" style="168" bestFit="1" customWidth="1"/>
    <col min="13" max="16384" width="8.75" style="168"/>
  </cols>
  <sheetData>
    <row r="1" spans="1:12" customFormat="1" ht="18.75">
      <c r="A1" s="255" t="s">
        <v>6448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7" t="s">
        <v>542</v>
      </c>
    </row>
    <row r="2" spans="1:12" ht="15">
      <c r="A2" s="632">
        <v>44817</v>
      </c>
      <c r="B2" s="1124" t="s">
        <v>4107</v>
      </c>
      <c r="C2" s="1124" t="s">
        <v>4112</v>
      </c>
      <c r="D2" s="615" t="s">
        <v>3041</v>
      </c>
      <c r="E2" s="611">
        <v>1907.7139999999999</v>
      </c>
      <c r="F2" s="731">
        <v>400.62</v>
      </c>
      <c r="G2" s="611">
        <v>2308.33</v>
      </c>
      <c r="H2" s="632">
        <v>44818</v>
      </c>
      <c r="I2" s="611">
        <v>2308.33</v>
      </c>
      <c r="J2" s="632">
        <v>44825</v>
      </c>
      <c r="K2" s="591" t="s">
        <v>3079</v>
      </c>
      <c r="L2" s="166"/>
    </row>
    <row r="3" spans="1:12" ht="15">
      <c r="A3" s="1274">
        <v>44832</v>
      </c>
      <c r="B3" s="1274" t="s">
        <v>4107</v>
      </c>
      <c r="C3" s="1274" t="s">
        <v>4112</v>
      </c>
      <c r="D3" s="1276" t="s">
        <v>3181</v>
      </c>
      <c r="E3" s="611">
        <v>906.78</v>
      </c>
      <c r="F3" s="731">
        <v>0</v>
      </c>
      <c r="G3" s="611">
        <v>906.78</v>
      </c>
      <c r="H3" s="1274">
        <v>44891.000497685185</v>
      </c>
      <c r="I3" s="1923">
        <v>5000</v>
      </c>
      <c r="J3" s="1903">
        <v>44935</v>
      </c>
      <c r="K3" s="1935" t="s">
        <v>3930</v>
      </c>
      <c r="L3" s="166"/>
    </row>
    <row r="4" spans="1:12" ht="15">
      <c r="A4" s="1274">
        <v>44848</v>
      </c>
      <c r="B4" s="1274" t="s">
        <v>4107</v>
      </c>
      <c r="C4" s="1274" t="s">
        <v>4112</v>
      </c>
      <c r="D4" s="1276" t="s">
        <v>3253</v>
      </c>
      <c r="E4" s="611">
        <v>1522.26</v>
      </c>
      <c r="F4" s="731">
        <v>0</v>
      </c>
      <c r="G4" s="611">
        <v>1522.26</v>
      </c>
      <c r="H4" s="1274">
        <v>44877</v>
      </c>
      <c r="I4" s="1961"/>
      <c r="J4" s="1904"/>
      <c r="K4" s="1950"/>
      <c r="L4" s="226"/>
    </row>
    <row r="5" spans="1:12" ht="15">
      <c r="A5" s="1274">
        <v>44854.000497685185</v>
      </c>
      <c r="B5" s="1274" t="s">
        <v>4107</v>
      </c>
      <c r="C5" s="1274" t="s">
        <v>4112</v>
      </c>
      <c r="D5" s="1276" t="s">
        <v>3300</v>
      </c>
      <c r="E5" s="611">
        <v>483</v>
      </c>
      <c r="F5" s="731">
        <v>0</v>
      </c>
      <c r="G5" s="611">
        <v>483</v>
      </c>
      <c r="H5" s="1274">
        <v>44883.000497685185</v>
      </c>
      <c r="I5" s="1961"/>
      <c r="J5" s="1904"/>
      <c r="K5" s="1950"/>
      <c r="L5" s="226"/>
    </row>
    <row r="6" spans="1:12" ht="15">
      <c r="A6" s="1274">
        <v>44867.000497685185</v>
      </c>
      <c r="B6" s="1274" t="s">
        <v>4107</v>
      </c>
      <c r="C6" s="1274" t="s">
        <v>4112</v>
      </c>
      <c r="D6" s="1276" t="s">
        <v>3412</v>
      </c>
      <c r="E6" s="611">
        <v>681.63</v>
      </c>
      <c r="F6" s="731">
        <v>0</v>
      </c>
      <c r="G6" s="611">
        <v>681.63</v>
      </c>
      <c r="H6" s="1274">
        <v>44912.000497685185</v>
      </c>
      <c r="I6" s="1961"/>
      <c r="J6" s="1904"/>
      <c r="K6" s="1950"/>
      <c r="L6" s="226"/>
    </row>
    <row r="7" spans="1:12" ht="15">
      <c r="A7" s="1274">
        <v>44872</v>
      </c>
      <c r="B7" s="1274" t="s">
        <v>4107</v>
      </c>
      <c r="C7" s="1274" t="s">
        <v>4112</v>
      </c>
      <c r="D7" s="1276" t="s">
        <v>3450</v>
      </c>
      <c r="E7" s="611">
        <v>608.54</v>
      </c>
      <c r="F7" s="731">
        <v>0</v>
      </c>
      <c r="G7" s="611">
        <v>608.54999999999995</v>
      </c>
      <c r="H7" s="1274">
        <v>44932</v>
      </c>
      <c r="I7" s="1961"/>
      <c r="J7" s="1904"/>
      <c r="K7" s="1950"/>
      <c r="L7" s="226"/>
    </row>
    <row r="8" spans="1:12" ht="15">
      <c r="A8" s="1274">
        <v>44890</v>
      </c>
      <c r="B8" s="1274" t="s">
        <v>4107</v>
      </c>
      <c r="C8" s="1274" t="s">
        <v>4112</v>
      </c>
      <c r="D8" s="1276" t="s">
        <v>3533</v>
      </c>
      <c r="E8" s="611">
        <v>370.93</v>
      </c>
      <c r="F8" s="731">
        <v>0</v>
      </c>
      <c r="G8" s="611">
        <v>370.93</v>
      </c>
      <c r="H8" s="1274">
        <v>44950</v>
      </c>
      <c r="I8" s="1961"/>
      <c r="J8" s="1904"/>
      <c r="K8" s="1950"/>
      <c r="L8" s="226"/>
    </row>
    <row r="9" spans="1:12" ht="15">
      <c r="A9" s="1274">
        <v>44900.000497685185</v>
      </c>
      <c r="B9" s="1274" t="s">
        <v>4107</v>
      </c>
      <c r="C9" s="1274" t="s">
        <v>4112</v>
      </c>
      <c r="D9" s="1276" t="s">
        <v>3663</v>
      </c>
      <c r="E9" s="611">
        <v>299.25</v>
      </c>
      <c r="F9" s="731">
        <v>0</v>
      </c>
      <c r="G9" s="611">
        <v>299.25</v>
      </c>
      <c r="H9" s="1274">
        <v>44960</v>
      </c>
      <c r="I9" s="1961"/>
      <c r="J9" s="1904"/>
      <c r="K9" s="1950"/>
      <c r="L9" s="226"/>
    </row>
    <row r="10" spans="1:12" ht="15">
      <c r="A10" s="1903">
        <v>44907</v>
      </c>
      <c r="B10" s="1903" t="s">
        <v>4107</v>
      </c>
      <c r="C10" s="1903" t="s">
        <v>4112</v>
      </c>
      <c r="D10" s="1909" t="s">
        <v>3700</v>
      </c>
      <c r="E10" s="1923">
        <v>156.1</v>
      </c>
      <c r="F10" s="1927">
        <v>0</v>
      </c>
      <c r="G10" s="611">
        <v>127.6</v>
      </c>
      <c r="H10" s="1274">
        <v>44967</v>
      </c>
      <c r="I10" s="1924"/>
      <c r="J10" s="1905"/>
      <c r="K10" s="1947"/>
      <c r="L10" s="226"/>
    </row>
    <row r="11" spans="1:12" ht="15">
      <c r="A11" s="1905"/>
      <c r="B11" s="1905"/>
      <c r="C11" s="1905"/>
      <c r="D11" s="1911"/>
      <c r="E11" s="1924"/>
      <c r="F11" s="1928"/>
      <c r="G11" s="611">
        <f>156.1-127.6</f>
        <v>28.5</v>
      </c>
      <c r="H11" s="1274">
        <v>44967</v>
      </c>
      <c r="I11" s="1951">
        <v>4212.4799999999996</v>
      </c>
      <c r="J11" s="1903">
        <v>45013</v>
      </c>
      <c r="K11" s="1938" t="s">
        <v>4659</v>
      </c>
      <c r="L11" s="226"/>
    </row>
    <row r="12" spans="1:12" ht="15">
      <c r="A12" s="1274">
        <v>44897</v>
      </c>
      <c r="B12" s="1274" t="s">
        <v>4107</v>
      </c>
      <c r="C12" s="1274" t="s">
        <v>4112</v>
      </c>
      <c r="D12" s="1276" t="s">
        <v>3615</v>
      </c>
      <c r="E12" s="611">
        <v>370.16</v>
      </c>
      <c r="F12" s="731">
        <v>0</v>
      </c>
      <c r="G12" s="611">
        <v>370.16</v>
      </c>
      <c r="H12" s="1274">
        <v>44957</v>
      </c>
      <c r="I12" s="1952"/>
      <c r="J12" s="1904"/>
      <c r="K12" s="1950"/>
      <c r="L12" s="226"/>
    </row>
    <row r="13" spans="1:12" ht="15">
      <c r="A13" s="1274">
        <v>44911</v>
      </c>
      <c r="B13" s="1274" t="s">
        <v>4107</v>
      </c>
      <c r="C13" s="1274" t="s">
        <v>4112</v>
      </c>
      <c r="D13" s="1276" t="s">
        <v>3701</v>
      </c>
      <c r="E13" s="611">
        <v>177.52</v>
      </c>
      <c r="F13" s="731">
        <v>0</v>
      </c>
      <c r="G13" s="611">
        <v>177.52</v>
      </c>
      <c r="H13" s="1274">
        <v>44971</v>
      </c>
      <c r="I13" s="1952"/>
      <c r="J13" s="1904"/>
      <c r="K13" s="1950"/>
      <c r="L13" s="226"/>
    </row>
    <row r="14" spans="1:12" ht="15">
      <c r="A14" s="1274">
        <v>44918</v>
      </c>
      <c r="B14" s="1274" t="s">
        <v>4107</v>
      </c>
      <c r="C14" s="1274" t="s">
        <v>4112</v>
      </c>
      <c r="D14" s="1276" t="s">
        <v>3784</v>
      </c>
      <c r="E14" s="611">
        <v>134.44</v>
      </c>
      <c r="F14" s="731">
        <v>0</v>
      </c>
      <c r="G14" s="611">
        <v>134.44</v>
      </c>
      <c r="H14" s="1274">
        <v>44978</v>
      </c>
      <c r="I14" s="1952"/>
      <c r="J14" s="1904"/>
      <c r="K14" s="1950"/>
      <c r="L14" s="226"/>
    </row>
    <row r="15" spans="1:12" ht="15">
      <c r="A15" s="1274">
        <v>44918</v>
      </c>
      <c r="B15" s="1274" t="s">
        <v>4107</v>
      </c>
      <c r="C15" s="1274" t="s">
        <v>4112</v>
      </c>
      <c r="D15" s="1276" t="s">
        <v>3785</v>
      </c>
      <c r="E15" s="611">
        <v>-149.21</v>
      </c>
      <c r="F15" s="731">
        <v>0</v>
      </c>
      <c r="G15" s="611">
        <v>-149.21</v>
      </c>
      <c r="H15" s="1274"/>
      <c r="I15" s="1952"/>
      <c r="J15" s="1904"/>
      <c r="K15" s="1950"/>
      <c r="L15" s="226"/>
    </row>
    <row r="16" spans="1:12" ht="15">
      <c r="A16" s="1274">
        <v>44918</v>
      </c>
      <c r="B16" s="1274" t="s">
        <v>4107</v>
      </c>
      <c r="C16" s="1274" t="s">
        <v>4112</v>
      </c>
      <c r="D16" s="1276" t="s">
        <v>3786</v>
      </c>
      <c r="E16" s="611">
        <v>-168.25</v>
      </c>
      <c r="F16" s="731">
        <v>0</v>
      </c>
      <c r="G16" s="611">
        <v>-168.25</v>
      </c>
      <c r="H16" s="1274"/>
      <c r="I16" s="1952"/>
      <c r="J16" s="1904"/>
      <c r="K16" s="1950"/>
      <c r="L16" s="226"/>
    </row>
    <row r="17" spans="1:12" ht="15">
      <c r="A17" s="1274">
        <v>44918</v>
      </c>
      <c r="B17" s="1274" t="s">
        <v>4107</v>
      </c>
      <c r="C17" s="1274" t="s">
        <v>4112</v>
      </c>
      <c r="D17" s="1276" t="s">
        <v>3787</v>
      </c>
      <c r="E17" s="611">
        <v>-41.19</v>
      </c>
      <c r="F17" s="731">
        <v>-8.65</v>
      </c>
      <c r="G17" s="611">
        <v>-49.84</v>
      </c>
      <c r="H17" s="1274"/>
      <c r="I17" s="1952"/>
      <c r="J17" s="1904"/>
      <c r="K17" s="1950"/>
      <c r="L17" s="226"/>
    </row>
    <row r="18" spans="1:12" ht="15">
      <c r="A18" s="1274">
        <v>44923</v>
      </c>
      <c r="B18" s="1274" t="s">
        <v>4107</v>
      </c>
      <c r="C18" s="1274" t="s">
        <v>4112</v>
      </c>
      <c r="D18" s="1276" t="s">
        <v>3821</v>
      </c>
      <c r="E18" s="611">
        <v>49.98</v>
      </c>
      <c r="F18" s="731">
        <v>0</v>
      </c>
      <c r="G18" s="611">
        <v>49.98</v>
      </c>
      <c r="H18" s="1274">
        <v>44983</v>
      </c>
      <c r="I18" s="1952"/>
      <c r="J18" s="1904"/>
      <c r="K18" s="1950"/>
      <c r="L18" s="226"/>
    </row>
    <row r="19" spans="1:12" ht="15">
      <c r="A19" s="1274">
        <v>44923</v>
      </c>
      <c r="B19" s="1274" t="s">
        <v>4107</v>
      </c>
      <c r="C19" s="1274" t="s">
        <v>4112</v>
      </c>
      <c r="D19" s="1276" t="s">
        <v>3822</v>
      </c>
      <c r="E19" s="611">
        <v>155.54</v>
      </c>
      <c r="F19" s="731">
        <v>0</v>
      </c>
      <c r="G19" s="611">
        <v>155.54</v>
      </c>
      <c r="H19" s="1274">
        <v>44983</v>
      </c>
      <c r="I19" s="1952"/>
      <c r="J19" s="1904"/>
      <c r="K19" s="1950"/>
      <c r="L19" s="226"/>
    </row>
    <row r="20" spans="1:12" ht="15">
      <c r="A20" s="1274">
        <v>44936</v>
      </c>
      <c r="B20" s="1274" t="s">
        <v>4107</v>
      </c>
      <c r="C20" s="1274" t="s">
        <v>4112</v>
      </c>
      <c r="D20" s="1276" t="s">
        <v>3895</v>
      </c>
      <c r="E20" s="611">
        <v>508.55</v>
      </c>
      <c r="F20" s="731">
        <v>0</v>
      </c>
      <c r="G20" s="611">
        <v>508.55</v>
      </c>
      <c r="H20" s="1274">
        <v>44996</v>
      </c>
      <c r="I20" s="1952"/>
      <c r="J20" s="1904"/>
      <c r="K20" s="1950"/>
      <c r="L20" s="226"/>
    </row>
    <row r="21" spans="1:12" ht="15">
      <c r="A21" s="1274">
        <v>44936</v>
      </c>
      <c r="B21" s="1274" t="s">
        <v>4107</v>
      </c>
      <c r="C21" s="1274" t="s">
        <v>4112</v>
      </c>
      <c r="D21" s="1276" t="s">
        <v>3896</v>
      </c>
      <c r="E21" s="611">
        <v>39.590000000000003</v>
      </c>
      <c r="F21" s="731">
        <v>0</v>
      </c>
      <c r="G21" s="611">
        <v>39.590000000000003</v>
      </c>
      <c r="H21" s="1274">
        <v>44996</v>
      </c>
      <c r="I21" s="1952"/>
      <c r="J21" s="1904"/>
      <c r="K21" s="1950"/>
      <c r="L21" s="226"/>
    </row>
    <row r="22" spans="1:12" ht="15">
      <c r="A22" s="1274">
        <v>44937</v>
      </c>
      <c r="B22" s="1274" t="s">
        <v>4107</v>
      </c>
      <c r="C22" s="1274" t="s">
        <v>4112</v>
      </c>
      <c r="D22" s="1276" t="s">
        <v>3897</v>
      </c>
      <c r="E22" s="611">
        <v>184.8</v>
      </c>
      <c r="F22" s="731">
        <v>0</v>
      </c>
      <c r="G22" s="611">
        <v>184.8</v>
      </c>
      <c r="H22" s="1274">
        <v>44997</v>
      </c>
      <c r="I22" s="1952"/>
      <c r="J22" s="1904"/>
      <c r="K22" s="1950"/>
      <c r="L22" s="226"/>
    </row>
    <row r="23" spans="1:12" ht="15">
      <c r="A23" s="1274">
        <v>44942</v>
      </c>
      <c r="B23" s="1274" t="s">
        <v>4107</v>
      </c>
      <c r="C23" s="1274" t="s">
        <v>4112</v>
      </c>
      <c r="D23" s="1276" t="s">
        <v>3966</v>
      </c>
      <c r="E23" s="611">
        <v>186.97</v>
      </c>
      <c r="F23" s="731">
        <v>0</v>
      </c>
      <c r="G23" s="611">
        <v>186.97</v>
      </c>
      <c r="H23" s="1274">
        <v>45002</v>
      </c>
      <c r="I23" s="1952"/>
      <c r="J23" s="1904"/>
      <c r="K23" s="1950"/>
      <c r="L23" s="226"/>
    </row>
    <row r="24" spans="1:12" ht="15">
      <c r="A24" s="1274">
        <v>44957.000497685185</v>
      </c>
      <c r="B24" s="1274" t="s">
        <v>4107</v>
      </c>
      <c r="C24" s="1274" t="s">
        <v>4112</v>
      </c>
      <c r="D24" s="1276" t="s">
        <v>4029</v>
      </c>
      <c r="E24" s="611">
        <v>270.89999999999998</v>
      </c>
      <c r="F24" s="731">
        <v>0</v>
      </c>
      <c r="G24" s="611">
        <v>270.89999999999998</v>
      </c>
      <c r="H24" s="1274">
        <v>45017</v>
      </c>
      <c r="I24" s="1952"/>
      <c r="J24" s="1904"/>
      <c r="K24" s="1950"/>
      <c r="L24" s="226"/>
    </row>
    <row r="25" spans="1:12" ht="15">
      <c r="A25" s="1274">
        <v>44964</v>
      </c>
      <c r="B25" s="1274" t="s">
        <v>4107</v>
      </c>
      <c r="C25" s="1274" t="s">
        <v>4112</v>
      </c>
      <c r="D25" s="1276" t="s">
        <v>4056</v>
      </c>
      <c r="E25" s="611">
        <v>149.31</v>
      </c>
      <c r="F25" s="731">
        <v>0</v>
      </c>
      <c r="G25" s="611">
        <v>149.31</v>
      </c>
      <c r="H25" s="1274">
        <v>45024</v>
      </c>
      <c r="I25" s="1952"/>
      <c r="J25" s="1904"/>
      <c r="K25" s="1950"/>
      <c r="L25" s="226"/>
    </row>
    <row r="26" spans="1:12" ht="15">
      <c r="A26" s="1274">
        <v>44985</v>
      </c>
      <c r="B26" s="1274" t="s">
        <v>4107</v>
      </c>
      <c r="C26" s="1274" t="s">
        <v>4112</v>
      </c>
      <c r="D26" s="1276" t="s">
        <v>4371</v>
      </c>
      <c r="E26" s="611">
        <v>1789.03</v>
      </c>
      <c r="F26" s="731">
        <v>0</v>
      </c>
      <c r="G26" s="611">
        <v>1789.03</v>
      </c>
      <c r="H26" s="1274">
        <v>45045</v>
      </c>
      <c r="I26" s="1952"/>
      <c r="J26" s="1904"/>
      <c r="K26" s="1950"/>
      <c r="L26" s="226"/>
    </row>
    <row r="27" spans="1:12" ht="15">
      <c r="A27" s="1274">
        <v>44993</v>
      </c>
      <c r="B27" s="1274" t="s">
        <v>2518</v>
      </c>
      <c r="C27" s="1274" t="s">
        <v>4112</v>
      </c>
      <c r="D27" s="1276" t="s">
        <v>4444</v>
      </c>
      <c r="E27" s="611">
        <v>276.89</v>
      </c>
      <c r="F27" s="731">
        <v>0</v>
      </c>
      <c r="G27" s="611">
        <v>276.89</v>
      </c>
      <c r="H27" s="1274">
        <v>44993</v>
      </c>
      <c r="I27" s="1952"/>
      <c r="J27" s="1904"/>
      <c r="K27" s="1950"/>
      <c r="L27" s="226"/>
    </row>
    <row r="28" spans="1:12" ht="15">
      <c r="A28" s="1484">
        <v>44994</v>
      </c>
      <c r="B28" s="1484" t="s">
        <v>2518</v>
      </c>
      <c r="C28" s="1484" t="s">
        <v>4112</v>
      </c>
      <c r="D28" s="1486" t="s">
        <v>4445</v>
      </c>
      <c r="E28" s="611">
        <v>257.60000000000002</v>
      </c>
      <c r="F28" s="731">
        <v>0</v>
      </c>
      <c r="G28" s="611">
        <v>257.60000000000002</v>
      </c>
      <c r="H28" s="1484">
        <v>44994</v>
      </c>
      <c r="I28" s="1953"/>
      <c r="J28" s="1905"/>
      <c r="K28" s="1947"/>
      <c r="L28" s="226"/>
    </row>
    <row r="29" spans="1:12" ht="15">
      <c r="A29" s="1484">
        <v>45007</v>
      </c>
      <c r="B29" s="1484" t="s">
        <v>2518</v>
      </c>
      <c r="C29" s="1484" t="s">
        <v>4112</v>
      </c>
      <c r="D29" s="1486" t="s">
        <v>4549</v>
      </c>
      <c r="E29" s="611">
        <v>749.28</v>
      </c>
      <c r="F29" s="731">
        <v>0</v>
      </c>
      <c r="G29" s="611">
        <v>749.28</v>
      </c>
      <c r="H29" s="1484">
        <v>45067</v>
      </c>
      <c r="I29" s="1958">
        <v>3418.49</v>
      </c>
      <c r="J29" s="1918">
        <v>45099</v>
      </c>
      <c r="K29" s="1956" t="s">
        <v>5461</v>
      </c>
      <c r="L29" s="226"/>
    </row>
    <row r="30" spans="1:12" ht="15">
      <c r="A30" s="1484">
        <v>45027.000497685185</v>
      </c>
      <c r="B30" s="1484" t="s">
        <v>2518</v>
      </c>
      <c r="C30" s="1484" t="s">
        <v>4112</v>
      </c>
      <c r="D30" s="1486" t="s">
        <v>4719</v>
      </c>
      <c r="E30" s="611">
        <v>131.6</v>
      </c>
      <c r="F30" s="731">
        <v>0</v>
      </c>
      <c r="G30" s="611">
        <v>131.6</v>
      </c>
      <c r="H30" s="1484">
        <v>45087</v>
      </c>
      <c r="I30" s="1966"/>
      <c r="J30" s="1919"/>
      <c r="K30" s="1962"/>
      <c r="L30" s="226"/>
    </row>
    <row r="31" spans="1:12" ht="15">
      <c r="A31" s="1484">
        <v>45035</v>
      </c>
      <c r="B31" s="1484" t="s">
        <v>2518</v>
      </c>
      <c r="C31" s="1484" t="s">
        <v>4112</v>
      </c>
      <c r="D31" s="1486" t="s">
        <v>4812</v>
      </c>
      <c r="E31" s="611">
        <v>407.44</v>
      </c>
      <c r="F31" s="731">
        <v>0</v>
      </c>
      <c r="G31" s="611">
        <v>407.44</v>
      </c>
      <c r="H31" s="1484">
        <v>45095</v>
      </c>
      <c r="I31" s="1966"/>
      <c r="J31" s="1919"/>
      <c r="K31" s="1962"/>
      <c r="L31" s="226"/>
    </row>
    <row r="32" spans="1:12" ht="15">
      <c r="A32" s="1484">
        <v>45035</v>
      </c>
      <c r="B32" s="1484" t="s">
        <v>2518</v>
      </c>
      <c r="C32" s="1484" t="s">
        <v>4112</v>
      </c>
      <c r="D32" s="1486" t="s">
        <v>4813</v>
      </c>
      <c r="E32" s="611">
        <v>600</v>
      </c>
      <c r="F32" s="731">
        <v>0</v>
      </c>
      <c r="G32" s="611">
        <v>600</v>
      </c>
      <c r="H32" s="1484">
        <v>45095</v>
      </c>
      <c r="I32" s="1966"/>
      <c r="J32" s="1919"/>
      <c r="K32" s="1962"/>
      <c r="L32" s="226"/>
    </row>
    <row r="33" spans="1:12" ht="15">
      <c r="A33" s="1484">
        <v>45049</v>
      </c>
      <c r="B33" s="1484" t="s">
        <v>2518</v>
      </c>
      <c r="C33" s="1484" t="s">
        <v>4112</v>
      </c>
      <c r="D33" s="1486" t="s">
        <v>4916</v>
      </c>
      <c r="E33" s="611">
        <v>521.61</v>
      </c>
      <c r="F33" s="731">
        <v>0</v>
      </c>
      <c r="G33" s="611">
        <v>521.61</v>
      </c>
      <c r="H33" s="1484">
        <v>45109</v>
      </c>
      <c r="I33" s="1966"/>
      <c r="J33" s="1919"/>
      <c r="K33" s="1962"/>
      <c r="L33" s="226"/>
    </row>
    <row r="34" spans="1:12" ht="15">
      <c r="A34" s="1484">
        <v>45056</v>
      </c>
      <c r="B34" s="1484" t="s">
        <v>2518</v>
      </c>
      <c r="C34" s="1484" t="s">
        <v>4112</v>
      </c>
      <c r="D34" s="1486" t="s">
        <v>4982</v>
      </c>
      <c r="E34" s="611">
        <v>502.88</v>
      </c>
      <c r="F34" s="731">
        <v>0</v>
      </c>
      <c r="G34" s="611">
        <v>502.88</v>
      </c>
      <c r="H34" s="1484">
        <v>45116</v>
      </c>
      <c r="I34" s="1966"/>
      <c r="J34" s="1919"/>
      <c r="K34" s="1962"/>
      <c r="L34" s="226"/>
    </row>
    <row r="35" spans="1:12" ht="15">
      <c r="A35" s="1484">
        <v>45070</v>
      </c>
      <c r="B35" s="1484" t="s">
        <v>2518</v>
      </c>
      <c r="C35" s="1484" t="s">
        <v>4112</v>
      </c>
      <c r="D35" s="1486" t="s">
        <v>5210</v>
      </c>
      <c r="E35" s="611">
        <v>266.98</v>
      </c>
      <c r="F35" s="731">
        <v>0</v>
      </c>
      <c r="G35" s="611">
        <v>266.98</v>
      </c>
      <c r="H35" s="1484">
        <v>45130</v>
      </c>
      <c r="I35" s="1966"/>
      <c r="J35" s="1919"/>
      <c r="K35" s="1962"/>
      <c r="L35" s="226"/>
    </row>
    <row r="36" spans="1:12" ht="15">
      <c r="A36" s="1484">
        <v>45079</v>
      </c>
      <c r="B36" s="1484" t="s">
        <v>2518</v>
      </c>
      <c r="C36" s="1484" t="s">
        <v>4112</v>
      </c>
      <c r="D36" s="1486" t="s">
        <v>5255</v>
      </c>
      <c r="E36" s="611">
        <v>238.7</v>
      </c>
      <c r="F36" s="731">
        <v>0</v>
      </c>
      <c r="G36" s="611">
        <v>238.7</v>
      </c>
      <c r="H36" s="1484">
        <v>45139</v>
      </c>
      <c r="I36" s="1959"/>
      <c r="J36" s="1920"/>
      <c r="K36" s="1957"/>
      <c r="L36" s="226"/>
    </row>
    <row r="37" spans="1:12" ht="15">
      <c r="A37" s="1798">
        <v>45096</v>
      </c>
      <c r="B37" s="1798" t="s">
        <v>2518</v>
      </c>
      <c r="C37" s="1798" t="s">
        <v>4112</v>
      </c>
      <c r="D37" s="1801" t="s">
        <v>5417</v>
      </c>
      <c r="E37" s="611">
        <v>531.27</v>
      </c>
      <c r="F37" s="731">
        <v>0</v>
      </c>
      <c r="G37" s="611">
        <v>531.27</v>
      </c>
      <c r="H37" s="1798">
        <v>45156</v>
      </c>
      <c r="I37" s="1951">
        <v>5359.51</v>
      </c>
      <c r="J37" s="1903">
        <v>45229</v>
      </c>
      <c r="K37" s="1938" t="s">
        <v>6449</v>
      </c>
      <c r="L37" s="226"/>
    </row>
    <row r="38" spans="1:12" ht="15">
      <c r="A38" s="1798">
        <v>45098</v>
      </c>
      <c r="B38" s="1798" t="s">
        <v>2518</v>
      </c>
      <c r="C38" s="1798" t="s">
        <v>4112</v>
      </c>
      <c r="D38" s="1801" t="s">
        <v>5418</v>
      </c>
      <c r="E38" s="611">
        <v>467.67</v>
      </c>
      <c r="F38" s="731">
        <v>0</v>
      </c>
      <c r="G38" s="611">
        <v>467.67</v>
      </c>
      <c r="H38" s="1798">
        <v>45158</v>
      </c>
      <c r="I38" s="1952"/>
      <c r="J38" s="1904"/>
      <c r="K38" s="1950"/>
      <c r="L38" s="226"/>
    </row>
    <row r="39" spans="1:12" ht="15">
      <c r="A39" s="1798">
        <v>45110</v>
      </c>
      <c r="B39" s="1798" t="s">
        <v>2518</v>
      </c>
      <c r="C39" s="1798" t="s">
        <v>4112</v>
      </c>
      <c r="D39" s="1801" t="s">
        <v>5548</v>
      </c>
      <c r="E39" s="611">
        <v>-55.8</v>
      </c>
      <c r="F39" s="731">
        <v>0</v>
      </c>
      <c r="G39" s="611">
        <v>-55.8</v>
      </c>
      <c r="H39" s="1798">
        <v>45111</v>
      </c>
      <c r="I39" s="1952"/>
      <c r="J39" s="1904"/>
      <c r="K39" s="1950"/>
      <c r="L39" s="226" t="s">
        <v>5549</v>
      </c>
    </row>
    <row r="40" spans="1:12" ht="15">
      <c r="A40" s="1798">
        <v>45124</v>
      </c>
      <c r="B40" s="1798" t="s">
        <v>5522</v>
      </c>
      <c r="C40" s="1798" t="s">
        <v>4112</v>
      </c>
      <c r="D40" s="1801" t="s">
        <v>5640</v>
      </c>
      <c r="E40" s="611">
        <v>269.29000000000002</v>
      </c>
      <c r="F40" s="731">
        <v>0</v>
      </c>
      <c r="G40" s="611">
        <v>269.29000000000002</v>
      </c>
      <c r="H40" s="1798">
        <v>45184</v>
      </c>
      <c r="I40" s="1952"/>
      <c r="J40" s="1904"/>
      <c r="K40" s="1950"/>
      <c r="L40" s="226"/>
    </row>
    <row r="41" spans="1:12" ht="15">
      <c r="A41" s="1798">
        <v>45126</v>
      </c>
      <c r="B41" s="1798" t="s">
        <v>5522</v>
      </c>
      <c r="C41" s="1798" t="s">
        <v>4112</v>
      </c>
      <c r="D41" s="1801" t="s">
        <v>5641</v>
      </c>
      <c r="E41" s="611">
        <v>351.96</v>
      </c>
      <c r="F41" s="731">
        <v>0</v>
      </c>
      <c r="G41" s="611">
        <v>351.96</v>
      </c>
      <c r="H41" s="1798">
        <v>45186</v>
      </c>
      <c r="I41" s="1952"/>
      <c r="J41" s="1904"/>
      <c r="K41" s="1950"/>
      <c r="L41" s="226"/>
    </row>
    <row r="42" spans="1:12" ht="15">
      <c r="A42" s="1798">
        <v>45131</v>
      </c>
      <c r="B42" s="1798" t="s">
        <v>5522</v>
      </c>
      <c r="C42" s="1798" t="s">
        <v>4112</v>
      </c>
      <c r="D42" s="1801" t="s">
        <v>5686</v>
      </c>
      <c r="E42" s="611">
        <v>845.74</v>
      </c>
      <c r="F42" s="731">
        <v>0</v>
      </c>
      <c r="G42" s="611">
        <v>845.74</v>
      </c>
      <c r="H42" s="1798">
        <v>45191</v>
      </c>
      <c r="I42" s="1952"/>
      <c r="J42" s="1904"/>
      <c r="K42" s="1950"/>
      <c r="L42" s="226"/>
    </row>
    <row r="43" spans="1:12" ht="15">
      <c r="A43" s="1798">
        <v>45138</v>
      </c>
      <c r="B43" s="1798" t="s">
        <v>5522</v>
      </c>
      <c r="C43" s="1798" t="s">
        <v>4112</v>
      </c>
      <c r="D43" s="1801" t="s">
        <v>5813</v>
      </c>
      <c r="E43" s="611">
        <v>-117.67</v>
      </c>
      <c r="F43" s="731">
        <v>0</v>
      </c>
      <c r="G43" s="611">
        <v>-117.67</v>
      </c>
      <c r="H43" s="1798"/>
      <c r="I43" s="1952"/>
      <c r="J43" s="1904"/>
      <c r="K43" s="1950"/>
      <c r="L43" s="226"/>
    </row>
    <row r="44" spans="1:12" ht="15">
      <c r="A44" s="1798">
        <v>45138</v>
      </c>
      <c r="B44" s="1798" t="s">
        <v>5522</v>
      </c>
      <c r="C44" s="1798" t="s">
        <v>4112</v>
      </c>
      <c r="D44" s="1801" t="s">
        <v>5814</v>
      </c>
      <c r="E44" s="611">
        <v>-362.53</v>
      </c>
      <c r="F44" s="731">
        <v>0</v>
      </c>
      <c r="G44" s="611">
        <v>-362.53</v>
      </c>
      <c r="H44" s="1798"/>
      <c r="I44" s="1952"/>
      <c r="J44" s="1904"/>
      <c r="K44" s="1950"/>
      <c r="L44" s="226"/>
    </row>
    <row r="45" spans="1:12" ht="15">
      <c r="A45" s="1798">
        <v>45138</v>
      </c>
      <c r="B45" s="1798" t="s">
        <v>5522</v>
      </c>
      <c r="C45" s="1798" t="s">
        <v>4112</v>
      </c>
      <c r="D45" s="1801" t="s">
        <v>5815</v>
      </c>
      <c r="E45" s="611">
        <v>-48.34</v>
      </c>
      <c r="F45" s="731">
        <v>-10.15</v>
      </c>
      <c r="G45" s="611">
        <v>-58.49</v>
      </c>
      <c r="H45" s="1798"/>
      <c r="I45" s="1952"/>
      <c r="J45" s="1904"/>
      <c r="K45" s="1950"/>
      <c r="L45" s="226"/>
    </row>
    <row r="46" spans="1:12" ht="15">
      <c r="A46" s="1798">
        <v>45140</v>
      </c>
      <c r="B46" s="1798" t="s">
        <v>5522</v>
      </c>
      <c r="C46" s="1798" t="s">
        <v>4112</v>
      </c>
      <c r="D46" s="1801" t="s">
        <v>5816</v>
      </c>
      <c r="E46" s="611">
        <v>819.45</v>
      </c>
      <c r="F46" s="731">
        <v>0</v>
      </c>
      <c r="G46" s="611">
        <v>819.45</v>
      </c>
      <c r="H46" s="1798">
        <v>45200</v>
      </c>
      <c r="I46" s="1952"/>
      <c r="J46" s="1904"/>
      <c r="K46" s="1950"/>
      <c r="L46" s="226"/>
    </row>
    <row r="47" spans="1:12" ht="15">
      <c r="A47" s="1798">
        <v>45152</v>
      </c>
      <c r="B47" s="1798" t="s">
        <v>5522</v>
      </c>
      <c r="C47" s="1798" t="s">
        <v>4112</v>
      </c>
      <c r="D47" s="1801" t="s">
        <v>5892</v>
      </c>
      <c r="E47" s="611">
        <v>471.45</v>
      </c>
      <c r="F47" s="731">
        <v>0</v>
      </c>
      <c r="G47" s="611">
        <v>471.45</v>
      </c>
      <c r="H47" s="1798">
        <v>45212</v>
      </c>
      <c r="I47" s="1952"/>
      <c r="J47" s="1904"/>
      <c r="K47" s="1950"/>
      <c r="L47" s="226"/>
    </row>
    <row r="48" spans="1:12" ht="15">
      <c r="A48" s="1798">
        <v>45177</v>
      </c>
      <c r="B48" s="1798" t="s">
        <v>2518</v>
      </c>
      <c r="C48" s="1798" t="s">
        <v>4112</v>
      </c>
      <c r="D48" s="1801" t="s">
        <v>5998</v>
      </c>
      <c r="E48" s="611">
        <v>212.73</v>
      </c>
      <c r="F48" s="731">
        <v>0</v>
      </c>
      <c r="G48" s="611">
        <v>212.73</v>
      </c>
      <c r="H48" s="1798">
        <v>45236</v>
      </c>
      <c r="I48" s="1952"/>
      <c r="J48" s="1904"/>
      <c r="K48" s="1950"/>
      <c r="L48" s="226"/>
    </row>
    <row r="49" spans="1:12" ht="15">
      <c r="A49" s="1798">
        <v>45184</v>
      </c>
      <c r="B49" s="1798" t="s">
        <v>2518</v>
      </c>
      <c r="C49" s="1798" t="s">
        <v>4112</v>
      </c>
      <c r="D49" s="1801" t="s">
        <v>6040</v>
      </c>
      <c r="E49" s="611">
        <v>448</v>
      </c>
      <c r="F49" s="731">
        <v>0</v>
      </c>
      <c r="G49" s="611">
        <v>448</v>
      </c>
      <c r="H49" s="1798">
        <v>45243.000497685185</v>
      </c>
      <c r="I49" s="1952"/>
      <c r="J49" s="1904"/>
      <c r="K49" s="1950"/>
      <c r="L49" s="226"/>
    </row>
    <row r="50" spans="1:12" ht="15">
      <c r="A50" s="1798">
        <v>45188</v>
      </c>
      <c r="B50" s="1798" t="s">
        <v>2518</v>
      </c>
      <c r="C50" s="1798" t="s">
        <v>4112</v>
      </c>
      <c r="D50" s="1801" t="s">
        <v>6101</v>
      </c>
      <c r="E50" s="611">
        <v>543.24</v>
      </c>
      <c r="F50" s="731">
        <v>0</v>
      </c>
      <c r="G50" s="611">
        <v>543.24</v>
      </c>
      <c r="H50" s="1798">
        <v>45247</v>
      </c>
      <c r="I50" s="1952"/>
      <c r="J50" s="1904"/>
      <c r="K50" s="1950"/>
      <c r="L50" s="226"/>
    </row>
    <row r="51" spans="1:12" ht="15">
      <c r="A51" s="1798">
        <v>45195</v>
      </c>
      <c r="B51" s="1798" t="s">
        <v>2518</v>
      </c>
      <c r="C51" s="1798" t="s">
        <v>4112</v>
      </c>
      <c r="D51" s="1801" t="s">
        <v>6205</v>
      </c>
      <c r="E51" s="611">
        <v>251.44</v>
      </c>
      <c r="F51" s="731">
        <v>0</v>
      </c>
      <c r="G51" s="611">
        <v>251.44</v>
      </c>
      <c r="H51" s="1798">
        <v>45254</v>
      </c>
      <c r="I51" s="1952"/>
      <c r="J51" s="1904"/>
      <c r="K51" s="1950"/>
      <c r="L51" s="226"/>
    </row>
    <row r="52" spans="1:12" ht="15">
      <c r="A52" s="1798">
        <v>45196</v>
      </c>
      <c r="B52" s="1798" t="s">
        <v>2518</v>
      </c>
      <c r="C52" s="1798" t="s">
        <v>4112</v>
      </c>
      <c r="D52" s="1801" t="s">
        <v>6206</v>
      </c>
      <c r="E52" s="611">
        <v>458.26</v>
      </c>
      <c r="F52" s="731">
        <v>0</v>
      </c>
      <c r="G52" s="611">
        <v>458.26</v>
      </c>
      <c r="H52" s="1798">
        <v>45255</v>
      </c>
      <c r="I52" s="1952"/>
      <c r="J52" s="1904"/>
      <c r="K52" s="1950"/>
      <c r="L52" s="226"/>
    </row>
    <row r="53" spans="1:12" ht="15">
      <c r="A53" s="1798">
        <v>45203</v>
      </c>
      <c r="B53" s="1798" t="s">
        <v>2518</v>
      </c>
      <c r="C53" s="1798" t="s">
        <v>4112</v>
      </c>
      <c r="D53" s="1801" t="s">
        <v>6207</v>
      </c>
      <c r="E53" s="611">
        <v>283.5</v>
      </c>
      <c r="F53" s="731">
        <v>0</v>
      </c>
      <c r="G53" s="611">
        <v>283.5</v>
      </c>
      <c r="H53" s="1798">
        <v>45262</v>
      </c>
      <c r="I53" s="1953"/>
      <c r="J53" s="1905"/>
      <c r="K53" s="1947"/>
      <c r="L53" s="226"/>
    </row>
    <row r="54" spans="1:12" ht="15">
      <c r="A54" s="623">
        <v>45216.333831018521</v>
      </c>
      <c r="B54" s="623" t="s">
        <v>2518</v>
      </c>
      <c r="C54" s="623" t="s">
        <v>4112</v>
      </c>
      <c r="D54" s="624" t="s">
        <v>6364</v>
      </c>
      <c r="E54" s="605">
        <v>385.53</v>
      </c>
      <c r="F54" s="732">
        <v>0</v>
      </c>
      <c r="G54" s="605">
        <v>385.53</v>
      </c>
      <c r="H54" s="623">
        <v>45275.333831018521</v>
      </c>
      <c r="I54" s="639"/>
      <c r="J54" s="1733"/>
      <c r="K54" s="1731"/>
      <c r="L54" s="226"/>
    </row>
    <row r="55" spans="1:12" ht="15">
      <c r="A55" s="623">
        <v>45226</v>
      </c>
      <c r="B55" s="623" t="s">
        <v>2518</v>
      </c>
      <c r="C55" s="623" t="s">
        <v>4112</v>
      </c>
      <c r="D55" s="624" t="s">
        <v>6420</v>
      </c>
      <c r="E55" s="605">
        <v>419.06</v>
      </c>
      <c r="F55" s="732">
        <v>0</v>
      </c>
      <c r="G55" s="605">
        <v>419.06</v>
      </c>
      <c r="H55" s="623">
        <v>45285</v>
      </c>
      <c r="I55" s="639"/>
      <c r="J55" s="1733"/>
      <c r="K55" s="1731"/>
      <c r="L55" s="226"/>
    </row>
    <row r="56" spans="1:12" ht="15">
      <c r="A56" s="623">
        <v>45243</v>
      </c>
      <c r="B56" s="623" t="s">
        <v>2518</v>
      </c>
      <c r="C56" s="623" t="s">
        <v>4112</v>
      </c>
      <c r="D56" s="624" t="s">
        <v>6568</v>
      </c>
      <c r="E56" s="605">
        <v>761.6</v>
      </c>
      <c r="F56" s="732">
        <v>0</v>
      </c>
      <c r="G56" s="605">
        <v>761.6</v>
      </c>
      <c r="H56" s="623">
        <v>45303</v>
      </c>
      <c r="I56" s="639"/>
      <c r="J56" s="1733"/>
      <c r="K56" s="1731"/>
      <c r="L56" s="226"/>
    </row>
    <row r="57" spans="1:12" ht="15">
      <c r="A57" s="623"/>
      <c r="B57" s="623"/>
      <c r="C57" s="623"/>
      <c r="D57" s="624"/>
      <c r="E57" s="605"/>
      <c r="F57" s="732"/>
      <c r="G57" s="605"/>
      <c r="H57" s="623"/>
      <c r="I57" s="639"/>
      <c r="J57" s="1733"/>
      <c r="K57" s="1731"/>
      <c r="L57" s="226"/>
    </row>
    <row r="58" spans="1:12" ht="15">
      <c r="A58" s="623"/>
      <c r="B58" s="623"/>
      <c r="C58" s="623"/>
      <c r="D58" s="624"/>
      <c r="E58" s="605"/>
      <c r="F58" s="732"/>
      <c r="G58" s="605"/>
      <c r="H58" s="623"/>
      <c r="I58" s="639"/>
      <c r="J58" s="1733"/>
      <c r="K58" s="1731"/>
      <c r="L58" s="226"/>
    </row>
    <row r="59" spans="1:12" ht="15">
      <c r="A59" s="623"/>
      <c r="B59" s="623"/>
      <c r="C59" s="623"/>
      <c r="D59" s="624"/>
      <c r="E59" s="605"/>
      <c r="F59" s="732"/>
      <c r="G59" s="605"/>
      <c r="H59" s="623"/>
      <c r="I59" s="639"/>
      <c r="J59" s="1578"/>
      <c r="K59" s="1577"/>
      <c r="L59" s="226"/>
    </row>
    <row r="60" spans="1:12" ht="15">
      <c r="A60" s="623"/>
      <c r="B60" s="623"/>
      <c r="C60" s="623"/>
      <c r="D60" s="624"/>
      <c r="E60" s="605"/>
      <c r="F60" s="732"/>
      <c r="G60" s="605"/>
      <c r="H60" s="623"/>
      <c r="I60" s="639"/>
      <c r="J60" s="1578"/>
      <c r="K60" s="1577"/>
      <c r="L60" s="226"/>
    </row>
    <row r="61" spans="1:12" ht="15">
      <c r="A61" s="623"/>
      <c r="B61" s="623"/>
      <c r="C61" s="623"/>
      <c r="D61" s="624"/>
      <c r="E61" s="605"/>
      <c r="F61" s="732"/>
      <c r="G61" s="605"/>
      <c r="H61" s="623"/>
      <c r="I61" s="639"/>
      <c r="J61" s="1289"/>
      <c r="K61" s="1288"/>
      <c r="L61" s="226"/>
    </row>
    <row r="62" spans="1:12" ht="15">
      <c r="A62" s="623"/>
      <c r="B62" s="623"/>
      <c r="C62" s="623"/>
      <c r="D62" s="624"/>
      <c r="E62" s="605"/>
      <c r="F62" s="732"/>
      <c r="G62" s="605"/>
      <c r="H62" s="623"/>
      <c r="I62" s="639"/>
      <c r="J62" s="1000"/>
      <c r="K62" s="999"/>
      <c r="L62" s="226"/>
    </row>
    <row r="63" spans="1:12" ht="15">
      <c r="A63" s="623"/>
      <c r="B63" s="623"/>
      <c r="C63" s="623"/>
      <c r="D63" s="624"/>
      <c r="E63" s="605"/>
      <c r="F63" s="732"/>
      <c r="G63" s="605"/>
      <c r="H63" s="623"/>
      <c r="I63" s="639"/>
      <c r="J63" s="620"/>
      <c r="K63" s="589"/>
      <c r="L63" s="226"/>
    </row>
    <row r="64" spans="1:12" ht="15">
      <c r="A64" s="621"/>
      <c r="B64" s="1125"/>
      <c r="C64" s="1125"/>
      <c r="D64" s="619"/>
      <c r="E64" s="619"/>
      <c r="F64" s="1144" t="s">
        <v>545</v>
      </c>
      <c r="G64" s="651">
        <f>SUM(G2:G63)-SUM(I2:I63)</f>
        <v>1566.190000000006</v>
      </c>
      <c r="H64" s="634"/>
      <c r="I64" s="639"/>
      <c r="J64" s="620"/>
      <c r="K64" s="589"/>
      <c r="L64" s="226"/>
    </row>
  </sheetData>
  <mergeCells count="18">
    <mergeCell ref="F10:F11"/>
    <mergeCell ref="E10:E11"/>
    <mergeCell ref="D10:D11"/>
    <mergeCell ref="A10:A11"/>
    <mergeCell ref="K3:K10"/>
    <mergeCell ref="J3:J10"/>
    <mergeCell ref="I3:I10"/>
    <mergeCell ref="C10:C11"/>
    <mergeCell ref="B10:B11"/>
    <mergeCell ref="K11:K28"/>
    <mergeCell ref="J11:J28"/>
    <mergeCell ref="I11:I28"/>
    <mergeCell ref="I37:I53"/>
    <mergeCell ref="K37:K53"/>
    <mergeCell ref="J37:J53"/>
    <mergeCell ref="K29:K36"/>
    <mergeCell ref="J29:J36"/>
    <mergeCell ref="I29:I36"/>
  </mergeCells>
  <phoneticPr fontId="70" type="noConversion"/>
  <hyperlinks>
    <hyperlink ref="F64" location="汇总!A1" display="剩余欠款"/>
  </hyperlinks>
  <pageMargins left="0.7" right="0.7" top="0.75" bottom="0.75" header="0.3" footer="0.3"/>
  <pageSetup paperSize="9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/>
  <dimension ref="A1:L14"/>
  <sheetViews>
    <sheetView workbookViewId="0">
      <pane ySplit="1" topLeftCell="A2" activePane="bottomLeft" state="frozen"/>
      <selection activeCell="C33" sqref="C33"/>
      <selection pane="bottomLeft" activeCell="F14" sqref="F14"/>
    </sheetView>
  </sheetViews>
  <sheetFormatPr defaultColWidth="8.75" defaultRowHeight="14.25"/>
  <cols>
    <col min="1" max="1" width="13" style="168" customWidth="1"/>
    <col min="2" max="2" width="9" style="168" bestFit="1" customWidth="1"/>
    <col min="3" max="3" width="41.625" style="168" bestFit="1" customWidth="1"/>
    <col min="4" max="5" width="15" style="168" customWidth="1"/>
    <col min="6" max="6" width="13" style="527" customWidth="1"/>
    <col min="7" max="7" width="17.25" style="168" bestFit="1" customWidth="1"/>
    <col min="8" max="8" width="16.625" style="168" bestFit="1" customWidth="1"/>
    <col min="9" max="9" width="12.875" style="168" customWidth="1"/>
    <col min="10" max="10" width="15" style="168" bestFit="1" customWidth="1"/>
    <col min="11" max="11" width="12" style="168" customWidth="1"/>
    <col min="12" max="12" width="20.5" style="168" bestFit="1" customWidth="1"/>
    <col min="13" max="16384" width="8.75" style="168"/>
  </cols>
  <sheetData>
    <row r="1" spans="1:12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7" t="s">
        <v>542</v>
      </c>
    </row>
    <row r="2" spans="1:12" ht="15">
      <c r="A2" s="908">
        <v>44826</v>
      </c>
      <c r="B2" s="1124" t="s">
        <v>2518</v>
      </c>
      <c r="C2" s="1124" t="s">
        <v>4111</v>
      </c>
      <c r="D2" s="909" t="s">
        <v>3078</v>
      </c>
      <c r="E2" s="611">
        <v>3981.76</v>
      </c>
      <c r="F2" s="731">
        <v>915.81</v>
      </c>
      <c r="G2" s="611">
        <v>4897.5600000000004</v>
      </c>
      <c r="H2" s="908">
        <v>44885</v>
      </c>
      <c r="I2" s="2023">
        <v>4836.0600000000004</v>
      </c>
      <c r="J2" s="1903">
        <v>44883</v>
      </c>
      <c r="K2" s="1935" t="s">
        <v>3510</v>
      </c>
      <c r="L2" s="226"/>
    </row>
    <row r="3" spans="1:12" ht="15">
      <c r="A3" s="908">
        <v>44831.000497685185</v>
      </c>
      <c r="B3" s="1124" t="s">
        <v>2518</v>
      </c>
      <c r="C3" s="1124" t="s">
        <v>4111</v>
      </c>
      <c r="D3" s="909" t="s">
        <v>3138</v>
      </c>
      <c r="E3" s="611">
        <v>-50</v>
      </c>
      <c r="F3" s="731">
        <v>-11.5</v>
      </c>
      <c r="G3" s="611">
        <v>-61.5</v>
      </c>
      <c r="H3" s="908">
        <v>44832</v>
      </c>
      <c r="I3" s="2025"/>
      <c r="J3" s="1905"/>
      <c r="K3" s="1947"/>
      <c r="L3" s="226" t="s">
        <v>3139</v>
      </c>
    </row>
    <row r="4" spans="1:12" ht="15">
      <c r="A4" s="623"/>
      <c r="B4" s="623"/>
      <c r="C4" s="623"/>
      <c r="D4" s="624"/>
      <c r="E4" s="605"/>
      <c r="F4" s="732"/>
      <c r="G4" s="605"/>
      <c r="H4" s="623"/>
      <c r="I4" s="639"/>
      <c r="J4" s="620"/>
      <c r="K4" s="226"/>
      <c r="L4" s="226"/>
    </row>
    <row r="5" spans="1:12" ht="15">
      <c r="A5" s="623"/>
      <c r="B5" s="623"/>
      <c r="C5" s="623"/>
      <c r="D5" s="624"/>
      <c r="E5" s="605"/>
      <c r="F5" s="732"/>
      <c r="G5" s="605"/>
      <c r="H5" s="623"/>
      <c r="I5" s="639"/>
      <c r="J5" s="620"/>
      <c r="K5" s="226"/>
      <c r="L5" s="226"/>
    </row>
    <row r="6" spans="1:12" ht="15">
      <c r="A6" s="620"/>
      <c r="B6" s="1124"/>
      <c r="C6" s="1124"/>
      <c r="D6" s="621"/>
      <c r="E6" s="605"/>
      <c r="F6" s="732"/>
      <c r="G6" s="639"/>
      <c r="H6" s="620"/>
      <c r="I6" s="639"/>
      <c r="J6" s="620"/>
      <c r="K6" s="226"/>
      <c r="L6" s="226"/>
    </row>
    <row r="7" spans="1:12" ht="15">
      <c r="A7" s="620"/>
      <c r="B7" s="1124"/>
      <c r="C7" s="1124"/>
      <c r="D7" s="621"/>
      <c r="E7" s="605"/>
      <c r="F7" s="732"/>
      <c r="G7" s="639"/>
      <c r="H7" s="620"/>
      <c r="I7" s="639"/>
      <c r="J7" s="620"/>
      <c r="K7" s="226"/>
      <c r="L7" s="226"/>
    </row>
    <row r="8" spans="1:12" ht="15">
      <c r="A8" s="620"/>
      <c r="B8" s="1124"/>
      <c r="C8" s="1124"/>
      <c r="D8" s="621"/>
      <c r="E8" s="605"/>
      <c r="F8" s="732"/>
      <c r="G8" s="639"/>
      <c r="H8" s="620"/>
      <c r="I8" s="639"/>
      <c r="J8" s="620"/>
      <c r="K8" s="226"/>
      <c r="L8" s="226"/>
    </row>
    <row r="9" spans="1:12" ht="15">
      <c r="A9" s="620"/>
      <c r="B9" s="1124"/>
      <c r="C9" s="1124"/>
      <c r="D9" s="621"/>
      <c r="E9" s="605"/>
      <c r="F9" s="732"/>
      <c r="G9" s="639"/>
      <c r="H9" s="620"/>
      <c r="I9" s="639"/>
      <c r="J9" s="620"/>
      <c r="K9" s="226"/>
      <c r="L9" s="226"/>
    </row>
    <row r="10" spans="1:12" ht="15">
      <c r="A10" s="620"/>
      <c r="B10" s="1124"/>
      <c r="C10" s="1124"/>
      <c r="D10" s="621"/>
      <c r="E10" s="605"/>
      <c r="F10" s="732"/>
      <c r="G10" s="639"/>
      <c r="H10" s="620"/>
      <c r="I10" s="639"/>
      <c r="J10" s="620"/>
      <c r="K10" s="226"/>
      <c r="L10" s="226"/>
    </row>
    <row r="11" spans="1:12" ht="15">
      <c r="A11" s="620"/>
      <c r="B11" s="1124"/>
      <c r="C11" s="1124"/>
      <c r="D11" s="621"/>
      <c r="E11" s="605"/>
      <c r="F11" s="732"/>
      <c r="G11" s="639"/>
      <c r="H11" s="620"/>
      <c r="I11" s="639"/>
      <c r="J11" s="620"/>
      <c r="K11" s="226"/>
      <c r="L11" s="226"/>
    </row>
    <row r="12" spans="1:12" ht="15">
      <c r="A12" s="620"/>
      <c r="B12" s="1124"/>
      <c r="C12" s="1124"/>
      <c r="D12" s="621"/>
      <c r="E12" s="605"/>
      <c r="F12" s="732"/>
      <c r="G12" s="639"/>
      <c r="H12" s="620"/>
      <c r="I12" s="639"/>
      <c r="J12" s="620"/>
      <c r="K12" s="226"/>
      <c r="L12" s="226"/>
    </row>
    <row r="13" spans="1:12" ht="15">
      <c r="A13" s="620"/>
      <c r="B13" s="1124"/>
      <c r="C13" s="1124"/>
      <c r="D13" s="621"/>
      <c r="E13" s="605"/>
      <c r="F13" s="732"/>
      <c r="G13" s="639"/>
      <c r="H13" s="620"/>
      <c r="I13" s="639"/>
      <c r="J13" s="620"/>
      <c r="K13" s="226"/>
      <c r="L13" s="226"/>
    </row>
    <row r="14" spans="1:12" ht="15">
      <c r="A14" s="621"/>
      <c r="B14" s="1125"/>
      <c r="C14" s="1125"/>
      <c r="D14" s="619"/>
      <c r="E14" s="619"/>
      <c r="F14" s="1144" t="s">
        <v>545</v>
      </c>
      <c r="G14" s="651">
        <f>SUM(G2:G13)-SUM(I2:I13)</f>
        <v>0</v>
      </c>
      <c r="H14" s="634"/>
      <c r="I14" s="639"/>
      <c r="J14" s="620"/>
      <c r="K14" s="226"/>
      <c r="L14" s="226"/>
    </row>
  </sheetData>
  <mergeCells count="3">
    <mergeCell ref="K2:K3"/>
    <mergeCell ref="J2:J3"/>
    <mergeCell ref="I2:I3"/>
  </mergeCells>
  <phoneticPr fontId="15" type="noConversion"/>
  <hyperlinks>
    <hyperlink ref="F14" location="汇总!A1" display="剩余欠款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28"/>
  <sheetViews>
    <sheetView workbookViewId="0">
      <pane ySplit="1" topLeftCell="A2" activePane="bottomLeft" state="frozen"/>
      <selection activeCell="C33" sqref="C33"/>
      <selection pane="bottomLeft"/>
    </sheetView>
  </sheetViews>
  <sheetFormatPr defaultColWidth="8.75" defaultRowHeight="14.25"/>
  <cols>
    <col min="1" max="1" width="12" style="102" bestFit="1" customWidth="1"/>
    <col min="2" max="2" width="8.875" style="168" bestFit="1" customWidth="1"/>
    <col min="3" max="3" width="19.375" style="168" bestFit="1" customWidth="1"/>
    <col min="4" max="4" width="15" style="102" bestFit="1" customWidth="1"/>
    <col min="5" max="5" width="11.5" style="168" bestFit="1" customWidth="1"/>
    <col min="6" max="6" width="11.125" style="168" customWidth="1"/>
    <col min="7" max="7" width="11.5" style="102" bestFit="1" customWidth="1"/>
    <col min="8" max="8" width="16.75" style="168" bestFit="1" customWidth="1"/>
    <col min="9" max="9" width="14.125" style="102" bestFit="1" customWidth="1"/>
    <col min="10" max="10" width="16.25" style="102" bestFit="1" customWidth="1"/>
    <col min="11" max="11" width="11.375" style="102" bestFit="1" customWidth="1"/>
    <col min="12" max="12" width="6.5" style="102" bestFit="1" customWidth="1"/>
    <col min="13" max="16384" width="8.75" style="102"/>
  </cols>
  <sheetData>
    <row r="1" spans="1:12" customFormat="1" ht="18.75">
      <c r="A1" s="255" t="s">
        <v>536</v>
      </c>
      <c r="B1" s="255" t="s">
        <v>516</v>
      </c>
      <c r="C1" s="255" t="s">
        <v>515</v>
      </c>
      <c r="D1" s="256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6" t="s">
        <v>4100</v>
      </c>
      <c r="K1" s="257" t="s">
        <v>541</v>
      </c>
      <c r="L1" s="256" t="s">
        <v>542</v>
      </c>
    </row>
    <row r="2" spans="1:12" ht="15">
      <c r="A2" s="1918">
        <v>44309</v>
      </c>
      <c r="B2" s="1918" t="s">
        <v>4129</v>
      </c>
      <c r="C2" s="1918" t="s">
        <v>4144</v>
      </c>
      <c r="D2" s="1929" t="s">
        <v>586</v>
      </c>
      <c r="E2" s="1915">
        <v>1183.32</v>
      </c>
      <c r="F2" s="1912">
        <v>0</v>
      </c>
      <c r="G2" s="1974">
        <v>1183.32</v>
      </c>
      <c r="H2" s="1918">
        <v>44309</v>
      </c>
      <c r="I2" s="639">
        <v>500</v>
      </c>
      <c r="J2" s="652">
        <v>44678</v>
      </c>
      <c r="K2" s="228" t="s">
        <v>1826</v>
      </c>
      <c r="L2" s="226"/>
    </row>
    <row r="3" spans="1:12" s="168" customFormat="1" ht="15">
      <c r="A3" s="1919"/>
      <c r="B3" s="1919"/>
      <c r="C3" s="1919"/>
      <c r="D3" s="1977"/>
      <c r="E3" s="1916"/>
      <c r="F3" s="1913"/>
      <c r="G3" s="1975"/>
      <c r="H3" s="1919"/>
      <c r="I3" s="639">
        <v>236.66</v>
      </c>
      <c r="J3" s="652">
        <v>44679</v>
      </c>
      <c r="K3" s="228" t="s">
        <v>1828</v>
      </c>
      <c r="L3" s="226"/>
    </row>
    <row r="4" spans="1:12" s="168" customFormat="1" ht="15">
      <c r="A4" s="1920"/>
      <c r="B4" s="1920"/>
      <c r="C4" s="1920"/>
      <c r="D4" s="1930"/>
      <c r="E4" s="1917"/>
      <c r="F4" s="1914"/>
      <c r="G4" s="1976"/>
      <c r="H4" s="1920"/>
      <c r="I4" s="639">
        <v>446.66</v>
      </c>
      <c r="J4" s="652">
        <v>44679</v>
      </c>
      <c r="K4" s="228" t="s">
        <v>1826</v>
      </c>
      <c r="L4" s="226"/>
    </row>
    <row r="5" spans="1:12" s="168" customFormat="1" ht="15">
      <c r="A5" s="653"/>
      <c r="B5" s="1124"/>
      <c r="C5" s="1124"/>
      <c r="D5" s="654"/>
      <c r="E5" s="654"/>
      <c r="F5" s="654"/>
      <c r="G5" s="655"/>
      <c r="H5" s="653"/>
      <c r="I5" s="639"/>
      <c r="J5" s="652"/>
      <c r="K5" s="431"/>
      <c r="L5" s="226"/>
    </row>
    <row r="6" spans="1:12" s="168" customFormat="1" ht="15">
      <c r="A6" s="653"/>
      <c r="B6" s="1124"/>
      <c r="C6" s="1124"/>
      <c r="D6" s="654"/>
      <c r="E6" s="654"/>
      <c r="F6" s="654"/>
      <c r="G6" s="655"/>
      <c r="H6" s="653"/>
      <c r="I6" s="639"/>
      <c r="J6" s="652"/>
      <c r="K6" s="431"/>
      <c r="L6" s="226"/>
    </row>
    <row r="7" spans="1:12" s="168" customFormat="1" ht="15">
      <c r="A7" s="653"/>
      <c r="B7" s="1124"/>
      <c r="C7" s="1124"/>
      <c r="D7" s="654"/>
      <c r="E7" s="654"/>
      <c r="F7" s="654"/>
      <c r="G7" s="655"/>
      <c r="H7" s="653"/>
      <c r="I7" s="639"/>
      <c r="J7" s="652"/>
      <c r="K7" s="431"/>
      <c r="L7" s="226"/>
    </row>
    <row r="8" spans="1:12" s="168" customFormat="1" ht="15">
      <c r="A8" s="653"/>
      <c r="B8" s="1124"/>
      <c r="C8" s="1124"/>
      <c r="D8" s="654"/>
      <c r="E8" s="654"/>
      <c r="F8" s="654"/>
      <c r="G8" s="655"/>
      <c r="H8" s="653"/>
      <c r="I8" s="639"/>
      <c r="J8" s="652"/>
      <c r="K8" s="431"/>
      <c r="L8" s="226"/>
    </row>
    <row r="9" spans="1:12" ht="15">
      <c r="A9" s="621"/>
      <c r="B9" s="1124"/>
      <c r="C9" s="1124"/>
      <c r="D9" s="621"/>
      <c r="E9" s="621"/>
      <c r="F9" s="621"/>
      <c r="G9" s="656"/>
      <c r="H9" s="634"/>
      <c r="I9" s="639"/>
      <c r="J9" s="634"/>
      <c r="K9" s="226"/>
      <c r="L9" s="226"/>
    </row>
    <row r="10" spans="1:12" ht="15">
      <c r="A10" s="621"/>
      <c r="B10" s="1124"/>
      <c r="C10" s="1124"/>
      <c r="D10" s="621"/>
      <c r="E10" s="619"/>
      <c r="F10" s="1144" t="s">
        <v>545</v>
      </c>
      <c r="G10" s="657">
        <f>SUM(G2:G9)-SUM(I2:I9)</f>
        <v>0</v>
      </c>
      <c r="H10" s="634"/>
      <c r="I10" s="639"/>
      <c r="J10" s="634"/>
      <c r="K10" s="226"/>
      <c r="L10" s="226"/>
    </row>
    <row r="11" spans="1:12">
      <c r="A11" s="168"/>
      <c r="D11" s="168"/>
    </row>
    <row r="12" spans="1:12">
      <c r="A12" s="168"/>
      <c r="D12" s="168"/>
    </row>
    <row r="13" spans="1:12">
      <c r="A13" s="168"/>
      <c r="D13" s="168"/>
    </row>
    <row r="14" spans="1:12">
      <c r="A14" s="168"/>
      <c r="D14" s="168"/>
    </row>
    <row r="15" spans="1:12">
      <c r="A15" s="168"/>
      <c r="D15" s="168"/>
    </row>
    <row r="16" spans="1:12">
      <c r="A16" s="168"/>
      <c r="D16" s="168"/>
    </row>
    <row r="17" spans="1:4">
      <c r="A17" s="168"/>
      <c r="D17" s="168"/>
    </row>
    <row r="18" spans="1:4">
      <c r="A18" s="168"/>
      <c r="D18" s="168"/>
    </row>
    <row r="19" spans="1:4">
      <c r="A19" s="168"/>
      <c r="D19" s="168"/>
    </row>
    <row r="20" spans="1:4">
      <c r="A20" s="168"/>
      <c r="D20" s="168"/>
    </row>
    <row r="21" spans="1:4">
      <c r="A21" s="168"/>
      <c r="D21" s="168"/>
    </row>
    <row r="22" spans="1:4">
      <c r="A22" s="168"/>
      <c r="D22" s="168"/>
    </row>
    <row r="23" spans="1:4">
      <c r="A23" s="168"/>
      <c r="D23" s="168"/>
    </row>
    <row r="24" spans="1:4">
      <c r="A24" s="168"/>
      <c r="D24" s="168"/>
    </row>
    <row r="25" spans="1:4">
      <c r="A25" s="168"/>
      <c r="D25" s="168"/>
    </row>
    <row r="26" spans="1:4">
      <c r="A26" s="168"/>
      <c r="D26" s="168"/>
    </row>
    <row r="27" spans="1:4">
      <c r="A27" s="168"/>
      <c r="D27" s="168"/>
    </row>
    <row r="28" spans="1:4">
      <c r="A28" s="168"/>
      <c r="D28" s="168"/>
    </row>
  </sheetData>
  <mergeCells count="8">
    <mergeCell ref="G2:G4"/>
    <mergeCell ref="D2:D4"/>
    <mergeCell ref="A2:A4"/>
    <mergeCell ref="H2:H4"/>
    <mergeCell ref="F2:F4"/>
    <mergeCell ref="E2:E4"/>
    <mergeCell ref="C2:C4"/>
    <mergeCell ref="B2:B4"/>
  </mergeCells>
  <phoneticPr fontId="15" type="noConversion"/>
  <hyperlinks>
    <hyperlink ref="F10" location="汇总!A1" display="剩余欠款"/>
  </hyperlinks>
  <pageMargins left="0.7" right="0.7" top="0.75" bottom="0.75" header="0.3" footer="0.3"/>
  <pageSetup paperSize="9" orientation="portrait" horizontalDpi="0" verticalDpi="0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/>
  <dimension ref="A1:L23"/>
  <sheetViews>
    <sheetView workbookViewId="0">
      <pane ySplit="1" topLeftCell="A2" activePane="bottomLeft" state="frozen"/>
      <selection activeCell="C33" sqref="C33"/>
      <selection pane="bottomLeft" activeCell="F23" sqref="F23"/>
    </sheetView>
  </sheetViews>
  <sheetFormatPr defaultColWidth="8.75" defaultRowHeight="14.25"/>
  <cols>
    <col min="1" max="1" width="13" style="168" customWidth="1"/>
    <col min="2" max="2" width="9" style="168" bestFit="1" customWidth="1"/>
    <col min="3" max="3" width="23.875" style="168" bestFit="1" customWidth="1"/>
    <col min="4" max="5" width="15" style="168" customWidth="1"/>
    <col min="6" max="6" width="15" style="527" customWidth="1"/>
    <col min="7" max="7" width="18.375" style="168" bestFit="1" customWidth="1"/>
    <col min="8" max="8" width="16.625" style="168" bestFit="1" customWidth="1"/>
    <col min="9" max="9" width="12.875" style="168" customWidth="1"/>
    <col min="10" max="10" width="15" style="168" bestFit="1" customWidth="1"/>
    <col min="11" max="11" width="12" style="168" customWidth="1"/>
    <col min="12" max="12" width="46.375" style="168" customWidth="1"/>
    <col min="13" max="16384" width="8.75" style="168"/>
  </cols>
  <sheetData>
    <row r="1" spans="1:12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7" t="s">
        <v>542</v>
      </c>
    </row>
    <row r="2" spans="1:12" ht="15">
      <c r="A2" s="981">
        <v>44834</v>
      </c>
      <c r="B2" s="1124" t="s">
        <v>2518</v>
      </c>
      <c r="C2" s="1124" t="s">
        <v>4110</v>
      </c>
      <c r="D2" s="982" t="s">
        <v>3164</v>
      </c>
      <c r="E2" s="611">
        <v>774.55</v>
      </c>
      <c r="F2" s="731">
        <v>162.66</v>
      </c>
      <c r="G2" s="611">
        <v>937.2</v>
      </c>
      <c r="H2" s="981">
        <v>44864.000497685185</v>
      </c>
      <c r="I2" s="611">
        <v>937.2</v>
      </c>
      <c r="J2" s="810">
        <v>44902</v>
      </c>
      <c r="K2" s="978" t="s">
        <v>3673</v>
      </c>
      <c r="L2" s="226"/>
    </row>
    <row r="3" spans="1:12" ht="15">
      <c r="A3" s="1065">
        <v>44875</v>
      </c>
      <c r="B3" s="1124" t="s">
        <v>2518</v>
      </c>
      <c r="C3" s="1124" t="s">
        <v>4110</v>
      </c>
      <c r="D3" s="1068" t="s">
        <v>3439</v>
      </c>
      <c r="E3" s="611">
        <v>1422.94</v>
      </c>
      <c r="F3" s="731">
        <v>298.82</v>
      </c>
      <c r="G3" s="611">
        <v>1721.76</v>
      </c>
      <c r="H3" s="1065">
        <v>44905</v>
      </c>
      <c r="I3" s="611">
        <v>1721.76</v>
      </c>
      <c r="J3" s="1065">
        <v>44945</v>
      </c>
      <c r="K3" s="1059" t="s">
        <v>3673</v>
      </c>
      <c r="L3" s="226"/>
    </row>
    <row r="4" spans="1:12" ht="15">
      <c r="A4" s="1201">
        <v>44914</v>
      </c>
      <c r="B4" s="1201" t="s">
        <v>2518</v>
      </c>
      <c r="C4" s="1201" t="s">
        <v>4110</v>
      </c>
      <c r="D4" s="1202" t="s">
        <v>3769</v>
      </c>
      <c r="E4" s="611">
        <v>2277.92</v>
      </c>
      <c r="F4" s="731">
        <v>478.36</v>
      </c>
      <c r="G4" s="611">
        <v>2756.28</v>
      </c>
      <c r="H4" s="1201">
        <v>44944</v>
      </c>
      <c r="I4" s="611">
        <v>2756.28</v>
      </c>
      <c r="J4" s="1201">
        <v>44988</v>
      </c>
      <c r="K4" s="1200" t="s">
        <v>3673</v>
      </c>
      <c r="L4" s="226"/>
    </row>
    <row r="5" spans="1:12" ht="15">
      <c r="A5" s="1339">
        <v>44979</v>
      </c>
      <c r="B5" s="1339" t="s">
        <v>2518</v>
      </c>
      <c r="C5" s="1339" t="s">
        <v>4110</v>
      </c>
      <c r="D5" s="1341" t="s">
        <v>4211</v>
      </c>
      <c r="E5" s="611">
        <v>2261.4899999999998</v>
      </c>
      <c r="F5" s="731">
        <v>474.91</v>
      </c>
      <c r="G5" s="611">
        <v>2736.4</v>
      </c>
      <c r="H5" s="1339">
        <v>45039</v>
      </c>
      <c r="I5" s="611">
        <v>2736.4</v>
      </c>
      <c r="J5" s="1339">
        <v>45044</v>
      </c>
      <c r="K5" s="1337" t="s">
        <v>3673</v>
      </c>
      <c r="L5" s="226"/>
    </row>
    <row r="6" spans="1:12" ht="15">
      <c r="A6" s="1427">
        <v>45006</v>
      </c>
      <c r="B6" s="1427" t="s">
        <v>2518</v>
      </c>
      <c r="C6" s="1427" t="s">
        <v>4110</v>
      </c>
      <c r="D6" s="1428" t="s">
        <v>4543</v>
      </c>
      <c r="E6" s="611">
        <v>1032.99</v>
      </c>
      <c r="F6" s="731">
        <v>216.93</v>
      </c>
      <c r="G6" s="611">
        <v>1249.92</v>
      </c>
      <c r="H6" s="1427">
        <v>45036</v>
      </c>
      <c r="I6" s="639">
        <v>1249.92</v>
      </c>
      <c r="J6" s="810">
        <v>45068</v>
      </c>
      <c r="K6" s="1425" t="s">
        <v>3673</v>
      </c>
      <c r="L6" s="226"/>
    </row>
    <row r="7" spans="1:12" ht="28.5">
      <c r="A7" s="623">
        <v>45030.000497685185</v>
      </c>
      <c r="B7" s="623" t="s">
        <v>2518</v>
      </c>
      <c r="C7" s="623" t="s">
        <v>4110</v>
      </c>
      <c r="D7" s="624" t="s">
        <v>4713</v>
      </c>
      <c r="E7" s="605">
        <v>0.02</v>
      </c>
      <c r="F7" s="732">
        <v>0</v>
      </c>
      <c r="G7" s="605">
        <v>0.02</v>
      </c>
      <c r="H7" s="623">
        <v>45060</v>
      </c>
      <c r="I7" s="639"/>
      <c r="J7" s="810"/>
      <c r="K7" s="978"/>
      <c r="L7" s="366" t="s">
        <v>5396</v>
      </c>
    </row>
    <row r="8" spans="1:12" ht="15">
      <c r="A8" s="1472">
        <v>45033</v>
      </c>
      <c r="B8" s="1472" t="s">
        <v>2518</v>
      </c>
      <c r="C8" s="1472" t="s">
        <v>4110</v>
      </c>
      <c r="D8" s="1475" t="s">
        <v>4799</v>
      </c>
      <c r="E8" s="611">
        <v>1981.16</v>
      </c>
      <c r="F8" s="731">
        <v>416.04</v>
      </c>
      <c r="G8" s="611">
        <v>2397.1999999999998</v>
      </c>
      <c r="H8" s="1472">
        <v>45063</v>
      </c>
      <c r="I8" s="611">
        <v>2397.1999999999998</v>
      </c>
      <c r="J8" s="1472">
        <v>45093</v>
      </c>
      <c r="K8" s="1471" t="s">
        <v>3673</v>
      </c>
      <c r="L8" s="166"/>
    </row>
    <row r="9" spans="1:12" ht="15">
      <c r="A9" s="623">
        <v>45062</v>
      </c>
      <c r="B9" s="623" t="s">
        <v>2518</v>
      </c>
      <c r="C9" s="623" t="s">
        <v>4110</v>
      </c>
      <c r="D9" s="624" t="s">
        <v>5088</v>
      </c>
      <c r="E9" s="605">
        <v>1213.8800000000001</v>
      </c>
      <c r="F9" s="732">
        <v>254.92</v>
      </c>
      <c r="G9" s="605">
        <v>1468.8</v>
      </c>
      <c r="H9" s="623">
        <v>45122</v>
      </c>
      <c r="I9" s="639"/>
      <c r="J9" s="810"/>
      <c r="K9" s="978"/>
      <c r="L9" s="226"/>
    </row>
    <row r="10" spans="1:12" ht="15">
      <c r="A10" s="623">
        <v>45064</v>
      </c>
      <c r="B10" s="623" t="s">
        <v>2518</v>
      </c>
      <c r="C10" s="623" t="s">
        <v>4110</v>
      </c>
      <c r="D10" s="624" t="s">
        <v>5089</v>
      </c>
      <c r="E10" s="605">
        <v>3060.73</v>
      </c>
      <c r="F10" s="732">
        <v>642.75</v>
      </c>
      <c r="G10" s="605">
        <v>3703.48</v>
      </c>
      <c r="H10" s="623">
        <v>45124</v>
      </c>
      <c r="I10" s="639"/>
      <c r="J10" s="810"/>
      <c r="K10" s="978"/>
      <c r="L10" s="226"/>
    </row>
    <row r="11" spans="1:12" ht="15">
      <c r="A11" s="623">
        <v>45071</v>
      </c>
      <c r="B11" s="623" t="s">
        <v>2518</v>
      </c>
      <c r="C11" s="623" t="s">
        <v>4110</v>
      </c>
      <c r="D11" s="624" t="s">
        <v>5195</v>
      </c>
      <c r="E11" s="605">
        <v>-247.93</v>
      </c>
      <c r="F11" s="732">
        <v>-52.07</v>
      </c>
      <c r="G11" s="605">
        <v>-300</v>
      </c>
      <c r="H11" s="623"/>
      <c r="I11" s="639"/>
      <c r="J11" s="1394"/>
      <c r="K11" s="1389"/>
      <c r="L11" s="226"/>
    </row>
    <row r="12" spans="1:12" ht="15">
      <c r="A12" s="1679">
        <v>45089</v>
      </c>
      <c r="B12" s="1679" t="s">
        <v>2518</v>
      </c>
      <c r="C12" s="1679" t="s">
        <v>4110</v>
      </c>
      <c r="D12" s="1682" t="s">
        <v>5372</v>
      </c>
      <c r="E12" s="611">
        <v>1119.47</v>
      </c>
      <c r="F12" s="731">
        <v>235.09</v>
      </c>
      <c r="G12" s="611">
        <v>1354.56</v>
      </c>
      <c r="H12" s="1679">
        <v>45119</v>
      </c>
      <c r="I12" s="611">
        <v>1354.56</v>
      </c>
      <c r="J12" s="1679">
        <v>45175</v>
      </c>
      <c r="K12" s="1677" t="s">
        <v>3673</v>
      </c>
      <c r="L12" s="166"/>
    </row>
    <row r="13" spans="1:12" ht="15">
      <c r="A13" s="1697">
        <v>45114</v>
      </c>
      <c r="B13" s="1697" t="s">
        <v>5522</v>
      </c>
      <c r="C13" s="1697" t="s">
        <v>4110</v>
      </c>
      <c r="D13" s="1699" t="s">
        <v>5543</v>
      </c>
      <c r="E13" s="611">
        <v>2146.38</v>
      </c>
      <c r="F13" s="731">
        <v>450.74</v>
      </c>
      <c r="G13" s="611">
        <v>2597.12</v>
      </c>
      <c r="H13" s="1697">
        <v>45174</v>
      </c>
      <c r="I13" s="611">
        <v>2597.12</v>
      </c>
      <c r="J13" s="1697">
        <v>45182</v>
      </c>
      <c r="K13" s="1698" t="s">
        <v>3673</v>
      </c>
      <c r="L13" s="226"/>
    </row>
    <row r="14" spans="1:12" ht="15">
      <c r="A14" s="1768">
        <v>45149</v>
      </c>
      <c r="B14" s="1768" t="s">
        <v>5522</v>
      </c>
      <c r="C14" s="1768" t="s">
        <v>4110</v>
      </c>
      <c r="D14" s="1769" t="s">
        <v>5861</v>
      </c>
      <c r="E14" s="611">
        <v>589.49</v>
      </c>
      <c r="F14" s="731">
        <v>123.79</v>
      </c>
      <c r="G14" s="611">
        <v>713.28</v>
      </c>
      <c r="H14" s="1768">
        <v>45209</v>
      </c>
      <c r="I14" s="611">
        <v>713.28</v>
      </c>
      <c r="J14" s="1768">
        <v>45212</v>
      </c>
      <c r="K14" s="1766" t="s">
        <v>3673</v>
      </c>
      <c r="L14" s="226"/>
    </row>
    <row r="15" spans="1:12" ht="15">
      <c r="A15" s="1835">
        <v>45169</v>
      </c>
      <c r="B15" s="1835" t="s">
        <v>2518</v>
      </c>
      <c r="C15" s="1835" t="s">
        <v>4110</v>
      </c>
      <c r="D15" s="1837" t="s">
        <v>5946</v>
      </c>
      <c r="E15" s="611">
        <v>864.4</v>
      </c>
      <c r="F15" s="731">
        <v>181.52</v>
      </c>
      <c r="G15" s="611">
        <v>1045.92</v>
      </c>
      <c r="H15" s="1835">
        <v>45229.000497685185</v>
      </c>
      <c r="I15" s="611">
        <v>1045.92</v>
      </c>
      <c r="J15" s="1835">
        <v>45240</v>
      </c>
      <c r="K15" s="1836" t="s">
        <v>3673</v>
      </c>
      <c r="L15" s="226"/>
    </row>
    <row r="16" spans="1:12" ht="15">
      <c r="A16" s="623">
        <v>45208</v>
      </c>
      <c r="B16" s="623" t="s">
        <v>2518</v>
      </c>
      <c r="C16" s="623" t="s">
        <v>4110</v>
      </c>
      <c r="D16" s="624" t="s">
        <v>6311</v>
      </c>
      <c r="E16" s="605">
        <v>3099.93</v>
      </c>
      <c r="F16" s="732">
        <v>650.99</v>
      </c>
      <c r="G16" s="605">
        <v>3750.92</v>
      </c>
      <c r="H16" s="623">
        <v>45267</v>
      </c>
      <c r="I16" s="639"/>
      <c r="J16" s="1597"/>
      <c r="K16" s="1593"/>
      <c r="L16" s="226"/>
    </row>
    <row r="17" spans="1:12" ht="15">
      <c r="A17" s="623">
        <v>45236</v>
      </c>
      <c r="B17" s="623" t="s">
        <v>2518</v>
      </c>
      <c r="C17" s="623" t="s">
        <v>4110</v>
      </c>
      <c r="D17" s="624" t="s">
        <v>6517</v>
      </c>
      <c r="E17" s="605">
        <v>-51.54</v>
      </c>
      <c r="F17" s="732">
        <v>-10.82</v>
      </c>
      <c r="G17" s="605">
        <v>-62.36</v>
      </c>
      <c r="H17" s="623"/>
      <c r="I17" s="639"/>
      <c r="J17" s="1597"/>
      <c r="K17" s="1593"/>
      <c r="L17" s="226"/>
    </row>
    <row r="18" spans="1:12" ht="15">
      <c r="A18" s="623"/>
      <c r="B18" s="623"/>
      <c r="C18" s="623"/>
      <c r="D18" s="624"/>
      <c r="E18" s="605"/>
      <c r="F18" s="732"/>
      <c r="G18" s="605"/>
      <c r="H18" s="623"/>
      <c r="I18" s="639"/>
      <c r="J18" s="1394"/>
      <c r="K18" s="1389"/>
      <c r="L18" s="226"/>
    </row>
    <row r="19" spans="1:12" ht="15">
      <c r="A19" s="623"/>
      <c r="B19" s="623"/>
      <c r="C19" s="623"/>
      <c r="D19" s="624"/>
      <c r="E19" s="605"/>
      <c r="F19" s="732"/>
      <c r="G19" s="605"/>
      <c r="H19" s="623"/>
      <c r="I19" s="639"/>
      <c r="J19" s="1394"/>
      <c r="K19" s="1389"/>
      <c r="L19" s="226"/>
    </row>
    <row r="20" spans="1:12" ht="15">
      <c r="A20" s="623"/>
      <c r="B20" s="623"/>
      <c r="C20" s="623"/>
      <c r="D20" s="624"/>
      <c r="E20" s="605"/>
      <c r="F20" s="732"/>
      <c r="G20" s="605"/>
      <c r="H20" s="623"/>
      <c r="I20" s="639"/>
      <c r="J20" s="810"/>
      <c r="K20" s="978"/>
      <c r="L20" s="226"/>
    </row>
    <row r="21" spans="1:12" ht="15">
      <c r="A21" s="623"/>
      <c r="B21" s="623"/>
      <c r="C21" s="623"/>
      <c r="D21" s="624"/>
      <c r="E21" s="605"/>
      <c r="F21" s="732"/>
      <c r="G21" s="605"/>
      <c r="H21" s="623"/>
      <c r="I21" s="639"/>
      <c r="J21" s="810"/>
      <c r="K21" s="978"/>
      <c r="L21" s="226"/>
    </row>
    <row r="22" spans="1:12" ht="15">
      <c r="A22" s="623"/>
      <c r="B22" s="623"/>
      <c r="C22" s="623"/>
      <c r="D22" s="624"/>
      <c r="E22" s="605"/>
      <c r="F22" s="732"/>
      <c r="G22" s="605"/>
      <c r="H22" s="623"/>
      <c r="I22" s="639"/>
      <c r="J22" s="810"/>
      <c r="K22" s="978"/>
      <c r="L22" s="226"/>
    </row>
    <row r="23" spans="1:12" ht="15">
      <c r="A23" s="811"/>
      <c r="B23" s="1125"/>
      <c r="C23" s="1125"/>
      <c r="D23" s="619"/>
      <c r="E23" s="619"/>
      <c r="F23" s="1144" t="s">
        <v>545</v>
      </c>
      <c r="G23" s="651">
        <f>SUM(G2:G22)-SUM(I2:I22)</f>
        <v>8560.8599999999933</v>
      </c>
      <c r="H23" s="634"/>
      <c r="I23" s="639"/>
      <c r="J23" s="810"/>
      <c r="K23" s="226"/>
      <c r="L23" s="226"/>
    </row>
  </sheetData>
  <phoneticPr fontId="78" type="noConversion"/>
  <hyperlinks>
    <hyperlink ref="F23" location="汇总!A1" display="剩余欠款"/>
  </hyperlinks>
  <pageMargins left="0.7" right="0.7" top="0.75" bottom="0.75" header="0.3" footer="0.3"/>
  <pageSetup paperSize="9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L18"/>
  <sheetViews>
    <sheetView workbookViewId="0">
      <pane ySplit="1" topLeftCell="A2" activePane="bottomLeft" state="frozen"/>
      <selection activeCell="C33" sqref="C33"/>
      <selection pane="bottomLeft" activeCell="F18" sqref="F18"/>
    </sheetView>
  </sheetViews>
  <sheetFormatPr defaultColWidth="8.75" defaultRowHeight="14.25"/>
  <cols>
    <col min="1" max="1" width="13" style="168" customWidth="1"/>
    <col min="2" max="2" width="9" style="168" bestFit="1" customWidth="1"/>
    <col min="3" max="3" width="17.25" style="168" bestFit="1" customWidth="1"/>
    <col min="4" max="5" width="15" style="168" customWidth="1"/>
    <col min="6" max="6" width="15" style="527" customWidth="1"/>
    <col min="7" max="7" width="11.375" style="168" bestFit="1" customWidth="1"/>
    <col min="8" max="8" width="16.625" style="168" bestFit="1" customWidth="1"/>
    <col min="9" max="9" width="12.875" style="168" customWidth="1"/>
    <col min="10" max="10" width="15" style="168" bestFit="1" customWidth="1"/>
    <col min="11" max="11" width="21.625" style="168" bestFit="1" customWidth="1"/>
    <col min="12" max="12" width="16.125" style="168" bestFit="1" customWidth="1"/>
    <col min="13" max="16384" width="8.75" style="168"/>
  </cols>
  <sheetData>
    <row r="1" spans="1:12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7" t="s">
        <v>542</v>
      </c>
    </row>
    <row r="2" spans="1:12" ht="15">
      <c r="A2" s="931">
        <v>44844</v>
      </c>
      <c r="B2" s="1124" t="s">
        <v>2518</v>
      </c>
      <c r="C2" s="1124" t="s">
        <v>4109</v>
      </c>
      <c r="D2" s="936" t="s">
        <v>3280</v>
      </c>
      <c r="E2" s="611">
        <v>579.34</v>
      </c>
      <c r="F2" s="731">
        <v>0</v>
      </c>
      <c r="G2" s="611">
        <v>579.34</v>
      </c>
      <c r="H2" s="931">
        <v>44866</v>
      </c>
      <c r="I2" s="611">
        <v>579.34</v>
      </c>
      <c r="J2" s="931">
        <v>44893</v>
      </c>
      <c r="K2" s="1029" t="s">
        <v>3647</v>
      </c>
      <c r="L2" s="166"/>
    </row>
    <row r="3" spans="1:12" ht="15">
      <c r="A3" s="1258">
        <v>44890</v>
      </c>
      <c r="B3" s="1258" t="s">
        <v>2518</v>
      </c>
      <c r="C3" s="1258" t="s">
        <v>4109</v>
      </c>
      <c r="D3" s="1262" t="s">
        <v>3526</v>
      </c>
      <c r="E3" s="611">
        <v>918.11</v>
      </c>
      <c r="F3" s="731">
        <v>0</v>
      </c>
      <c r="G3" s="611">
        <v>918.11</v>
      </c>
      <c r="H3" s="1258">
        <v>44898</v>
      </c>
      <c r="I3" s="611">
        <v>918.11</v>
      </c>
      <c r="J3" s="1258">
        <v>44938</v>
      </c>
      <c r="K3" s="1026" t="s">
        <v>3929</v>
      </c>
      <c r="L3" s="226"/>
    </row>
    <row r="4" spans="1:12" ht="15">
      <c r="A4" s="1258">
        <v>44970</v>
      </c>
      <c r="B4" s="1258" t="s">
        <v>2518</v>
      </c>
      <c r="C4" s="1258" t="s">
        <v>4109</v>
      </c>
      <c r="D4" s="1262" t="s">
        <v>4161</v>
      </c>
      <c r="E4" s="611">
        <v>670.05</v>
      </c>
      <c r="F4" s="731">
        <v>0</v>
      </c>
      <c r="G4" s="611">
        <v>670.05</v>
      </c>
      <c r="H4" s="1258">
        <v>45015</v>
      </c>
      <c r="I4" s="611">
        <v>670.05</v>
      </c>
      <c r="J4" s="1258">
        <v>45006</v>
      </c>
      <c r="K4" s="1026" t="s">
        <v>550</v>
      </c>
      <c r="L4" s="226"/>
    </row>
    <row r="5" spans="1:12" ht="15">
      <c r="A5" s="1377">
        <v>45016</v>
      </c>
      <c r="B5" s="1377" t="s">
        <v>2518</v>
      </c>
      <c r="C5" s="1377" t="s">
        <v>4109</v>
      </c>
      <c r="D5" s="1380" t="s">
        <v>4626</v>
      </c>
      <c r="E5" s="611">
        <v>633.6</v>
      </c>
      <c r="F5" s="731">
        <v>0</v>
      </c>
      <c r="G5" s="611">
        <v>633.6</v>
      </c>
      <c r="H5" s="1377">
        <v>45076</v>
      </c>
      <c r="I5" s="611">
        <v>633.6</v>
      </c>
      <c r="J5" s="837">
        <v>45054</v>
      </c>
      <c r="K5" s="1026" t="s">
        <v>4998</v>
      </c>
      <c r="L5" s="226"/>
    </row>
    <row r="6" spans="1:12" ht="15">
      <c r="A6" s="623">
        <v>45051</v>
      </c>
      <c r="B6" s="623" t="s">
        <v>2518</v>
      </c>
      <c r="C6" s="623" t="s">
        <v>4109</v>
      </c>
      <c r="D6" s="624" t="s">
        <v>4912</v>
      </c>
      <c r="E6" s="605">
        <v>624.6</v>
      </c>
      <c r="F6" s="732">
        <v>0</v>
      </c>
      <c r="G6" s="605">
        <v>624.6</v>
      </c>
      <c r="H6" s="623">
        <v>45111</v>
      </c>
      <c r="I6" s="639"/>
      <c r="J6" s="837"/>
      <c r="K6" s="1026"/>
      <c r="L6" s="226"/>
    </row>
    <row r="7" spans="1:12" ht="15">
      <c r="A7" s="623">
        <v>45089</v>
      </c>
      <c r="B7" s="623" t="s">
        <v>2518</v>
      </c>
      <c r="C7" s="623" t="s">
        <v>4109</v>
      </c>
      <c r="D7" s="624" t="s">
        <v>5375</v>
      </c>
      <c r="E7" s="605">
        <v>312.98</v>
      </c>
      <c r="F7" s="732">
        <v>0</v>
      </c>
      <c r="G7" s="605">
        <v>312.98</v>
      </c>
      <c r="H7" s="623">
        <v>45149</v>
      </c>
      <c r="I7" s="639"/>
      <c r="J7" s="837"/>
      <c r="K7" s="1026"/>
      <c r="L7" s="226"/>
    </row>
    <row r="8" spans="1:12" ht="15">
      <c r="A8" s="623">
        <v>45098</v>
      </c>
      <c r="B8" s="623" t="s">
        <v>2518</v>
      </c>
      <c r="C8" s="623" t="s">
        <v>4109</v>
      </c>
      <c r="D8" s="624" t="s">
        <v>5407</v>
      </c>
      <c r="E8" s="605">
        <v>699.04</v>
      </c>
      <c r="F8" s="732">
        <v>0</v>
      </c>
      <c r="G8" s="605">
        <v>699.04</v>
      </c>
      <c r="H8" s="623">
        <v>45158</v>
      </c>
      <c r="I8" s="639"/>
      <c r="J8" s="837"/>
      <c r="K8" s="1026"/>
      <c r="L8" s="226"/>
    </row>
    <row r="9" spans="1:12" ht="15">
      <c r="A9" s="623">
        <v>45142</v>
      </c>
      <c r="B9" s="623" t="s">
        <v>5522</v>
      </c>
      <c r="C9" s="623" t="s">
        <v>4109</v>
      </c>
      <c r="D9" s="624" t="s">
        <v>5740</v>
      </c>
      <c r="E9" s="605">
        <v>1651.29</v>
      </c>
      <c r="F9" s="732">
        <v>0</v>
      </c>
      <c r="G9" s="605">
        <v>1651.29</v>
      </c>
      <c r="H9" s="623">
        <v>45202</v>
      </c>
      <c r="I9" s="639"/>
      <c r="J9" s="1578"/>
      <c r="K9" s="1577"/>
      <c r="L9" s="226"/>
    </row>
    <row r="10" spans="1:12" ht="15">
      <c r="A10" s="623">
        <v>45229</v>
      </c>
      <c r="B10" s="623" t="s">
        <v>5522</v>
      </c>
      <c r="C10" s="623" t="s">
        <v>4109</v>
      </c>
      <c r="D10" s="624" t="s">
        <v>6471</v>
      </c>
      <c r="E10" s="605">
        <v>1242.04</v>
      </c>
      <c r="F10" s="732">
        <v>0</v>
      </c>
      <c r="G10" s="605">
        <v>1242.04</v>
      </c>
      <c r="H10" s="623">
        <v>45289</v>
      </c>
      <c r="I10" s="639"/>
      <c r="J10" s="1578"/>
      <c r="K10" s="1577"/>
      <c r="L10" s="226"/>
    </row>
    <row r="11" spans="1:12" ht="15">
      <c r="A11" s="623"/>
      <c r="B11" s="623"/>
      <c r="C11" s="623"/>
      <c r="D11" s="624"/>
      <c r="E11" s="605"/>
      <c r="F11" s="732"/>
      <c r="G11" s="605"/>
      <c r="H11" s="623"/>
      <c r="I11" s="639"/>
      <c r="J11" s="1578"/>
      <c r="K11" s="1577"/>
      <c r="L11" s="226"/>
    </row>
    <row r="12" spans="1:12" ht="15">
      <c r="A12" s="623"/>
      <c r="B12" s="623"/>
      <c r="C12" s="623"/>
      <c r="D12" s="624"/>
      <c r="E12" s="605"/>
      <c r="F12" s="732"/>
      <c r="G12" s="605"/>
      <c r="H12" s="623"/>
      <c r="I12" s="639"/>
      <c r="J12" s="1578"/>
      <c r="K12" s="1577"/>
      <c r="L12" s="226"/>
    </row>
    <row r="13" spans="1:12" ht="15">
      <c r="A13" s="623"/>
      <c r="B13" s="623"/>
      <c r="C13" s="623"/>
      <c r="D13" s="624"/>
      <c r="E13" s="605"/>
      <c r="F13" s="732"/>
      <c r="G13" s="605"/>
      <c r="H13" s="623"/>
      <c r="I13" s="639"/>
      <c r="J13" s="837"/>
      <c r="K13" s="1026"/>
      <c r="L13" s="226"/>
    </row>
    <row r="14" spans="1:12" ht="15">
      <c r="A14" s="623"/>
      <c r="B14" s="623"/>
      <c r="C14" s="623"/>
      <c r="D14" s="624"/>
      <c r="E14" s="605"/>
      <c r="F14" s="732"/>
      <c r="G14" s="605"/>
      <c r="H14" s="623"/>
      <c r="I14" s="639"/>
      <c r="J14" s="837"/>
      <c r="K14" s="1026"/>
      <c r="L14" s="226"/>
    </row>
    <row r="15" spans="1:12" ht="15">
      <c r="A15" s="623"/>
      <c r="B15" s="623"/>
      <c r="C15" s="623"/>
      <c r="D15" s="624"/>
      <c r="E15" s="605"/>
      <c r="F15" s="732"/>
      <c r="G15" s="605"/>
      <c r="H15" s="623"/>
      <c r="I15" s="639"/>
      <c r="J15" s="837"/>
      <c r="K15" s="1026"/>
      <c r="L15" s="226"/>
    </row>
    <row r="16" spans="1:12" ht="15">
      <c r="A16" s="623"/>
      <c r="B16" s="623"/>
      <c r="C16" s="623"/>
      <c r="D16" s="624"/>
      <c r="E16" s="605"/>
      <c r="F16" s="732"/>
      <c r="G16" s="605"/>
      <c r="H16" s="623"/>
      <c r="I16" s="639"/>
      <c r="J16" s="837"/>
      <c r="K16" s="1026"/>
      <c r="L16" s="226"/>
    </row>
    <row r="17" spans="1:12" ht="15">
      <c r="A17" s="623"/>
      <c r="B17" s="623"/>
      <c r="C17" s="623"/>
      <c r="D17" s="624"/>
      <c r="E17" s="605"/>
      <c r="F17" s="732"/>
      <c r="G17" s="605"/>
      <c r="H17" s="623"/>
      <c r="I17" s="639"/>
      <c r="J17" s="837"/>
      <c r="K17" s="1026"/>
      <c r="L17" s="226"/>
    </row>
    <row r="18" spans="1:12" ht="15">
      <c r="A18" s="838"/>
      <c r="B18" s="1125"/>
      <c r="C18" s="1125"/>
      <c r="D18" s="619"/>
      <c r="E18" s="619"/>
      <c r="F18" s="1144" t="s">
        <v>545</v>
      </c>
      <c r="G18" s="651">
        <f>SUM(G2:G17)-SUM(I2:I17)</f>
        <v>4529.9499999999989</v>
      </c>
      <c r="H18" s="634"/>
      <c r="I18" s="639"/>
      <c r="J18" s="837"/>
      <c r="K18" s="1026"/>
      <c r="L18" s="226"/>
    </row>
  </sheetData>
  <phoneticPr fontId="15" type="noConversion"/>
  <hyperlinks>
    <hyperlink ref="F18" location="汇总!A1" display="剩余欠款"/>
  </hyperlinks>
  <pageMargins left="0.7" right="0.7" top="0.75" bottom="0.75" header="0.3" footer="0.3"/>
  <pageSetup paperSize="9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"/>
  <dimension ref="A1:M87"/>
  <sheetViews>
    <sheetView workbookViewId="0">
      <pane ySplit="1" topLeftCell="A58" activePane="bottomLeft" state="frozen"/>
      <selection activeCell="C33" sqref="C33"/>
      <selection pane="bottomLeft" activeCell="F87" sqref="F87"/>
    </sheetView>
  </sheetViews>
  <sheetFormatPr defaultColWidth="8.75" defaultRowHeight="14.25"/>
  <cols>
    <col min="1" max="1" width="13" style="168" customWidth="1"/>
    <col min="2" max="2" width="8.875" style="168" bestFit="1" customWidth="1"/>
    <col min="3" max="3" width="27.25" style="168" bestFit="1" customWidth="1"/>
    <col min="4" max="5" width="15" style="168" customWidth="1"/>
    <col min="6" max="6" width="15" style="527" customWidth="1"/>
    <col min="7" max="7" width="11.375" style="168" bestFit="1" customWidth="1"/>
    <col min="8" max="8" width="16.625" style="168" bestFit="1" customWidth="1"/>
    <col min="9" max="9" width="12.875" style="168" customWidth="1"/>
    <col min="10" max="10" width="15" style="168" bestFit="1" customWidth="1"/>
    <col min="11" max="11" width="18.625" style="168" customWidth="1"/>
    <col min="12" max="12" width="25" style="168" bestFit="1" customWidth="1"/>
    <col min="13" max="13" width="13.875" style="168" bestFit="1" customWidth="1"/>
    <col min="14" max="16384" width="8.75" style="168"/>
  </cols>
  <sheetData>
    <row r="1" spans="1:13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7" t="s">
        <v>542</v>
      </c>
    </row>
    <row r="2" spans="1:13" ht="15">
      <c r="A2" s="1903">
        <v>44858</v>
      </c>
      <c r="B2" s="1918" t="s">
        <v>4107</v>
      </c>
      <c r="C2" s="1918" t="s">
        <v>4108</v>
      </c>
      <c r="D2" s="1909" t="s">
        <v>3358</v>
      </c>
      <c r="E2" s="1923">
        <v>20628.34</v>
      </c>
      <c r="F2" s="1927">
        <v>0</v>
      </c>
      <c r="G2" s="1923">
        <v>20628.34</v>
      </c>
      <c r="H2" s="1903">
        <v>44859</v>
      </c>
      <c r="I2" s="611">
        <v>7462.69</v>
      </c>
      <c r="J2" s="871">
        <v>44853</v>
      </c>
      <c r="K2" s="870" t="s">
        <v>3392</v>
      </c>
      <c r="L2" s="226" t="s">
        <v>3393</v>
      </c>
      <c r="M2"/>
    </row>
    <row r="3" spans="1:13" ht="15">
      <c r="A3" s="1905"/>
      <c r="B3" s="1920"/>
      <c r="C3" s="1920"/>
      <c r="D3" s="1911"/>
      <c r="E3" s="1924"/>
      <c r="F3" s="1928"/>
      <c r="G3" s="1924"/>
      <c r="H3" s="1905"/>
      <c r="I3" s="611">
        <v>13165.65</v>
      </c>
      <c r="J3" s="871">
        <v>44865</v>
      </c>
      <c r="K3" s="870" t="s">
        <v>3391</v>
      </c>
      <c r="L3" s="226"/>
      <c r="M3"/>
    </row>
    <row r="4" spans="1:13" ht="15">
      <c r="A4" s="931">
        <v>44867.000497685185</v>
      </c>
      <c r="B4" s="1124" t="s">
        <v>4107</v>
      </c>
      <c r="C4" s="1124" t="s">
        <v>4108</v>
      </c>
      <c r="D4" s="936" t="s">
        <v>3411</v>
      </c>
      <c r="E4" s="611">
        <v>721.41</v>
      </c>
      <c r="F4" s="731">
        <v>0</v>
      </c>
      <c r="G4" s="611">
        <v>721.41</v>
      </c>
      <c r="H4" s="931">
        <v>44868.000497685185</v>
      </c>
      <c r="I4" s="1915">
        <v>1834.35</v>
      </c>
      <c r="J4" s="1918">
        <v>44893</v>
      </c>
      <c r="K4" s="1968" t="s">
        <v>3639</v>
      </c>
      <c r="L4" s="226"/>
    </row>
    <row r="5" spans="1:13" ht="15">
      <c r="A5" s="1941">
        <v>44887</v>
      </c>
      <c r="B5" s="1941" t="s">
        <v>4107</v>
      </c>
      <c r="C5" s="1941" t="s">
        <v>4108</v>
      </c>
      <c r="D5" s="1954" t="s">
        <v>3531</v>
      </c>
      <c r="E5" s="1945">
        <v>1288.98</v>
      </c>
      <c r="F5" s="1969">
        <v>0</v>
      </c>
      <c r="G5" s="611">
        <v>1112.94</v>
      </c>
      <c r="H5" s="931">
        <v>44947</v>
      </c>
      <c r="I5" s="1917"/>
      <c r="J5" s="1920"/>
      <c r="K5" s="1957"/>
      <c r="L5" s="226"/>
    </row>
    <row r="6" spans="1:13" ht="15">
      <c r="A6" s="1942"/>
      <c r="B6" s="1942"/>
      <c r="C6" s="1942"/>
      <c r="D6" s="1955"/>
      <c r="E6" s="1946"/>
      <c r="F6" s="1971"/>
      <c r="G6" s="605">
        <f>1288.98-1112.94</f>
        <v>176.03999999999996</v>
      </c>
      <c r="H6" s="623">
        <v>44947</v>
      </c>
      <c r="I6" s="639"/>
      <c r="J6" s="851"/>
      <c r="K6" s="226"/>
      <c r="L6" s="226"/>
    </row>
    <row r="7" spans="1:13" ht="15">
      <c r="A7" s="623">
        <v>44909</v>
      </c>
      <c r="B7" s="623" t="s">
        <v>4107</v>
      </c>
      <c r="C7" s="623" t="s">
        <v>4108</v>
      </c>
      <c r="D7" s="624" t="s">
        <v>3698</v>
      </c>
      <c r="E7" s="605">
        <v>1036.9000000000001</v>
      </c>
      <c r="F7" s="732">
        <v>0</v>
      </c>
      <c r="G7" s="605">
        <v>1036.9000000000001</v>
      </c>
      <c r="H7" s="623">
        <v>44969</v>
      </c>
      <c r="I7" s="639"/>
      <c r="J7" s="851"/>
      <c r="K7" s="226"/>
      <c r="L7" s="226"/>
    </row>
    <row r="8" spans="1:13" ht="15">
      <c r="A8" s="623">
        <v>44911</v>
      </c>
      <c r="B8" s="623" t="s">
        <v>4107</v>
      </c>
      <c r="C8" s="623" t="s">
        <v>4108</v>
      </c>
      <c r="D8" s="624" t="s">
        <v>3699</v>
      </c>
      <c r="E8" s="605">
        <v>594.65</v>
      </c>
      <c r="F8" s="732">
        <v>0</v>
      </c>
      <c r="G8" s="605">
        <v>594.65</v>
      </c>
      <c r="H8" s="623">
        <v>44971</v>
      </c>
      <c r="I8" s="639"/>
      <c r="J8" s="988"/>
      <c r="K8" s="226"/>
      <c r="L8" s="226"/>
    </row>
    <row r="9" spans="1:13" ht="15">
      <c r="A9" s="623">
        <v>44936</v>
      </c>
      <c r="B9" s="623" t="s">
        <v>4107</v>
      </c>
      <c r="C9" s="623" t="s">
        <v>4108</v>
      </c>
      <c r="D9" s="624" t="s">
        <v>3892</v>
      </c>
      <c r="E9" s="605">
        <v>533.09</v>
      </c>
      <c r="F9" s="732">
        <v>0</v>
      </c>
      <c r="G9" s="605">
        <v>533.09</v>
      </c>
      <c r="H9" s="623">
        <v>44996</v>
      </c>
      <c r="I9" s="639"/>
      <c r="J9" s="988"/>
      <c r="K9" s="226"/>
      <c r="L9" s="226"/>
    </row>
    <row r="10" spans="1:13" ht="15">
      <c r="A10" s="623">
        <v>44950</v>
      </c>
      <c r="B10" s="623" t="s">
        <v>4107</v>
      </c>
      <c r="C10" s="623" t="s">
        <v>4108</v>
      </c>
      <c r="D10" s="624" t="s">
        <v>3964</v>
      </c>
      <c r="E10" s="605">
        <v>3333.86</v>
      </c>
      <c r="F10" s="732">
        <v>0</v>
      </c>
      <c r="G10" s="605">
        <v>3333.86</v>
      </c>
      <c r="H10" s="623">
        <v>45010</v>
      </c>
      <c r="I10" s="639"/>
      <c r="J10" s="988"/>
      <c r="K10" s="226"/>
      <c r="L10" s="226"/>
    </row>
    <row r="11" spans="1:13" ht="15">
      <c r="A11" s="623">
        <v>45140</v>
      </c>
      <c r="B11" s="623" t="s">
        <v>2518</v>
      </c>
      <c r="C11" s="623" t="s">
        <v>4108</v>
      </c>
      <c r="D11" s="624" t="s">
        <v>5745</v>
      </c>
      <c r="E11" s="605">
        <v>-245.64</v>
      </c>
      <c r="F11" s="732">
        <v>0</v>
      </c>
      <c r="G11" s="605">
        <v>-245.64</v>
      </c>
      <c r="H11" s="623"/>
      <c r="I11" s="639"/>
      <c r="J11" s="1578"/>
      <c r="K11" s="226"/>
      <c r="L11" s="226"/>
    </row>
    <row r="12" spans="1:13" ht="15">
      <c r="A12" s="623">
        <v>45140</v>
      </c>
      <c r="B12" s="623" t="s">
        <v>2518</v>
      </c>
      <c r="C12" s="623" t="s">
        <v>4108</v>
      </c>
      <c r="D12" s="624" t="s">
        <v>5746</v>
      </c>
      <c r="E12" s="605">
        <v>-0.89</v>
      </c>
      <c r="F12" s="732">
        <v>0</v>
      </c>
      <c r="G12" s="605">
        <v>-0.89</v>
      </c>
      <c r="H12" s="623"/>
      <c r="I12" s="639"/>
      <c r="J12" s="1578"/>
      <c r="K12" s="226"/>
      <c r="L12" s="226"/>
    </row>
    <row r="13" spans="1:13" ht="15">
      <c r="A13" s="623">
        <v>45140</v>
      </c>
      <c r="B13" s="623" t="s">
        <v>2518</v>
      </c>
      <c r="C13" s="623" t="s">
        <v>4108</v>
      </c>
      <c r="D13" s="624" t="s">
        <v>5747</v>
      </c>
      <c r="E13" s="605">
        <v>-205.39</v>
      </c>
      <c r="F13" s="732">
        <v>0</v>
      </c>
      <c r="G13" s="605">
        <v>-205.39</v>
      </c>
      <c r="H13" s="623"/>
      <c r="I13" s="639"/>
      <c r="J13" s="1578"/>
      <c r="K13" s="226"/>
      <c r="L13" s="226"/>
    </row>
    <row r="14" spans="1:13" ht="15">
      <c r="A14" s="623">
        <v>45140</v>
      </c>
      <c r="B14" s="623" t="s">
        <v>2518</v>
      </c>
      <c r="C14" s="623" t="s">
        <v>4108</v>
      </c>
      <c r="D14" s="624" t="s">
        <v>5748</v>
      </c>
      <c r="E14" s="605">
        <v>-185.75</v>
      </c>
      <c r="F14" s="732">
        <v>0</v>
      </c>
      <c r="G14" s="605">
        <v>-185.75</v>
      </c>
      <c r="H14" s="623"/>
      <c r="I14" s="639"/>
      <c r="J14" s="1578"/>
      <c r="K14" s="226"/>
      <c r="L14" s="226"/>
    </row>
    <row r="15" spans="1:13" ht="15">
      <c r="A15" s="623">
        <v>45140</v>
      </c>
      <c r="B15" s="623" t="s">
        <v>2518</v>
      </c>
      <c r="C15" s="623" t="s">
        <v>4108</v>
      </c>
      <c r="D15" s="624" t="s">
        <v>5749</v>
      </c>
      <c r="E15" s="605">
        <v>-179.01</v>
      </c>
      <c r="F15" s="732">
        <v>0</v>
      </c>
      <c r="G15" s="605">
        <v>-179.01</v>
      </c>
      <c r="H15" s="623"/>
      <c r="I15" s="639"/>
      <c r="J15" s="1578"/>
      <c r="K15" s="226"/>
      <c r="L15" s="226"/>
    </row>
    <row r="16" spans="1:13" ht="15">
      <c r="A16" s="623">
        <v>45140</v>
      </c>
      <c r="B16" s="623" t="s">
        <v>2518</v>
      </c>
      <c r="C16" s="623" t="s">
        <v>4108</v>
      </c>
      <c r="D16" s="624" t="s">
        <v>5750</v>
      </c>
      <c r="E16" s="605">
        <v>-155.33000000000001</v>
      </c>
      <c r="F16" s="732">
        <v>0</v>
      </c>
      <c r="G16" s="605">
        <v>-155.33000000000001</v>
      </c>
      <c r="H16" s="623"/>
      <c r="I16" s="639"/>
      <c r="J16" s="1578"/>
      <c r="K16" s="226"/>
      <c r="L16" s="226"/>
    </row>
    <row r="17" spans="1:12" ht="15">
      <c r="A17" s="623">
        <v>45140</v>
      </c>
      <c r="B17" s="623" t="s">
        <v>2518</v>
      </c>
      <c r="C17" s="623" t="s">
        <v>4108</v>
      </c>
      <c r="D17" s="624" t="s">
        <v>5751</v>
      </c>
      <c r="E17" s="605">
        <v>-247.33</v>
      </c>
      <c r="F17" s="732">
        <v>0</v>
      </c>
      <c r="G17" s="605">
        <v>-247.33</v>
      </c>
      <c r="H17" s="623"/>
      <c r="I17" s="639"/>
      <c r="J17" s="1578"/>
      <c r="K17" s="226"/>
      <c r="L17" s="226"/>
    </row>
    <row r="18" spans="1:12" ht="15">
      <c r="A18" s="623">
        <v>45140</v>
      </c>
      <c r="B18" s="623" t="s">
        <v>2518</v>
      </c>
      <c r="C18" s="623" t="s">
        <v>4108</v>
      </c>
      <c r="D18" s="624" t="s">
        <v>5752</v>
      </c>
      <c r="E18" s="605">
        <v>-192.38</v>
      </c>
      <c r="F18" s="732">
        <v>0</v>
      </c>
      <c r="G18" s="605">
        <v>-192.38</v>
      </c>
      <c r="H18" s="623"/>
      <c r="I18" s="639"/>
      <c r="J18" s="1578"/>
      <c r="K18" s="226"/>
      <c r="L18" s="226"/>
    </row>
    <row r="19" spans="1:12" ht="15">
      <c r="A19" s="623">
        <v>45140</v>
      </c>
      <c r="B19" s="623" t="s">
        <v>2518</v>
      </c>
      <c r="C19" s="623" t="s">
        <v>4108</v>
      </c>
      <c r="D19" s="624" t="s">
        <v>5753</v>
      </c>
      <c r="E19" s="605">
        <v>-242.32</v>
      </c>
      <c r="F19" s="732">
        <v>0</v>
      </c>
      <c r="G19" s="605">
        <v>-242.32</v>
      </c>
      <c r="H19" s="623"/>
      <c r="I19" s="639"/>
      <c r="J19" s="1578"/>
      <c r="K19" s="226"/>
      <c r="L19" s="226"/>
    </row>
    <row r="20" spans="1:12" ht="15">
      <c r="A20" s="623">
        <v>45140</v>
      </c>
      <c r="B20" s="623" t="s">
        <v>2518</v>
      </c>
      <c r="C20" s="623" t="s">
        <v>4108</v>
      </c>
      <c r="D20" s="624" t="s">
        <v>5754</v>
      </c>
      <c r="E20" s="605">
        <v>-448.37</v>
      </c>
      <c r="F20" s="732">
        <v>0</v>
      </c>
      <c r="G20" s="605">
        <v>-448.37</v>
      </c>
      <c r="H20" s="623"/>
      <c r="I20" s="639"/>
      <c r="J20" s="1578"/>
      <c r="K20" s="226"/>
      <c r="L20" s="226"/>
    </row>
    <row r="21" spans="1:12" ht="15">
      <c r="A21" s="623">
        <v>45140</v>
      </c>
      <c r="B21" s="623" t="s">
        <v>2518</v>
      </c>
      <c r="C21" s="623" t="s">
        <v>4108</v>
      </c>
      <c r="D21" s="624" t="s">
        <v>5755</v>
      </c>
      <c r="E21" s="605">
        <v>-4.0999999999999996</v>
      </c>
      <c r="F21" s="732">
        <v>0</v>
      </c>
      <c r="G21" s="605">
        <v>-4.0999999999999996</v>
      </c>
      <c r="H21" s="623"/>
      <c r="I21" s="639"/>
      <c r="J21" s="1578"/>
      <c r="K21" s="226"/>
      <c r="L21" s="226"/>
    </row>
    <row r="22" spans="1:12" ht="15">
      <c r="A22" s="623">
        <v>45140</v>
      </c>
      <c r="B22" s="623" t="s">
        <v>2518</v>
      </c>
      <c r="C22" s="623" t="s">
        <v>4108</v>
      </c>
      <c r="D22" s="624" t="s">
        <v>5756</v>
      </c>
      <c r="E22" s="605">
        <v>-223.94</v>
      </c>
      <c r="F22" s="732">
        <v>0</v>
      </c>
      <c r="G22" s="605">
        <v>-223.94</v>
      </c>
      <c r="H22" s="623"/>
      <c r="I22" s="639"/>
      <c r="J22" s="1578"/>
      <c r="K22" s="226"/>
      <c r="L22" s="226"/>
    </row>
    <row r="23" spans="1:12" ht="15">
      <c r="A23" s="623">
        <v>45140</v>
      </c>
      <c r="B23" s="623" t="s">
        <v>2518</v>
      </c>
      <c r="C23" s="623" t="s">
        <v>4108</v>
      </c>
      <c r="D23" s="624" t="s">
        <v>5757</v>
      </c>
      <c r="E23" s="605">
        <v>-117.9</v>
      </c>
      <c r="F23" s="732">
        <v>0</v>
      </c>
      <c r="G23" s="605">
        <v>-117.9</v>
      </c>
      <c r="H23" s="623"/>
      <c r="I23" s="639"/>
      <c r="J23" s="1578"/>
      <c r="K23" s="226"/>
      <c r="L23" s="226"/>
    </row>
    <row r="24" spans="1:12" ht="15">
      <c r="A24" s="623">
        <v>45140</v>
      </c>
      <c r="B24" s="623" t="s">
        <v>2518</v>
      </c>
      <c r="C24" s="623" t="s">
        <v>4108</v>
      </c>
      <c r="D24" s="624" t="s">
        <v>5758</v>
      </c>
      <c r="E24" s="605">
        <v>-202.56</v>
      </c>
      <c r="F24" s="732">
        <v>0</v>
      </c>
      <c r="G24" s="605">
        <v>-202.56</v>
      </c>
      <c r="H24" s="623"/>
      <c r="I24" s="639"/>
      <c r="J24" s="1578"/>
      <c r="K24" s="226"/>
      <c r="L24" s="226"/>
    </row>
    <row r="25" spans="1:12" ht="15">
      <c r="A25" s="623">
        <v>45140</v>
      </c>
      <c r="B25" s="623" t="s">
        <v>2518</v>
      </c>
      <c r="C25" s="623" t="s">
        <v>4108</v>
      </c>
      <c r="D25" s="624" t="s">
        <v>5759</v>
      </c>
      <c r="E25" s="605">
        <v>-1.78</v>
      </c>
      <c r="F25" s="732">
        <v>0</v>
      </c>
      <c r="G25" s="605">
        <v>-1.78</v>
      </c>
      <c r="H25" s="623"/>
      <c r="I25" s="639"/>
      <c r="J25" s="1578"/>
      <c r="K25" s="226"/>
      <c r="L25" s="226"/>
    </row>
    <row r="26" spans="1:12" ht="15">
      <c r="A26" s="623">
        <v>45140</v>
      </c>
      <c r="B26" s="623" t="s">
        <v>2518</v>
      </c>
      <c r="C26" s="623" t="s">
        <v>4108</v>
      </c>
      <c r="D26" s="624" t="s">
        <v>5760</v>
      </c>
      <c r="E26" s="605">
        <v>-356.89</v>
      </c>
      <c r="F26" s="732">
        <v>0</v>
      </c>
      <c r="G26" s="605">
        <v>-356.89</v>
      </c>
      <c r="H26" s="623"/>
      <c r="I26" s="639"/>
      <c r="J26" s="1578"/>
      <c r="K26" s="226"/>
      <c r="L26" s="226"/>
    </row>
    <row r="27" spans="1:12" ht="15">
      <c r="A27" s="623">
        <v>45140</v>
      </c>
      <c r="B27" s="623" t="s">
        <v>2518</v>
      </c>
      <c r="C27" s="623" t="s">
        <v>4108</v>
      </c>
      <c r="D27" s="624" t="s">
        <v>5761</v>
      </c>
      <c r="E27" s="605">
        <v>-25.29</v>
      </c>
      <c r="F27" s="732">
        <v>0</v>
      </c>
      <c r="G27" s="605">
        <v>-25.29</v>
      </c>
      <c r="H27" s="623"/>
      <c r="I27" s="639"/>
      <c r="J27" s="1578"/>
      <c r="K27" s="226"/>
      <c r="L27" s="226"/>
    </row>
    <row r="28" spans="1:12" ht="15">
      <c r="A28" s="623">
        <v>45140</v>
      </c>
      <c r="B28" s="623" t="s">
        <v>2518</v>
      </c>
      <c r="C28" s="623" t="s">
        <v>4108</v>
      </c>
      <c r="D28" s="624" t="s">
        <v>5762</v>
      </c>
      <c r="E28" s="605">
        <v>-340.53</v>
      </c>
      <c r="F28" s="732">
        <v>0</v>
      </c>
      <c r="G28" s="605">
        <v>-340.53</v>
      </c>
      <c r="H28" s="623"/>
      <c r="I28" s="639"/>
      <c r="J28" s="1578"/>
      <c r="K28" s="226"/>
      <c r="L28" s="226"/>
    </row>
    <row r="29" spans="1:12" ht="15">
      <c r="A29" s="623">
        <v>45140</v>
      </c>
      <c r="B29" s="623" t="s">
        <v>2518</v>
      </c>
      <c r="C29" s="623" t="s">
        <v>4108</v>
      </c>
      <c r="D29" s="624" t="s">
        <v>5763</v>
      </c>
      <c r="E29" s="605">
        <v>-128.68</v>
      </c>
      <c r="F29" s="732">
        <v>0</v>
      </c>
      <c r="G29" s="605">
        <v>-128.68</v>
      </c>
      <c r="H29" s="623"/>
      <c r="I29" s="639"/>
      <c r="J29" s="1578"/>
      <c r="K29" s="226"/>
      <c r="L29" s="226"/>
    </row>
    <row r="30" spans="1:12" ht="15">
      <c r="A30" s="623">
        <v>45140</v>
      </c>
      <c r="B30" s="623" t="s">
        <v>2518</v>
      </c>
      <c r="C30" s="623" t="s">
        <v>4108</v>
      </c>
      <c r="D30" s="624" t="s">
        <v>5764</v>
      </c>
      <c r="E30" s="605">
        <v>-290.14999999999998</v>
      </c>
      <c r="F30" s="732">
        <v>0</v>
      </c>
      <c r="G30" s="605">
        <v>-290.14999999999998</v>
      </c>
      <c r="H30" s="623"/>
      <c r="I30" s="639"/>
      <c r="J30" s="1578"/>
      <c r="K30" s="226"/>
      <c r="L30" s="226"/>
    </row>
    <row r="31" spans="1:12" ht="15">
      <c r="A31" s="623">
        <v>45140</v>
      </c>
      <c r="B31" s="623" t="s">
        <v>2518</v>
      </c>
      <c r="C31" s="623" t="s">
        <v>4108</v>
      </c>
      <c r="D31" s="624" t="s">
        <v>5765</v>
      </c>
      <c r="E31" s="605">
        <v>-208.52</v>
      </c>
      <c r="F31" s="732">
        <v>0</v>
      </c>
      <c r="G31" s="605">
        <v>-208.52</v>
      </c>
      <c r="H31" s="623"/>
      <c r="I31" s="639"/>
      <c r="J31" s="1578"/>
      <c r="K31" s="226"/>
      <c r="L31" s="226"/>
    </row>
    <row r="32" spans="1:12" ht="15">
      <c r="A32" s="623">
        <v>45140</v>
      </c>
      <c r="B32" s="623" t="s">
        <v>2518</v>
      </c>
      <c r="C32" s="623" t="s">
        <v>4108</v>
      </c>
      <c r="D32" s="624" t="s">
        <v>5766</v>
      </c>
      <c r="E32" s="605">
        <v>-344.07</v>
      </c>
      <c r="F32" s="732">
        <v>0</v>
      </c>
      <c r="G32" s="605">
        <v>-344.07</v>
      </c>
      <c r="H32" s="623"/>
      <c r="I32" s="639"/>
      <c r="J32" s="1578"/>
      <c r="K32" s="226"/>
      <c r="L32" s="226"/>
    </row>
    <row r="33" spans="1:12" ht="15">
      <c r="A33" s="623">
        <v>45140</v>
      </c>
      <c r="B33" s="623" t="s">
        <v>2518</v>
      </c>
      <c r="C33" s="623" t="s">
        <v>4108</v>
      </c>
      <c r="D33" s="624" t="s">
        <v>5767</v>
      </c>
      <c r="E33" s="605">
        <v>-419.37</v>
      </c>
      <c r="F33" s="732">
        <v>0</v>
      </c>
      <c r="G33" s="605">
        <v>-419.37</v>
      </c>
      <c r="H33" s="623"/>
      <c r="I33" s="639"/>
      <c r="J33" s="1578"/>
      <c r="K33" s="226"/>
      <c r="L33" s="226"/>
    </row>
    <row r="34" spans="1:12" ht="15">
      <c r="A34" s="623">
        <v>45140</v>
      </c>
      <c r="B34" s="623" t="s">
        <v>2518</v>
      </c>
      <c r="C34" s="623" t="s">
        <v>4108</v>
      </c>
      <c r="D34" s="624" t="s">
        <v>5768</v>
      </c>
      <c r="E34" s="605">
        <v>-141.16999999999999</v>
      </c>
      <c r="F34" s="732">
        <v>0</v>
      </c>
      <c r="G34" s="605">
        <v>-141.16999999999999</v>
      </c>
      <c r="H34" s="623"/>
      <c r="I34" s="639"/>
      <c r="J34" s="1578"/>
      <c r="K34" s="226"/>
      <c r="L34" s="226"/>
    </row>
    <row r="35" spans="1:12" ht="15">
      <c r="A35" s="623">
        <v>45140</v>
      </c>
      <c r="B35" s="623" t="s">
        <v>2518</v>
      </c>
      <c r="C35" s="623" t="s">
        <v>4108</v>
      </c>
      <c r="D35" s="624" t="s">
        <v>5769</v>
      </c>
      <c r="E35" s="605">
        <v>-143.82</v>
      </c>
      <c r="F35" s="732">
        <v>0</v>
      </c>
      <c r="G35" s="605">
        <v>-143.82</v>
      </c>
      <c r="H35" s="623"/>
      <c r="I35" s="639"/>
      <c r="J35" s="1578"/>
      <c r="K35" s="226"/>
      <c r="L35" s="226"/>
    </row>
    <row r="36" spans="1:12" ht="15">
      <c r="A36" s="623">
        <v>45140</v>
      </c>
      <c r="B36" s="623" t="s">
        <v>2518</v>
      </c>
      <c r="C36" s="623" t="s">
        <v>4108</v>
      </c>
      <c r="D36" s="624" t="s">
        <v>5770</v>
      </c>
      <c r="E36" s="605">
        <v>-415.42</v>
      </c>
      <c r="F36" s="732">
        <v>0</v>
      </c>
      <c r="G36" s="605">
        <v>-415.42</v>
      </c>
      <c r="H36" s="623"/>
      <c r="I36" s="639"/>
      <c r="J36" s="1578"/>
      <c r="K36" s="226"/>
      <c r="L36" s="226"/>
    </row>
    <row r="37" spans="1:12" ht="15">
      <c r="A37" s="623">
        <v>45140</v>
      </c>
      <c r="B37" s="623" t="s">
        <v>2518</v>
      </c>
      <c r="C37" s="623" t="s">
        <v>4108</v>
      </c>
      <c r="D37" s="624" t="s">
        <v>5771</v>
      </c>
      <c r="E37" s="605">
        <v>-355.65</v>
      </c>
      <c r="F37" s="732">
        <v>0</v>
      </c>
      <c r="G37" s="605">
        <v>-355.65</v>
      </c>
      <c r="H37" s="623"/>
      <c r="I37" s="639"/>
      <c r="J37" s="1578"/>
      <c r="K37" s="226"/>
      <c r="L37" s="226"/>
    </row>
    <row r="38" spans="1:12" ht="15">
      <c r="A38" s="623">
        <v>45140</v>
      </c>
      <c r="B38" s="623" t="s">
        <v>2518</v>
      </c>
      <c r="C38" s="623" t="s">
        <v>4108</v>
      </c>
      <c r="D38" s="624" t="s">
        <v>5772</v>
      </c>
      <c r="E38" s="605">
        <v>-256.23</v>
      </c>
      <c r="F38" s="732">
        <v>0</v>
      </c>
      <c r="G38" s="605">
        <v>-256.23</v>
      </c>
      <c r="H38" s="623"/>
      <c r="I38" s="639"/>
      <c r="J38" s="1578"/>
      <c r="K38" s="226"/>
      <c r="L38" s="226"/>
    </row>
    <row r="39" spans="1:12" ht="15">
      <c r="A39" s="623">
        <v>45140</v>
      </c>
      <c r="B39" s="623" t="s">
        <v>2518</v>
      </c>
      <c r="C39" s="623" t="s">
        <v>4108</v>
      </c>
      <c r="D39" s="624" t="s">
        <v>5773</v>
      </c>
      <c r="E39" s="605">
        <v>-110.19</v>
      </c>
      <c r="F39" s="732">
        <v>0</v>
      </c>
      <c r="G39" s="605">
        <v>-110.19</v>
      </c>
      <c r="H39" s="623"/>
      <c r="I39" s="639"/>
      <c r="J39" s="1578"/>
      <c r="K39" s="226"/>
      <c r="L39" s="226"/>
    </row>
    <row r="40" spans="1:12" ht="15">
      <c r="A40" s="623">
        <v>45140</v>
      </c>
      <c r="B40" s="623" t="s">
        <v>2518</v>
      </c>
      <c r="C40" s="623" t="s">
        <v>4108</v>
      </c>
      <c r="D40" s="624" t="s">
        <v>5774</v>
      </c>
      <c r="E40" s="605">
        <v>-5.34</v>
      </c>
      <c r="F40" s="732">
        <v>0</v>
      </c>
      <c r="G40" s="605">
        <v>-5.34</v>
      </c>
      <c r="H40" s="623"/>
      <c r="I40" s="639"/>
      <c r="J40" s="1578"/>
      <c r="K40" s="226"/>
      <c r="L40" s="226"/>
    </row>
    <row r="41" spans="1:12" ht="15">
      <c r="A41" s="623">
        <v>45140</v>
      </c>
      <c r="B41" s="623" t="s">
        <v>2518</v>
      </c>
      <c r="C41" s="623" t="s">
        <v>4108</v>
      </c>
      <c r="D41" s="624" t="s">
        <v>5775</v>
      </c>
      <c r="E41" s="605">
        <v>-254.26</v>
      </c>
      <c r="F41" s="732">
        <v>0</v>
      </c>
      <c r="G41" s="605">
        <v>-254.26</v>
      </c>
      <c r="H41" s="623"/>
      <c r="I41" s="639"/>
      <c r="J41" s="1578"/>
      <c r="K41" s="226"/>
      <c r="L41" s="226"/>
    </row>
    <row r="42" spans="1:12" ht="15">
      <c r="A42" s="623">
        <v>45140</v>
      </c>
      <c r="B42" s="623" t="s">
        <v>2518</v>
      </c>
      <c r="C42" s="623" t="s">
        <v>4108</v>
      </c>
      <c r="D42" s="624" t="s">
        <v>5776</v>
      </c>
      <c r="E42" s="605">
        <v>-88.86</v>
      </c>
      <c r="F42" s="732">
        <v>0</v>
      </c>
      <c r="G42" s="605">
        <v>-88.86</v>
      </c>
      <c r="H42" s="623"/>
      <c r="I42" s="639"/>
      <c r="J42" s="1578"/>
      <c r="K42" s="226"/>
      <c r="L42" s="226"/>
    </row>
    <row r="43" spans="1:12" ht="15">
      <c r="A43" s="623">
        <v>45140</v>
      </c>
      <c r="B43" s="623" t="s">
        <v>2518</v>
      </c>
      <c r="C43" s="623" t="s">
        <v>4108</v>
      </c>
      <c r="D43" s="624" t="s">
        <v>5777</v>
      </c>
      <c r="E43" s="605">
        <v>-272.83</v>
      </c>
      <c r="F43" s="732">
        <v>0</v>
      </c>
      <c r="G43" s="605">
        <v>-272.83</v>
      </c>
      <c r="H43" s="623"/>
      <c r="I43" s="639"/>
      <c r="J43" s="1578"/>
      <c r="K43" s="226"/>
      <c r="L43" s="226"/>
    </row>
    <row r="44" spans="1:12" ht="15">
      <c r="A44" s="623">
        <v>45140</v>
      </c>
      <c r="B44" s="623" t="s">
        <v>2518</v>
      </c>
      <c r="C44" s="623" t="s">
        <v>4108</v>
      </c>
      <c r="D44" s="624" t="s">
        <v>5778</v>
      </c>
      <c r="E44" s="605">
        <v>-5.7</v>
      </c>
      <c r="F44" s="732">
        <v>0</v>
      </c>
      <c r="G44" s="605">
        <v>-5.7</v>
      </c>
      <c r="H44" s="623"/>
      <c r="I44" s="639"/>
      <c r="J44" s="1578"/>
      <c r="K44" s="226"/>
      <c r="L44" s="226"/>
    </row>
    <row r="45" spans="1:12" ht="15">
      <c r="A45" s="623">
        <v>45141</v>
      </c>
      <c r="B45" s="623" t="s">
        <v>2518</v>
      </c>
      <c r="C45" s="623" t="s">
        <v>4108</v>
      </c>
      <c r="D45" s="624" t="s">
        <v>5779</v>
      </c>
      <c r="E45" s="605">
        <v>-478.8</v>
      </c>
      <c r="F45" s="732">
        <v>0</v>
      </c>
      <c r="G45" s="605">
        <v>-478.8</v>
      </c>
      <c r="H45" s="623"/>
      <c r="I45" s="639"/>
      <c r="J45" s="1578"/>
      <c r="K45" s="226"/>
      <c r="L45" s="226"/>
    </row>
    <row r="46" spans="1:12" ht="15">
      <c r="A46" s="623">
        <v>45141</v>
      </c>
      <c r="B46" s="623" t="s">
        <v>2518</v>
      </c>
      <c r="C46" s="623" t="s">
        <v>4108</v>
      </c>
      <c r="D46" s="624" t="s">
        <v>5780</v>
      </c>
      <c r="E46" s="605">
        <v>-413.58</v>
      </c>
      <c r="F46" s="732">
        <v>0</v>
      </c>
      <c r="G46" s="605">
        <v>-413.58</v>
      </c>
      <c r="H46" s="623"/>
      <c r="I46" s="639"/>
      <c r="J46" s="1578"/>
      <c r="K46" s="226"/>
      <c r="L46" s="226"/>
    </row>
    <row r="47" spans="1:12" ht="15">
      <c r="A47" s="623">
        <v>45141</v>
      </c>
      <c r="B47" s="623" t="s">
        <v>2518</v>
      </c>
      <c r="C47" s="623" t="s">
        <v>4108</v>
      </c>
      <c r="D47" s="624" t="s">
        <v>5781</v>
      </c>
      <c r="E47" s="605">
        <v>-84.01</v>
      </c>
      <c r="F47" s="732">
        <v>0</v>
      </c>
      <c r="G47" s="605">
        <v>-84.01</v>
      </c>
      <c r="H47" s="623"/>
      <c r="I47" s="639"/>
      <c r="J47" s="1578"/>
      <c r="K47" s="226"/>
      <c r="L47" s="226"/>
    </row>
    <row r="48" spans="1:12" ht="15">
      <c r="A48" s="623">
        <v>45141</v>
      </c>
      <c r="B48" s="623" t="s">
        <v>2518</v>
      </c>
      <c r="C48" s="623" t="s">
        <v>4108</v>
      </c>
      <c r="D48" s="624" t="s">
        <v>5782</v>
      </c>
      <c r="E48" s="605">
        <v>-69.33</v>
      </c>
      <c r="F48" s="732">
        <v>0</v>
      </c>
      <c r="G48" s="605">
        <v>-69.33</v>
      </c>
      <c r="H48" s="623"/>
      <c r="I48" s="639"/>
      <c r="J48" s="1578"/>
      <c r="K48" s="226"/>
      <c r="L48" s="226"/>
    </row>
    <row r="49" spans="1:12" ht="15">
      <c r="A49" s="623">
        <v>45141</v>
      </c>
      <c r="B49" s="623" t="s">
        <v>2518</v>
      </c>
      <c r="C49" s="623" t="s">
        <v>4108</v>
      </c>
      <c r="D49" s="624" t="s">
        <v>5783</v>
      </c>
      <c r="E49" s="605">
        <v>-250.37</v>
      </c>
      <c r="F49" s="732">
        <v>0</v>
      </c>
      <c r="G49" s="605">
        <v>-250.37</v>
      </c>
      <c r="H49" s="623"/>
      <c r="I49" s="639"/>
      <c r="J49" s="1578"/>
      <c r="K49" s="226"/>
      <c r="L49" s="226"/>
    </row>
    <row r="50" spans="1:12" ht="15">
      <c r="A50" s="623">
        <v>45141</v>
      </c>
      <c r="B50" s="623" t="s">
        <v>2518</v>
      </c>
      <c r="C50" s="623" t="s">
        <v>4108</v>
      </c>
      <c r="D50" s="624" t="s">
        <v>5784</v>
      </c>
      <c r="E50" s="605">
        <v>-364.41</v>
      </c>
      <c r="F50" s="732">
        <v>0</v>
      </c>
      <c r="G50" s="605">
        <v>-364.41</v>
      </c>
      <c r="H50" s="623"/>
      <c r="I50" s="639"/>
      <c r="J50" s="1578"/>
      <c r="K50" s="226"/>
      <c r="L50" s="226"/>
    </row>
    <row r="51" spans="1:12" ht="15">
      <c r="A51" s="623">
        <v>45141</v>
      </c>
      <c r="B51" s="623" t="s">
        <v>2518</v>
      </c>
      <c r="C51" s="623" t="s">
        <v>4108</v>
      </c>
      <c r="D51" s="624" t="s">
        <v>5785</v>
      </c>
      <c r="E51" s="605">
        <v>-345.99</v>
      </c>
      <c r="F51" s="732">
        <v>0</v>
      </c>
      <c r="G51" s="605">
        <v>-345.99</v>
      </c>
      <c r="H51" s="623"/>
      <c r="I51" s="639"/>
      <c r="J51" s="1578"/>
      <c r="K51" s="226"/>
      <c r="L51" s="226"/>
    </row>
    <row r="52" spans="1:12" ht="15">
      <c r="A52" s="623">
        <v>45141</v>
      </c>
      <c r="B52" s="623" t="s">
        <v>2518</v>
      </c>
      <c r="C52" s="623" t="s">
        <v>4108</v>
      </c>
      <c r="D52" s="624" t="s">
        <v>5786</v>
      </c>
      <c r="E52" s="605">
        <v>-15.39</v>
      </c>
      <c r="F52" s="732">
        <v>0</v>
      </c>
      <c r="G52" s="605">
        <v>-15.39</v>
      </c>
      <c r="H52" s="623"/>
      <c r="I52" s="639"/>
      <c r="J52" s="1578"/>
      <c r="K52" s="226"/>
      <c r="L52" s="226"/>
    </row>
    <row r="53" spans="1:12" ht="15">
      <c r="A53" s="623">
        <v>45141</v>
      </c>
      <c r="B53" s="623" t="s">
        <v>2518</v>
      </c>
      <c r="C53" s="623" t="s">
        <v>4108</v>
      </c>
      <c r="D53" s="624" t="s">
        <v>5787</v>
      </c>
      <c r="E53" s="605">
        <v>-398.05</v>
      </c>
      <c r="F53" s="732">
        <v>0</v>
      </c>
      <c r="G53" s="605">
        <v>-398.05</v>
      </c>
      <c r="H53" s="623"/>
      <c r="I53" s="639"/>
      <c r="J53" s="1578"/>
      <c r="K53" s="226"/>
      <c r="L53" s="226"/>
    </row>
    <row r="54" spans="1:12" ht="15">
      <c r="A54" s="623">
        <v>45141</v>
      </c>
      <c r="B54" s="623" t="s">
        <v>2518</v>
      </c>
      <c r="C54" s="623" t="s">
        <v>4108</v>
      </c>
      <c r="D54" s="624" t="s">
        <v>5788</v>
      </c>
      <c r="E54" s="605">
        <v>-247.77</v>
      </c>
      <c r="F54" s="732">
        <v>0</v>
      </c>
      <c r="G54" s="605">
        <v>-247.77</v>
      </c>
      <c r="H54" s="623"/>
      <c r="I54" s="639"/>
      <c r="J54" s="1578"/>
      <c r="K54" s="226"/>
      <c r="L54" s="226"/>
    </row>
    <row r="55" spans="1:12" ht="15">
      <c r="A55" s="623">
        <v>45141</v>
      </c>
      <c r="B55" s="623" t="s">
        <v>2518</v>
      </c>
      <c r="C55" s="623" t="s">
        <v>4108</v>
      </c>
      <c r="D55" s="624" t="s">
        <v>5789</v>
      </c>
      <c r="E55" s="605">
        <v>-730.4</v>
      </c>
      <c r="F55" s="732">
        <v>0</v>
      </c>
      <c r="G55" s="605">
        <v>-730.4</v>
      </c>
      <c r="H55" s="623"/>
      <c r="I55" s="639"/>
      <c r="J55" s="1578"/>
      <c r="K55" s="226"/>
      <c r="L55" s="226"/>
    </row>
    <row r="56" spans="1:12" ht="15">
      <c r="A56" s="623">
        <v>45141</v>
      </c>
      <c r="B56" s="623" t="s">
        <v>2518</v>
      </c>
      <c r="C56" s="623" t="s">
        <v>4108</v>
      </c>
      <c r="D56" s="624" t="s">
        <v>5790</v>
      </c>
      <c r="E56" s="605">
        <v>-302.14</v>
      </c>
      <c r="F56" s="732">
        <v>0</v>
      </c>
      <c r="G56" s="605">
        <v>-302.14</v>
      </c>
      <c r="H56" s="623"/>
      <c r="I56" s="639"/>
      <c r="J56" s="1578"/>
      <c r="K56" s="226"/>
      <c r="L56" s="226"/>
    </row>
    <row r="57" spans="1:12" ht="15">
      <c r="A57" s="623">
        <v>45141</v>
      </c>
      <c r="B57" s="623" t="s">
        <v>2518</v>
      </c>
      <c r="C57" s="623" t="s">
        <v>4108</v>
      </c>
      <c r="D57" s="624" t="s">
        <v>5791</v>
      </c>
      <c r="E57" s="605">
        <v>-903.01</v>
      </c>
      <c r="F57" s="732">
        <v>0</v>
      </c>
      <c r="G57" s="605">
        <v>-903.01</v>
      </c>
      <c r="H57" s="623"/>
      <c r="I57" s="639"/>
      <c r="J57" s="1578"/>
      <c r="K57" s="226"/>
      <c r="L57" s="226"/>
    </row>
    <row r="58" spans="1:12" ht="15">
      <c r="A58" s="623">
        <v>45141</v>
      </c>
      <c r="B58" s="623" t="s">
        <v>2518</v>
      </c>
      <c r="C58" s="623" t="s">
        <v>4108</v>
      </c>
      <c r="D58" s="624" t="s">
        <v>5792</v>
      </c>
      <c r="E58" s="605">
        <v>-576.78</v>
      </c>
      <c r="F58" s="732">
        <v>0</v>
      </c>
      <c r="G58" s="605">
        <v>-576.78</v>
      </c>
      <c r="H58" s="623"/>
      <c r="I58" s="639"/>
      <c r="J58" s="1578"/>
      <c r="K58" s="226"/>
      <c r="L58" s="226"/>
    </row>
    <row r="59" spans="1:12" ht="15">
      <c r="A59" s="623">
        <v>45141</v>
      </c>
      <c r="B59" s="623" t="s">
        <v>2518</v>
      </c>
      <c r="C59" s="623" t="s">
        <v>4108</v>
      </c>
      <c r="D59" s="624" t="s">
        <v>5793</v>
      </c>
      <c r="E59" s="605">
        <v>-355.15</v>
      </c>
      <c r="F59" s="732">
        <v>0</v>
      </c>
      <c r="G59" s="605">
        <v>-355.15</v>
      </c>
      <c r="H59" s="623"/>
      <c r="I59" s="639"/>
      <c r="J59" s="1578"/>
      <c r="K59" s="226"/>
      <c r="L59" s="226"/>
    </row>
    <row r="60" spans="1:12" ht="15">
      <c r="A60" s="623">
        <v>45141</v>
      </c>
      <c r="B60" s="623" t="s">
        <v>2518</v>
      </c>
      <c r="C60" s="623" t="s">
        <v>4108</v>
      </c>
      <c r="D60" s="624" t="s">
        <v>5794</v>
      </c>
      <c r="E60" s="605">
        <v>-609.33000000000004</v>
      </c>
      <c r="F60" s="732">
        <v>0</v>
      </c>
      <c r="G60" s="605">
        <v>-609.33000000000004</v>
      </c>
      <c r="H60" s="623"/>
      <c r="I60" s="639"/>
      <c r="J60" s="1578"/>
      <c r="K60" s="226"/>
      <c r="L60" s="226"/>
    </row>
    <row r="61" spans="1:12" ht="15">
      <c r="A61" s="623">
        <v>45141</v>
      </c>
      <c r="B61" s="623" t="s">
        <v>2518</v>
      </c>
      <c r="C61" s="623" t="s">
        <v>4108</v>
      </c>
      <c r="D61" s="624" t="s">
        <v>5795</v>
      </c>
      <c r="E61" s="605">
        <v>-1097.3</v>
      </c>
      <c r="F61" s="732">
        <v>0</v>
      </c>
      <c r="G61" s="605">
        <v>-1097.3</v>
      </c>
      <c r="H61" s="623"/>
      <c r="I61" s="639"/>
      <c r="J61" s="1578"/>
      <c r="K61" s="226"/>
      <c r="L61" s="226"/>
    </row>
    <row r="62" spans="1:12" ht="15">
      <c r="A62" s="623">
        <v>45141</v>
      </c>
      <c r="B62" s="623" t="s">
        <v>2518</v>
      </c>
      <c r="C62" s="623" t="s">
        <v>4108</v>
      </c>
      <c r="D62" s="624" t="s">
        <v>5796</v>
      </c>
      <c r="E62" s="605">
        <v>-21.95</v>
      </c>
      <c r="F62" s="732">
        <v>0</v>
      </c>
      <c r="G62" s="605">
        <v>-21.95</v>
      </c>
      <c r="H62" s="623"/>
      <c r="I62" s="639"/>
      <c r="J62" s="1578"/>
      <c r="K62" s="226"/>
      <c r="L62" s="226"/>
    </row>
    <row r="63" spans="1:12" ht="15">
      <c r="A63" s="623">
        <v>45141</v>
      </c>
      <c r="B63" s="623" t="s">
        <v>2518</v>
      </c>
      <c r="C63" s="623" t="s">
        <v>4108</v>
      </c>
      <c r="D63" s="624" t="s">
        <v>5797</v>
      </c>
      <c r="E63" s="605">
        <v>-425.59</v>
      </c>
      <c r="F63" s="732">
        <v>0</v>
      </c>
      <c r="G63" s="605">
        <v>-425.59</v>
      </c>
      <c r="H63" s="623"/>
      <c r="I63" s="639"/>
      <c r="J63" s="1578"/>
      <c r="K63" s="226"/>
      <c r="L63" s="226"/>
    </row>
    <row r="64" spans="1:12" ht="15">
      <c r="A64" s="623">
        <v>45141</v>
      </c>
      <c r="B64" s="623" t="s">
        <v>2518</v>
      </c>
      <c r="C64" s="623" t="s">
        <v>4108</v>
      </c>
      <c r="D64" s="624" t="s">
        <v>5798</v>
      </c>
      <c r="E64" s="605">
        <v>-51.26</v>
      </c>
      <c r="F64" s="732">
        <v>0</v>
      </c>
      <c r="G64" s="605">
        <v>-51.26</v>
      </c>
      <c r="H64" s="623"/>
      <c r="I64" s="639"/>
      <c r="J64" s="1578"/>
      <c r="K64" s="226"/>
      <c r="L64" s="226"/>
    </row>
    <row r="65" spans="1:12" ht="15">
      <c r="A65" s="623">
        <v>45141</v>
      </c>
      <c r="B65" s="623" t="s">
        <v>2518</v>
      </c>
      <c r="C65" s="623" t="s">
        <v>4108</v>
      </c>
      <c r="D65" s="624" t="s">
        <v>5799</v>
      </c>
      <c r="E65" s="605">
        <v>-411.18</v>
      </c>
      <c r="F65" s="732">
        <v>0</v>
      </c>
      <c r="G65" s="605">
        <v>-411.18</v>
      </c>
      <c r="H65" s="623"/>
      <c r="I65" s="639"/>
      <c r="J65" s="1578"/>
      <c r="K65" s="226"/>
      <c r="L65" s="226"/>
    </row>
    <row r="66" spans="1:12" ht="15">
      <c r="A66" s="623">
        <v>45141</v>
      </c>
      <c r="B66" s="623" t="s">
        <v>2518</v>
      </c>
      <c r="C66" s="623" t="s">
        <v>4108</v>
      </c>
      <c r="D66" s="624" t="s">
        <v>5800</v>
      </c>
      <c r="E66" s="605">
        <v>-17.28</v>
      </c>
      <c r="F66" s="732">
        <v>0</v>
      </c>
      <c r="G66" s="605">
        <v>-17.28</v>
      </c>
      <c r="H66" s="623"/>
      <c r="I66" s="639"/>
      <c r="J66" s="1578"/>
      <c r="K66" s="226"/>
      <c r="L66" s="226"/>
    </row>
    <row r="67" spans="1:12" ht="15">
      <c r="A67" s="623">
        <v>45141</v>
      </c>
      <c r="B67" s="623" t="s">
        <v>2518</v>
      </c>
      <c r="C67" s="623" t="s">
        <v>4108</v>
      </c>
      <c r="D67" s="624" t="s">
        <v>5801</v>
      </c>
      <c r="E67" s="605">
        <v>-184.68</v>
      </c>
      <c r="F67" s="732">
        <v>0</v>
      </c>
      <c r="G67" s="605">
        <v>-184.68</v>
      </c>
      <c r="H67" s="623"/>
      <c r="I67" s="639"/>
      <c r="J67" s="1578"/>
      <c r="K67" s="226"/>
      <c r="L67" s="226"/>
    </row>
    <row r="68" spans="1:12" ht="15">
      <c r="A68" s="623">
        <v>45141</v>
      </c>
      <c r="B68" s="623" t="s">
        <v>2518</v>
      </c>
      <c r="C68" s="623" t="s">
        <v>4108</v>
      </c>
      <c r="D68" s="624" t="s">
        <v>5802</v>
      </c>
      <c r="E68" s="605">
        <v>-39.19</v>
      </c>
      <c r="F68" s="732">
        <v>0</v>
      </c>
      <c r="G68" s="605">
        <v>-39.19</v>
      </c>
      <c r="H68" s="623"/>
      <c r="I68" s="639"/>
      <c r="J68" s="1578"/>
      <c r="K68" s="226"/>
      <c r="L68" s="226"/>
    </row>
    <row r="69" spans="1:12" ht="15">
      <c r="A69" s="623">
        <v>45141</v>
      </c>
      <c r="B69" s="623" t="s">
        <v>2518</v>
      </c>
      <c r="C69" s="623" t="s">
        <v>4108</v>
      </c>
      <c r="D69" s="624" t="s">
        <v>5803</v>
      </c>
      <c r="E69" s="605">
        <v>-236.98</v>
      </c>
      <c r="F69" s="732">
        <v>0</v>
      </c>
      <c r="G69" s="605">
        <v>-236.98</v>
      </c>
      <c r="H69" s="623"/>
      <c r="I69" s="639"/>
      <c r="J69" s="1578"/>
      <c r="K69" s="226"/>
      <c r="L69" s="226"/>
    </row>
    <row r="70" spans="1:12" ht="15">
      <c r="A70" s="623">
        <v>45141</v>
      </c>
      <c r="B70" s="623" t="s">
        <v>2518</v>
      </c>
      <c r="C70" s="623" t="s">
        <v>4108</v>
      </c>
      <c r="D70" s="624" t="s">
        <v>5804</v>
      </c>
      <c r="E70" s="605">
        <v>-213.17</v>
      </c>
      <c r="F70" s="732">
        <v>0</v>
      </c>
      <c r="G70" s="605">
        <v>-213.17</v>
      </c>
      <c r="H70" s="623"/>
      <c r="I70" s="639"/>
      <c r="J70" s="1578"/>
      <c r="K70" s="226"/>
      <c r="L70" s="226"/>
    </row>
    <row r="71" spans="1:12" ht="15">
      <c r="A71" s="623">
        <v>45141</v>
      </c>
      <c r="B71" s="623" t="s">
        <v>2518</v>
      </c>
      <c r="C71" s="623" t="s">
        <v>4108</v>
      </c>
      <c r="D71" s="624" t="s">
        <v>5805</v>
      </c>
      <c r="E71" s="605">
        <v>-109.73</v>
      </c>
      <c r="F71" s="732">
        <v>0</v>
      </c>
      <c r="G71" s="605">
        <v>-109.73</v>
      </c>
      <c r="H71" s="623"/>
      <c r="I71" s="639"/>
      <c r="J71" s="1578"/>
      <c r="K71" s="226"/>
      <c r="L71" s="226"/>
    </row>
    <row r="72" spans="1:12" ht="15">
      <c r="A72" s="623">
        <v>45141</v>
      </c>
      <c r="B72" s="623" t="s">
        <v>2518</v>
      </c>
      <c r="C72" s="623" t="s">
        <v>4108</v>
      </c>
      <c r="D72" s="624" t="s">
        <v>5806</v>
      </c>
      <c r="E72" s="605">
        <v>-245.51</v>
      </c>
      <c r="F72" s="732">
        <v>0</v>
      </c>
      <c r="G72" s="605">
        <v>-245.51</v>
      </c>
      <c r="H72" s="623"/>
      <c r="I72" s="639"/>
      <c r="J72" s="1578"/>
      <c r="K72" s="226"/>
      <c r="L72" s="226"/>
    </row>
    <row r="73" spans="1:12" ht="15">
      <c r="A73" s="623">
        <v>45141</v>
      </c>
      <c r="B73" s="623" t="s">
        <v>2518</v>
      </c>
      <c r="C73" s="623" t="s">
        <v>4108</v>
      </c>
      <c r="D73" s="624" t="s">
        <v>5807</v>
      </c>
      <c r="E73" s="605">
        <v>-401.57</v>
      </c>
      <c r="F73" s="732">
        <v>0</v>
      </c>
      <c r="G73" s="605">
        <v>-401.57</v>
      </c>
      <c r="H73" s="623"/>
      <c r="I73" s="639"/>
      <c r="J73" s="1578"/>
      <c r="K73" s="226"/>
      <c r="L73" s="226"/>
    </row>
    <row r="74" spans="1:12" ht="15">
      <c r="A74" s="623">
        <v>45142</v>
      </c>
      <c r="B74" s="623" t="s">
        <v>2518</v>
      </c>
      <c r="C74" s="623" t="s">
        <v>4108</v>
      </c>
      <c r="D74" s="624" t="s">
        <v>5808</v>
      </c>
      <c r="E74" s="605">
        <v>-274.82</v>
      </c>
      <c r="F74" s="732">
        <v>0</v>
      </c>
      <c r="G74" s="605">
        <v>-274.82</v>
      </c>
      <c r="H74" s="623"/>
      <c r="I74" s="639"/>
      <c r="J74" s="1578"/>
      <c r="K74" s="226"/>
      <c r="L74" s="226"/>
    </row>
    <row r="75" spans="1:12" ht="15">
      <c r="A75" s="623">
        <v>45142</v>
      </c>
      <c r="B75" s="623" t="s">
        <v>2518</v>
      </c>
      <c r="C75" s="623" t="s">
        <v>4108</v>
      </c>
      <c r="D75" s="624" t="s">
        <v>5809</v>
      </c>
      <c r="E75" s="605">
        <v>-269.41000000000003</v>
      </c>
      <c r="F75" s="732">
        <v>0</v>
      </c>
      <c r="G75" s="605">
        <v>-269.41000000000003</v>
      </c>
      <c r="H75" s="623"/>
      <c r="I75" s="639"/>
      <c r="J75" s="1578"/>
      <c r="K75" s="226"/>
      <c r="L75" s="226"/>
    </row>
    <row r="76" spans="1:12" ht="15">
      <c r="A76" s="623"/>
      <c r="B76" s="623"/>
      <c r="C76" s="623"/>
      <c r="D76" s="624"/>
      <c r="E76" s="605"/>
      <c r="F76" s="732"/>
      <c r="G76" s="605"/>
      <c r="H76" s="623"/>
      <c r="I76" s="639"/>
      <c r="J76" s="1578"/>
      <c r="K76" s="226"/>
      <c r="L76" s="226"/>
    </row>
    <row r="77" spans="1:12" ht="15">
      <c r="A77" s="623"/>
      <c r="B77" s="623"/>
      <c r="C77" s="623"/>
      <c r="D77" s="624"/>
      <c r="E77" s="605"/>
      <c r="F77" s="732"/>
      <c r="G77" s="605"/>
      <c r="H77" s="623"/>
      <c r="I77" s="639"/>
      <c r="J77" s="1578"/>
      <c r="K77" s="226"/>
      <c r="L77" s="226"/>
    </row>
    <row r="78" spans="1:12" ht="15">
      <c r="A78" s="623"/>
      <c r="B78" s="623"/>
      <c r="C78" s="623"/>
      <c r="D78" s="624"/>
      <c r="E78" s="605"/>
      <c r="F78" s="732"/>
      <c r="G78" s="605"/>
      <c r="H78" s="623"/>
      <c r="I78" s="639"/>
      <c r="J78" s="1578"/>
      <c r="K78" s="226"/>
      <c r="L78" s="226"/>
    </row>
    <row r="79" spans="1:12" ht="15">
      <c r="A79" s="623"/>
      <c r="B79" s="623"/>
      <c r="C79" s="623"/>
      <c r="D79" s="624"/>
      <c r="E79" s="605"/>
      <c r="F79" s="732"/>
      <c r="G79" s="605"/>
      <c r="H79" s="623"/>
      <c r="I79" s="639"/>
      <c r="J79" s="1578"/>
      <c r="K79" s="226"/>
      <c r="L79" s="226"/>
    </row>
    <row r="80" spans="1:12" ht="15">
      <c r="A80" s="623"/>
      <c r="B80" s="623"/>
      <c r="C80" s="623"/>
      <c r="D80" s="624"/>
      <c r="E80" s="605"/>
      <c r="F80" s="732"/>
      <c r="G80" s="605"/>
      <c r="H80" s="623"/>
      <c r="I80" s="639"/>
      <c r="J80" s="1578"/>
      <c r="K80" s="226"/>
      <c r="L80" s="226"/>
    </row>
    <row r="81" spans="1:12" ht="15">
      <c r="A81" s="623"/>
      <c r="B81" s="623"/>
      <c r="C81" s="623"/>
      <c r="D81" s="624"/>
      <c r="E81" s="605"/>
      <c r="F81" s="732"/>
      <c r="G81" s="605"/>
      <c r="H81" s="623"/>
      <c r="I81" s="639"/>
      <c r="J81" s="1578"/>
      <c r="K81" s="226"/>
      <c r="L81" s="226"/>
    </row>
    <row r="82" spans="1:12" ht="15">
      <c r="A82" s="623"/>
      <c r="B82" s="623"/>
      <c r="C82" s="623"/>
      <c r="D82" s="624"/>
      <c r="E82" s="605"/>
      <c r="F82" s="732"/>
      <c r="G82" s="605"/>
      <c r="H82" s="623"/>
      <c r="I82" s="639"/>
      <c r="J82" s="1578"/>
      <c r="K82" s="226"/>
      <c r="L82" s="226"/>
    </row>
    <row r="83" spans="1:12" ht="15">
      <c r="A83" s="623"/>
      <c r="B83" s="623"/>
      <c r="C83" s="623"/>
      <c r="D83" s="624"/>
      <c r="E83" s="605"/>
      <c r="F83" s="732"/>
      <c r="G83" s="605"/>
      <c r="H83" s="623"/>
      <c r="I83" s="639"/>
      <c r="J83" s="1578"/>
      <c r="K83" s="226"/>
      <c r="L83" s="226"/>
    </row>
    <row r="84" spans="1:12" ht="15">
      <c r="A84" s="623"/>
      <c r="B84" s="623"/>
      <c r="C84" s="623"/>
      <c r="D84" s="624"/>
      <c r="E84" s="605"/>
      <c r="F84" s="732"/>
      <c r="G84" s="605"/>
      <c r="H84" s="623"/>
      <c r="I84" s="639"/>
      <c r="J84" s="988"/>
      <c r="K84" s="226"/>
      <c r="L84" s="226"/>
    </row>
    <row r="85" spans="1:12" ht="15">
      <c r="A85" s="623"/>
      <c r="B85" s="623"/>
      <c r="C85" s="623"/>
      <c r="D85" s="624"/>
      <c r="E85" s="605"/>
      <c r="F85" s="732"/>
      <c r="G85" s="605"/>
      <c r="H85" s="623"/>
      <c r="I85" s="639"/>
      <c r="J85" s="988"/>
      <c r="K85" s="226"/>
      <c r="L85" s="226"/>
    </row>
    <row r="86" spans="1:12" ht="15">
      <c r="A86" s="623"/>
      <c r="B86" s="623"/>
      <c r="C86" s="623"/>
      <c r="D86" s="624"/>
      <c r="E86" s="605"/>
      <c r="F86" s="732"/>
      <c r="G86" s="605"/>
      <c r="H86" s="623"/>
      <c r="I86" s="639"/>
      <c r="J86" s="988"/>
      <c r="K86" s="226"/>
      <c r="L86" s="226"/>
    </row>
    <row r="87" spans="1:12" ht="15">
      <c r="A87" s="852"/>
      <c r="B87" s="1125"/>
      <c r="C87" s="1125"/>
      <c r="D87" s="619"/>
      <c r="E87" s="619"/>
      <c r="F87" s="1144" t="s">
        <v>545</v>
      </c>
      <c r="G87" s="651">
        <f>SUM(G2:G86)-SUM(I2:I86)</f>
        <v>-11285.249999999993</v>
      </c>
      <c r="H87" s="634"/>
      <c r="I87" s="639"/>
      <c r="J87" s="851"/>
      <c r="K87" s="226"/>
      <c r="L87" s="226"/>
    </row>
  </sheetData>
  <mergeCells count="17">
    <mergeCell ref="F5:F6"/>
    <mergeCell ref="E5:E6"/>
    <mergeCell ref="D5:D6"/>
    <mergeCell ref="A5:A6"/>
    <mergeCell ref="K4:K5"/>
    <mergeCell ref="J4:J5"/>
    <mergeCell ref="I4:I5"/>
    <mergeCell ref="C5:C6"/>
    <mergeCell ref="B5:B6"/>
    <mergeCell ref="H2:H3"/>
    <mergeCell ref="A2:A3"/>
    <mergeCell ref="D2:D3"/>
    <mergeCell ref="E2:E3"/>
    <mergeCell ref="F2:F3"/>
    <mergeCell ref="G2:G3"/>
    <mergeCell ref="C2:C3"/>
    <mergeCell ref="B2:B3"/>
  </mergeCells>
  <phoneticPr fontId="15" type="noConversion"/>
  <hyperlinks>
    <hyperlink ref="F87" location="汇总!A1" display="剩余欠款"/>
  </hyperlinks>
  <pageMargins left="0.7" right="0.7" top="0.75" bottom="0.75" header="0.3" footer="0.3"/>
  <pageSetup paperSize="9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/>
  <dimension ref="A1:N15"/>
  <sheetViews>
    <sheetView workbookViewId="0">
      <pane ySplit="1" topLeftCell="A2" activePane="bottomLeft" state="frozen"/>
      <selection pane="bottomLeft" activeCell="F15" sqref="F15"/>
    </sheetView>
  </sheetViews>
  <sheetFormatPr defaultColWidth="8.75" defaultRowHeight="14.25"/>
  <cols>
    <col min="1" max="1" width="13" style="168" customWidth="1"/>
    <col min="2" max="2" width="9" style="168" bestFit="1" customWidth="1"/>
    <col min="3" max="3" width="28.25" style="168" bestFit="1" customWidth="1"/>
    <col min="4" max="5" width="15" style="168" customWidth="1"/>
    <col min="6" max="6" width="13.375" style="527" customWidth="1"/>
    <col min="7" max="7" width="11.375" style="168" bestFit="1" customWidth="1"/>
    <col min="8" max="8" width="16.625" style="168" bestFit="1" customWidth="1"/>
    <col min="9" max="9" width="12.875" style="168" customWidth="1"/>
    <col min="10" max="10" width="11.625" style="168" bestFit="1" customWidth="1"/>
    <col min="11" max="11" width="22.75" style="237" bestFit="1" customWidth="1"/>
    <col min="12" max="12" width="25" style="168" bestFit="1" customWidth="1"/>
    <col min="13" max="13" width="13.875" style="168" bestFit="1" customWidth="1"/>
    <col min="14" max="16384" width="8.75" style="168"/>
  </cols>
  <sheetData>
    <row r="1" spans="1:14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7" t="s">
        <v>542</v>
      </c>
    </row>
    <row r="2" spans="1:14" ht="15">
      <c r="A2" s="991">
        <v>44874</v>
      </c>
      <c r="B2" s="1124" t="s">
        <v>2518</v>
      </c>
      <c r="C2" s="1124" t="s">
        <v>4106</v>
      </c>
      <c r="D2" s="992" t="s">
        <v>3440</v>
      </c>
      <c r="E2" s="611">
        <v>126</v>
      </c>
      <c r="F2" s="731">
        <v>0</v>
      </c>
      <c r="G2" s="611">
        <v>126</v>
      </c>
      <c r="H2" s="991">
        <v>44875</v>
      </c>
      <c r="I2" s="611">
        <v>126</v>
      </c>
      <c r="J2" s="991">
        <v>44907</v>
      </c>
      <c r="K2" s="1799" t="s">
        <v>3721</v>
      </c>
      <c r="L2" s="226"/>
      <c r="M2"/>
      <c r="N2"/>
    </row>
    <row r="3" spans="1:14" ht="15">
      <c r="A3" s="1903">
        <v>44874</v>
      </c>
      <c r="B3" s="1918" t="s">
        <v>2518</v>
      </c>
      <c r="C3" s="1918" t="s">
        <v>4106</v>
      </c>
      <c r="D3" s="1909" t="s">
        <v>3441</v>
      </c>
      <c r="E3" s="1923">
        <v>4344.8999999999996</v>
      </c>
      <c r="F3" s="1927">
        <v>0</v>
      </c>
      <c r="G3" s="611">
        <v>1354.92</v>
      </c>
      <c r="H3" s="991">
        <v>44875</v>
      </c>
      <c r="I3" s="611">
        <v>1354.92</v>
      </c>
      <c r="J3" s="991">
        <v>44888</v>
      </c>
      <c r="K3" s="1799" t="s">
        <v>3581</v>
      </c>
      <c r="L3" s="226"/>
      <c r="M3"/>
      <c r="N3"/>
    </row>
    <row r="4" spans="1:14" ht="15">
      <c r="A4" s="1905"/>
      <c r="B4" s="1920"/>
      <c r="C4" s="1920"/>
      <c r="D4" s="1911"/>
      <c r="E4" s="1924"/>
      <c r="F4" s="1928"/>
      <c r="G4" s="611">
        <f>4344.9-G3</f>
        <v>2989.9799999999996</v>
      </c>
      <c r="H4" s="991">
        <v>44875</v>
      </c>
      <c r="I4" s="611">
        <v>2989.9799999999996</v>
      </c>
      <c r="J4" s="991">
        <v>44907</v>
      </c>
      <c r="K4" s="1799" t="s">
        <v>3721</v>
      </c>
      <c r="L4" s="226"/>
      <c r="M4"/>
      <c r="N4"/>
    </row>
    <row r="5" spans="1:14" ht="15">
      <c r="A5" s="1903">
        <v>45195</v>
      </c>
      <c r="B5" s="1903" t="s">
        <v>5522</v>
      </c>
      <c r="C5" s="1903" t="s">
        <v>4106</v>
      </c>
      <c r="D5" s="1909" t="s">
        <v>6189</v>
      </c>
      <c r="E5" s="1923">
        <v>11245.45</v>
      </c>
      <c r="F5" s="1927">
        <v>0</v>
      </c>
      <c r="G5" s="611">
        <v>3419.2</v>
      </c>
      <c r="H5" s="1820">
        <v>45240</v>
      </c>
      <c r="I5" s="611">
        <v>3419.2</v>
      </c>
      <c r="J5" s="1820">
        <v>45229</v>
      </c>
      <c r="K5" s="1818" t="s">
        <v>6442</v>
      </c>
      <c r="L5" s="226"/>
    </row>
    <row r="6" spans="1:14" ht="15">
      <c r="A6" s="1905"/>
      <c r="B6" s="1905"/>
      <c r="C6" s="1905"/>
      <c r="D6" s="1911"/>
      <c r="E6" s="1924"/>
      <c r="F6" s="1928"/>
      <c r="G6" s="611">
        <f>11245.45-3419.2</f>
        <v>7826.2500000000009</v>
      </c>
      <c r="H6" s="1820">
        <v>45240</v>
      </c>
      <c r="I6" s="611">
        <v>7826.2500000000009</v>
      </c>
      <c r="J6" s="1820">
        <v>45230</v>
      </c>
      <c r="K6" s="1818" t="s">
        <v>6498</v>
      </c>
      <c r="L6" s="226"/>
    </row>
    <row r="7" spans="1:14" ht="15">
      <c r="A7" s="891"/>
      <c r="B7" s="1124"/>
      <c r="C7" s="1124"/>
      <c r="D7" s="892"/>
      <c r="E7" s="605"/>
      <c r="F7" s="732"/>
      <c r="G7" s="639"/>
      <c r="H7" s="891"/>
      <c r="I7" s="639"/>
      <c r="J7" s="891"/>
      <c r="K7" s="1794"/>
      <c r="L7" s="226"/>
    </row>
    <row r="8" spans="1:14" ht="15">
      <c r="A8" s="891"/>
      <c r="B8" s="1124"/>
      <c r="C8" s="1124"/>
      <c r="D8" s="892"/>
      <c r="E8" s="605"/>
      <c r="F8" s="732"/>
      <c r="G8" s="639"/>
      <c r="H8" s="891"/>
      <c r="I8" s="639"/>
      <c r="J8" s="891"/>
      <c r="K8" s="1794"/>
      <c r="L8" s="226"/>
    </row>
    <row r="9" spans="1:14" ht="15">
      <c r="A9" s="891"/>
      <c r="B9" s="1124"/>
      <c r="C9" s="1124"/>
      <c r="D9" s="892"/>
      <c r="E9" s="605"/>
      <c r="F9" s="732"/>
      <c r="G9" s="639"/>
      <c r="H9" s="891"/>
      <c r="I9" s="639"/>
      <c r="J9" s="891"/>
      <c r="K9" s="1794"/>
      <c r="L9" s="226"/>
    </row>
    <row r="10" spans="1:14" ht="15">
      <c r="A10" s="891"/>
      <c r="B10" s="1124"/>
      <c r="C10" s="1124"/>
      <c r="D10" s="892"/>
      <c r="E10" s="605"/>
      <c r="F10" s="732"/>
      <c r="G10" s="639"/>
      <c r="H10" s="891"/>
      <c r="I10" s="639"/>
      <c r="J10" s="891"/>
      <c r="K10" s="1794"/>
      <c r="L10" s="226"/>
    </row>
    <row r="11" spans="1:14" ht="15">
      <c r="A11" s="891"/>
      <c r="B11" s="1124"/>
      <c r="C11" s="1124"/>
      <c r="D11" s="892"/>
      <c r="E11" s="605"/>
      <c r="F11" s="732"/>
      <c r="G11" s="639"/>
      <c r="H11" s="891"/>
      <c r="I11" s="639"/>
      <c r="J11" s="891"/>
      <c r="K11" s="1794"/>
      <c r="L11" s="226"/>
    </row>
    <row r="12" spans="1:14" ht="15">
      <c r="A12" s="891"/>
      <c r="B12" s="1124"/>
      <c r="C12" s="1124"/>
      <c r="D12" s="892"/>
      <c r="E12" s="605"/>
      <c r="F12" s="732"/>
      <c r="G12" s="639"/>
      <c r="H12" s="891"/>
      <c r="I12" s="639"/>
      <c r="J12" s="891"/>
      <c r="K12" s="1794"/>
      <c r="L12" s="226"/>
    </row>
    <row r="13" spans="1:14" ht="15">
      <c r="A13" s="891"/>
      <c r="B13" s="1124"/>
      <c r="C13" s="1124"/>
      <c r="D13" s="892"/>
      <c r="E13" s="605"/>
      <c r="F13" s="732"/>
      <c r="G13" s="639"/>
      <c r="H13" s="891"/>
      <c r="I13" s="639"/>
      <c r="J13" s="891"/>
      <c r="K13" s="1794"/>
      <c r="L13" s="226"/>
    </row>
    <row r="14" spans="1:14" ht="15">
      <c r="A14" s="891"/>
      <c r="B14" s="1124"/>
      <c r="C14" s="1124"/>
      <c r="D14" s="892"/>
      <c r="E14" s="605"/>
      <c r="F14" s="732"/>
      <c r="G14" s="639"/>
      <c r="H14" s="891"/>
      <c r="I14" s="639"/>
      <c r="J14" s="891"/>
      <c r="K14" s="1794"/>
      <c r="L14" s="226"/>
    </row>
    <row r="15" spans="1:14" ht="15">
      <c r="A15" s="892"/>
      <c r="B15" s="1125"/>
      <c r="C15" s="1125"/>
      <c r="D15" s="619"/>
      <c r="E15" s="619"/>
      <c r="F15" s="1144" t="s">
        <v>545</v>
      </c>
      <c r="G15" s="651">
        <f>SUM(G2:G14)-SUM(I2:I14)</f>
        <v>0</v>
      </c>
      <c r="H15" s="634"/>
      <c r="I15" s="639"/>
      <c r="J15" s="891"/>
      <c r="K15" s="1794"/>
      <c r="L15" s="226"/>
    </row>
  </sheetData>
  <mergeCells count="12">
    <mergeCell ref="F3:F4"/>
    <mergeCell ref="E3:E4"/>
    <mergeCell ref="D3:D4"/>
    <mergeCell ref="A3:A4"/>
    <mergeCell ref="B3:B4"/>
    <mergeCell ref="C3:C4"/>
    <mergeCell ref="F5:F6"/>
    <mergeCell ref="A5:A6"/>
    <mergeCell ref="B5:B6"/>
    <mergeCell ref="C5:C6"/>
    <mergeCell ref="D5:D6"/>
    <mergeCell ref="E5:E6"/>
  </mergeCells>
  <phoneticPr fontId="15" type="noConversion"/>
  <hyperlinks>
    <hyperlink ref="F15" location="汇总!A1" display="剩余欠款"/>
  </hyperlinks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/>
  <dimension ref="A1:N48"/>
  <sheetViews>
    <sheetView workbookViewId="0">
      <pane ySplit="1" topLeftCell="A20" activePane="bottomLeft" state="frozen"/>
      <selection pane="bottomLeft" activeCell="F48" sqref="F48"/>
    </sheetView>
  </sheetViews>
  <sheetFormatPr defaultColWidth="8.75" defaultRowHeight="14.25"/>
  <cols>
    <col min="1" max="1" width="13" style="168" customWidth="1"/>
    <col min="2" max="2" width="8.875" style="168" bestFit="1" customWidth="1"/>
    <col min="3" max="3" width="42" style="168" bestFit="1" customWidth="1"/>
    <col min="4" max="5" width="15" style="168" customWidth="1"/>
    <col min="6" max="6" width="13.375" style="527" customWidth="1"/>
    <col min="7" max="7" width="11.375" style="168" bestFit="1" customWidth="1"/>
    <col min="8" max="8" width="16.625" style="168" bestFit="1" customWidth="1"/>
    <col min="9" max="9" width="12.875" style="168" customWidth="1"/>
    <col min="10" max="10" width="11.625" style="168" bestFit="1" customWidth="1"/>
    <col min="11" max="11" width="13.875" style="168" bestFit="1" customWidth="1"/>
    <col min="12" max="12" width="38.25" style="168" bestFit="1" customWidth="1"/>
    <col min="13" max="13" width="13.875" style="168" bestFit="1" customWidth="1"/>
    <col min="14" max="16384" width="8.75" style="168"/>
  </cols>
  <sheetData>
    <row r="1" spans="1:14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7" t="s">
        <v>542</v>
      </c>
    </row>
    <row r="2" spans="1:14" ht="15">
      <c r="A2" s="1903">
        <v>44901.000497685185</v>
      </c>
      <c r="B2" s="1918" t="s">
        <v>2644</v>
      </c>
      <c r="C2" s="1918" t="s">
        <v>3677</v>
      </c>
      <c r="D2" s="1909" t="s">
        <v>3659</v>
      </c>
      <c r="E2" s="1951">
        <v>2859.6</v>
      </c>
      <c r="F2" s="1933">
        <v>0</v>
      </c>
      <c r="G2" s="611">
        <v>1429.8</v>
      </c>
      <c r="H2" s="1116">
        <v>44946</v>
      </c>
      <c r="I2" s="611">
        <v>1429.8</v>
      </c>
      <c r="J2" s="1116">
        <v>44964</v>
      </c>
      <c r="K2" s="1111" t="s">
        <v>4088</v>
      </c>
      <c r="L2" s="226"/>
      <c r="M2"/>
      <c r="N2"/>
    </row>
    <row r="3" spans="1:14" ht="15">
      <c r="A3" s="1905"/>
      <c r="B3" s="1920"/>
      <c r="C3" s="1920"/>
      <c r="D3" s="1911"/>
      <c r="E3" s="1953"/>
      <c r="F3" s="1934"/>
      <c r="G3" s="611">
        <f>2859.6-1429.8</f>
        <v>1429.8</v>
      </c>
      <c r="H3" s="1116">
        <v>44946</v>
      </c>
      <c r="I3" s="1951">
        <v>5513.7</v>
      </c>
      <c r="J3" s="1903">
        <v>44963</v>
      </c>
      <c r="K3" s="1968" t="s">
        <v>4087</v>
      </c>
      <c r="L3" s="226"/>
      <c r="M3"/>
      <c r="N3"/>
    </row>
    <row r="4" spans="1:14" ht="15">
      <c r="A4" s="1116">
        <v>44902.000497685185</v>
      </c>
      <c r="B4" s="1124" t="s">
        <v>2644</v>
      </c>
      <c r="C4" s="1124" t="s">
        <v>3677</v>
      </c>
      <c r="D4" s="1117" t="s">
        <v>3660</v>
      </c>
      <c r="E4" s="611">
        <v>270</v>
      </c>
      <c r="F4" s="731">
        <v>0</v>
      </c>
      <c r="G4" s="611">
        <v>270</v>
      </c>
      <c r="H4" s="1116">
        <v>44947</v>
      </c>
      <c r="I4" s="1952"/>
      <c r="J4" s="1904"/>
      <c r="K4" s="1962"/>
      <c r="L4" s="226"/>
      <c r="M4"/>
      <c r="N4"/>
    </row>
    <row r="5" spans="1:14" ht="15">
      <c r="A5" s="1116">
        <v>44917</v>
      </c>
      <c r="B5" s="1124" t="s">
        <v>2644</v>
      </c>
      <c r="C5" s="1124" t="s">
        <v>3677</v>
      </c>
      <c r="D5" s="1117" t="s">
        <v>3746</v>
      </c>
      <c r="E5" s="611">
        <v>2989.5</v>
      </c>
      <c r="F5" s="731">
        <v>0</v>
      </c>
      <c r="G5" s="611">
        <v>2989.5</v>
      </c>
      <c r="H5" s="1116">
        <v>44918</v>
      </c>
      <c r="I5" s="1952"/>
      <c r="J5" s="1904"/>
      <c r="K5" s="1962"/>
      <c r="L5" s="226"/>
      <c r="M5"/>
      <c r="N5"/>
    </row>
    <row r="6" spans="1:14" ht="15">
      <c r="A6" s="1116">
        <v>44923</v>
      </c>
      <c r="B6" s="1124" t="s">
        <v>2644</v>
      </c>
      <c r="C6" s="1124" t="s">
        <v>3677</v>
      </c>
      <c r="D6" s="1117" t="s">
        <v>3815</v>
      </c>
      <c r="E6" s="611">
        <v>824.4</v>
      </c>
      <c r="F6" s="731">
        <v>0</v>
      </c>
      <c r="G6" s="611">
        <v>824.4</v>
      </c>
      <c r="H6" s="1116">
        <v>44924</v>
      </c>
      <c r="I6" s="1953"/>
      <c r="J6" s="1905"/>
      <c r="K6" s="1957"/>
      <c r="L6" s="226"/>
    </row>
    <row r="7" spans="1:14" ht="15">
      <c r="A7" s="1235">
        <v>44937</v>
      </c>
      <c r="B7" s="1235" t="s">
        <v>2644</v>
      </c>
      <c r="C7" s="1235" t="s">
        <v>3677</v>
      </c>
      <c r="D7" s="1237" t="s">
        <v>3881</v>
      </c>
      <c r="E7" s="611">
        <v>4721.1000000000004</v>
      </c>
      <c r="F7" s="731">
        <v>0</v>
      </c>
      <c r="G7" s="611">
        <v>4721.1000000000004</v>
      </c>
      <c r="H7" s="1235">
        <v>44982</v>
      </c>
      <c r="I7" s="611">
        <v>4721.1000000000004</v>
      </c>
      <c r="J7" s="1235">
        <v>44998</v>
      </c>
      <c r="K7" s="1234" t="s">
        <v>4524</v>
      </c>
      <c r="L7" s="226"/>
    </row>
    <row r="8" spans="1:14" ht="15">
      <c r="A8" s="1321">
        <v>44958.000497685185</v>
      </c>
      <c r="B8" s="1321" t="s">
        <v>2644</v>
      </c>
      <c r="C8" s="1321" t="s">
        <v>3677</v>
      </c>
      <c r="D8" s="1324" t="s">
        <v>4026</v>
      </c>
      <c r="E8" s="611">
        <v>4119.5600000000004</v>
      </c>
      <c r="F8" s="731">
        <v>0</v>
      </c>
      <c r="G8" s="611">
        <v>4119.5600000000004</v>
      </c>
      <c r="H8" s="1321">
        <v>45003</v>
      </c>
      <c r="I8" s="611">
        <v>4119.5600000000004</v>
      </c>
      <c r="J8" s="1321">
        <v>44998</v>
      </c>
      <c r="K8" s="1319" t="s">
        <v>4523</v>
      </c>
      <c r="L8" s="226"/>
    </row>
    <row r="9" spans="1:14" ht="15">
      <c r="A9" s="1321">
        <v>44984</v>
      </c>
      <c r="B9" s="1321" t="s">
        <v>2644</v>
      </c>
      <c r="C9" s="1321" t="s">
        <v>3677</v>
      </c>
      <c r="D9" s="1324" t="s">
        <v>4346</v>
      </c>
      <c r="E9" s="611">
        <v>1900.8</v>
      </c>
      <c r="F9" s="731">
        <v>0</v>
      </c>
      <c r="G9" s="611">
        <v>1900.8</v>
      </c>
      <c r="H9" s="1321">
        <v>45029</v>
      </c>
      <c r="I9" s="1951">
        <v>5692.76</v>
      </c>
      <c r="J9" s="1903">
        <v>45033</v>
      </c>
      <c r="K9" s="1938" t="s">
        <v>5347</v>
      </c>
      <c r="L9" s="226"/>
    </row>
    <row r="10" spans="1:14" ht="15">
      <c r="A10" s="1321">
        <v>44984</v>
      </c>
      <c r="B10" s="1321" t="s">
        <v>2644</v>
      </c>
      <c r="C10" s="1321" t="s">
        <v>3677</v>
      </c>
      <c r="D10" s="1324" t="s">
        <v>4347</v>
      </c>
      <c r="E10" s="611">
        <v>110.4</v>
      </c>
      <c r="F10" s="731">
        <v>0</v>
      </c>
      <c r="G10" s="611">
        <v>110.4</v>
      </c>
      <c r="H10" s="1321">
        <v>45029</v>
      </c>
      <c r="I10" s="1952"/>
      <c r="J10" s="1904"/>
      <c r="K10" s="1950"/>
      <c r="L10" s="226"/>
    </row>
    <row r="11" spans="1:14" ht="15">
      <c r="A11" s="1321">
        <v>44992</v>
      </c>
      <c r="B11" s="1321" t="s">
        <v>2644</v>
      </c>
      <c r="C11" s="1321" t="s">
        <v>3677</v>
      </c>
      <c r="D11" s="1324" t="s">
        <v>4422</v>
      </c>
      <c r="E11" s="611">
        <v>-251.75</v>
      </c>
      <c r="F11" s="731">
        <v>0</v>
      </c>
      <c r="G11" s="611">
        <v>-251.75</v>
      </c>
      <c r="H11" s="1321">
        <v>44992</v>
      </c>
      <c r="I11" s="1952"/>
      <c r="J11" s="1904"/>
      <c r="K11" s="1950"/>
      <c r="L11" s="226" t="s">
        <v>4425</v>
      </c>
    </row>
    <row r="12" spans="1:14" ht="15">
      <c r="A12" s="1321">
        <v>44992</v>
      </c>
      <c r="B12" s="1321" t="s">
        <v>2644</v>
      </c>
      <c r="C12" s="1321" t="s">
        <v>3677</v>
      </c>
      <c r="D12" s="1324" t="s">
        <v>4423</v>
      </c>
      <c r="E12" s="611">
        <v>998.4</v>
      </c>
      <c r="F12" s="731">
        <v>0</v>
      </c>
      <c r="G12" s="611">
        <v>998.4</v>
      </c>
      <c r="H12" s="1321">
        <v>44992</v>
      </c>
      <c r="I12" s="1952"/>
      <c r="J12" s="1904"/>
      <c r="K12" s="1950"/>
      <c r="L12" s="226"/>
    </row>
    <row r="13" spans="1:14" ht="15">
      <c r="A13" s="1321">
        <v>44992</v>
      </c>
      <c r="B13" s="1321" t="s">
        <v>2644</v>
      </c>
      <c r="C13" s="1321" t="s">
        <v>3677</v>
      </c>
      <c r="D13" s="1324" t="s">
        <v>4424</v>
      </c>
      <c r="E13" s="611">
        <v>2934.91</v>
      </c>
      <c r="F13" s="731">
        <v>0</v>
      </c>
      <c r="G13" s="611">
        <v>2934.91</v>
      </c>
      <c r="H13" s="1321">
        <v>44992</v>
      </c>
      <c r="I13" s="1953"/>
      <c r="J13" s="1905"/>
      <c r="K13" s="1947"/>
      <c r="L13" s="226"/>
    </row>
    <row r="14" spans="1:14" ht="15">
      <c r="A14" s="1456">
        <v>45006</v>
      </c>
      <c r="B14" s="1456" t="s">
        <v>2644</v>
      </c>
      <c r="C14" s="1456" t="s">
        <v>3677</v>
      </c>
      <c r="D14" s="1461" t="s">
        <v>4536</v>
      </c>
      <c r="E14" s="611">
        <v>2487.6</v>
      </c>
      <c r="F14" s="731">
        <v>0</v>
      </c>
      <c r="G14" s="611">
        <v>2487.6</v>
      </c>
      <c r="H14" s="1456">
        <v>45066</v>
      </c>
      <c r="I14" s="1951">
        <v>7007.59</v>
      </c>
      <c r="J14" s="1918">
        <v>45082</v>
      </c>
      <c r="K14" s="1956" t="s">
        <v>5661</v>
      </c>
      <c r="L14" s="226"/>
    </row>
    <row r="15" spans="1:14" ht="15">
      <c r="A15" s="1456">
        <v>45013</v>
      </c>
      <c r="B15" s="1456" t="s">
        <v>2644</v>
      </c>
      <c r="C15" s="1456" t="s">
        <v>3677</v>
      </c>
      <c r="D15" s="1461" t="s">
        <v>4625</v>
      </c>
      <c r="E15" s="611">
        <v>1621.69</v>
      </c>
      <c r="F15" s="731">
        <v>0</v>
      </c>
      <c r="G15" s="611">
        <v>1621.69</v>
      </c>
      <c r="H15" s="1456">
        <v>45073</v>
      </c>
      <c r="I15" s="1952"/>
      <c r="J15" s="1919"/>
      <c r="K15" s="1962"/>
      <c r="L15" s="226"/>
    </row>
    <row r="16" spans="1:14" ht="15">
      <c r="A16" s="1456">
        <v>45027.000497685185</v>
      </c>
      <c r="B16" s="1456" t="s">
        <v>2644</v>
      </c>
      <c r="C16" s="1456" t="s">
        <v>3677</v>
      </c>
      <c r="D16" s="1461" t="s">
        <v>4708</v>
      </c>
      <c r="E16" s="611">
        <v>1905.15</v>
      </c>
      <c r="F16" s="731">
        <v>0</v>
      </c>
      <c r="G16" s="611">
        <v>1905.15</v>
      </c>
      <c r="H16" s="1456">
        <v>45072</v>
      </c>
      <c r="I16" s="1952"/>
      <c r="J16" s="1919"/>
      <c r="K16" s="1962"/>
      <c r="L16" s="226"/>
    </row>
    <row r="17" spans="1:12" ht="15">
      <c r="A17" s="1456">
        <v>45041</v>
      </c>
      <c r="B17" s="1456" t="s">
        <v>2644</v>
      </c>
      <c r="C17" s="1456" t="s">
        <v>3677</v>
      </c>
      <c r="D17" s="1461" t="s">
        <v>4867</v>
      </c>
      <c r="E17" s="611">
        <v>1231.6500000000001</v>
      </c>
      <c r="F17" s="731">
        <v>0</v>
      </c>
      <c r="G17" s="611">
        <v>1231.6500000000001</v>
      </c>
      <c r="H17" s="1456">
        <v>45086</v>
      </c>
      <c r="I17" s="1952"/>
      <c r="J17" s="1919"/>
      <c r="K17" s="1962"/>
      <c r="L17" s="226"/>
    </row>
    <row r="18" spans="1:12" ht="15">
      <c r="A18" s="1456">
        <v>45056</v>
      </c>
      <c r="B18" s="1456" t="s">
        <v>2644</v>
      </c>
      <c r="C18" s="1456" t="s">
        <v>3677</v>
      </c>
      <c r="D18" s="1461" t="s">
        <v>4965</v>
      </c>
      <c r="E18" s="611">
        <v>-238.5</v>
      </c>
      <c r="F18" s="731">
        <v>0</v>
      </c>
      <c r="G18" s="611">
        <v>-238.5</v>
      </c>
      <c r="H18" s="1456"/>
      <c r="I18" s="1953"/>
      <c r="J18" s="1920"/>
      <c r="K18" s="1957"/>
      <c r="L18" s="226"/>
    </row>
    <row r="19" spans="1:12" ht="28.5">
      <c r="A19" s="1549">
        <v>45065</v>
      </c>
      <c r="B19" s="1549" t="s">
        <v>2644</v>
      </c>
      <c r="C19" s="1549" t="s">
        <v>3677</v>
      </c>
      <c r="D19" s="1551" t="s">
        <v>5081</v>
      </c>
      <c r="E19" s="611">
        <v>-610.5</v>
      </c>
      <c r="F19" s="731">
        <v>0</v>
      </c>
      <c r="G19" s="611">
        <v>-610.5</v>
      </c>
      <c r="H19" s="1549"/>
      <c r="I19" s="611">
        <v>-610.5</v>
      </c>
      <c r="J19" s="1456">
        <v>45082</v>
      </c>
      <c r="K19" s="1460" t="s">
        <v>5348</v>
      </c>
      <c r="L19" s="226"/>
    </row>
    <row r="20" spans="1:12" ht="15">
      <c r="A20" s="1549">
        <v>45056</v>
      </c>
      <c r="B20" s="1549" t="s">
        <v>2644</v>
      </c>
      <c r="C20" s="1549" t="s">
        <v>3677</v>
      </c>
      <c r="D20" s="1551" t="s">
        <v>4964</v>
      </c>
      <c r="E20" s="611">
        <v>2988.15</v>
      </c>
      <c r="F20" s="731">
        <v>0</v>
      </c>
      <c r="G20" s="611">
        <v>2988.15</v>
      </c>
      <c r="H20" s="1549">
        <v>45057</v>
      </c>
      <c r="I20" s="1951">
        <v>4881.75</v>
      </c>
      <c r="J20" s="1918">
        <v>45124</v>
      </c>
      <c r="K20" s="1956" t="s">
        <v>6136</v>
      </c>
      <c r="L20" s="226"/>
    </row>
    <row r="21" spans="1:12" ht="15">
      <c r="A21" s="1549">
        <v>45063</v>
      </c>
      <c r="B21" s="1549" t="s">
        <v>2644</v>
      </c>
      <c r="C21" s="1549" t="s">
        <v>3677</v>
      </c>
      <c r="D21" s="1551" t="s">
        <v>5079</v>
      </c>
      <c r="E21" s="611">
        <v>264</v>
      </c>
      <c r="F21" s="731">
        <v>0</v>
      </c>
      <c r="G21" s="611">
        <v>264</v>
      </c>
      <c r="H21" s="1549">
        <v>45108</v>
      </c>
      <c r="I21" s="1952"/>
      <c r="J21" s="1919"/>
      <c r="K21" s="1962"/>
      <c r="L21" s="226"/>
    </row>
    <row r="22" spans="1:12" ht="15">
      <c r="A22" s="1549">
        <v>45064</v>
      </c>
      <c r="B22" s="1549" t="s">
        <v>2644</v>
      </c>
      <c r="C22" s="1549" t="s">
        <v>3677</v>
      </c>
      <c r="D22" s="1551" t="s">
        <v>5080</v>
      </c>
      <c r="E22" s="611">
        <v>399.6</v>
      </c>
      <c r="F22" s="731">
        <v>0</v>
      </c>
      <c r="G22" s="611">
        <v>399.6</v>
      </c>
      <c r="H22" s="1549">
        <v>45109</v>
      </c>
      <c r="I22" s="1952"/>
      <c r="J22" s="1919"/>
      <c r="K22" s="1962"/>
      <c r="L22" s="226"/>
    </row>
    <row r="23" spans="1:12" ht="15">
      <c r="A23" s="1549">
        <v>45070</v>
      </c>
      <c r="B23" s="1549" t="s">
        <v>2644</v>
      </c>
      <c r="C23" s="1549" t="s">
        <v>3677</v>
      </c>
      <c r="D23" s="1551" t="s">
        <v>5191</v>
      </c>
      <c r="E23" s="611">
        <v>1230</v>
      </c>
      <c r="F23" s="731">
        <v>0</v>
      </c>
      <c r="G23" s="611">
        <v>1230</v>
      </c>
      <c r="H23" s="1549">
        <v>45115</v>
      </c>
      <c r="I23" s="1953"/>
      <c r="J23" s="1920"/>
      <c r="K23" s="1957"/>
      <c r="L23" s="226"/>
    </row>
    <row r="24" spans="1:12" ht="15">
      <c r="A24" s="1718">
        <v>45083</v>
      </c>
      <c r="B24" s="1718" t="s">
        <v>2644</v>
      </c>
      <c r="C24" s="1718" t="s">
        <v>3677</v>
      </c>
      <c r="D24" s="1720" t="s">
        <v>5306</v>
      </c>
      <c r="E24" s="611">
        <v>4270.3900000000003</v>
      </c>
      <c r="F24" s="731">
        <v>0</v>
      </c>
      <c r="G24" s="611">
        <v>4270.3900000000003</v>
      </c>
      <c r="H24" s="1718">
        <v>45128</v>
      </c>
      <c r="I24" s="1951">
        <v>11896.05</v>
      </c>
      <c r="J24" s="1903">
        <v>45159</v>
      </c>
      <c r="K24" s="1938" t="s">
        <v>6135</v>
      </c>
      <c r="L24" s="226"/>
    </row>
    <row r="25" spans="1:12" ht="15">
      <c r="A25" s="1718">
        <v>45099</v>
      </c>
      <c r="B25" s="1718" t="s">
        <v>2644</v>
      </c>
      <c r="C25" s="1718" t="s">
        <v>3677</v>
      </c>
      <c r="D25" s="1720" t="s">
        <v>5401</v>
      </c>
      <c r="E25" s="611">
        <v>3637.2</v>
      </c>
      <c r="F25" s="731">
        <v>0</v>
      </c>
      <c r="G25" s="611">
        <v>3637.2</v>
      </c>
      <c r="H25" s="1718">
        <v>45159</v>
      </c>
      <c r="I25" s="1952"/>
      <c r="J25" s="1904"/>
      <c r="K25" s="1950"/>
      <c r="L25" s="226"/>
    </row>
    <row r="26" spans="1:12" ht="15">
      <c r="A26" s="1718">
        <v>45112</v>
      </c>
      <c r="B26" s="1718" t="s">
        <v>2644</v>
      </c>
      <c r="C26" s="1718" t="s">
        <v>3677</v>
      </c>
      <c r="D26" s="1720" t="s">
        <v>5538</v>
      </c>
      <c r="E26" s="611">
        <v>4072.61</v>
      </c>
      <c r="F26" s="731">
        <v>0</v>
      </c>
      <c r="G26" s="611">
        <v>4072.61</v>
      </c>
      <c r="H26" s="1718">
        <v>45157</v>
      </c>
      <c r="I26" s="1952"/>
      <c r="J26" s="1904"/>
      <c r="K26" s="1950"/>
      <c r="L26" s="226"/>
    </row>
    <row r="27" spans="1:12" ht="15">
      <c r="A27" s="1718">
        <v>45114</v>
      </c>
      <c r="B27" s="1718" t="s">
        <v>2644</v>
      </c>
      <c r="C27" s="1718" t="s">
        <v>3677</v>
      </c>
      <c r="D27" s="1720" t="s">
        <v>5539</v>
      </c>
      <c r="E27" s="611">
        <v>-84.15</v>
      </c>
      <c r="F27" s="731">
        <v>0</v>
      </c>
      <c r="G27" s="611">
        <v>-84.15</v>
      </c>
      <c r="H27" s="1718">
        <v>45115</v>
      </c>
      <c r="I27" s="1953"/>
      <c r="J27" s="1905"/>
      <c r="K27" s="1947"/>
      <c r="L27" s="226" t="s">
        <v>5540</v>
      </c>
    </row>
    <row r="28" spans="1:12" ht="15">
      <c r="A28" s="1718">
        <v>45125</v>
      </c>
      <c r="B28" s="1718" t="s">
        <v>2644</v>
      </c>
      <c r="C28" s="1718" t="s">
        <v>3677</v>
      </c>
      <c r="D28" s="1720" t="s">
        <v>5620</v>
      </c>
      <c r="E28" s="611">
        <v>499.2</v>
      </c>
      <c r="F28" s="731">
        <v>0</v>
      </c>
      <c r="G28" s="611">
        <v>499.2</v>
      </c>
      <c r="H28" s="1718">
        <v>45170</v>
      </c>
      <c r="I28" s="1951">
        <v>6983.4</v>
      </c>
      <c r="J28" s="1903">
        <v>45187</v>
      </c>
      <c r="K28" s="1938" t="s">
        <v>6137</v>
      </c>
      <c r="L28" s="226"/>
    </row>
    <row r="29" spans="1:12" ht="15">
      <c r="A29" s="1856">
        <v>45127</v>
      </c>
      <c r="B29" s="1856" t="s">
        <v>2644</v>
      </c>
      <c r="C29" s="1856" t="s">
        <v>3677</v>
      </c>
      <c r="D29" s="1858" t="s">
        <v>5621</v>
      </c>
      <c r="E29" s="611">
        <v>2626.35</v>
      </c>
      <c r="F29" s="731">
        <v>0</v>
      </c>
      <c r="G29" s="611">
        <v>2626.35</v>
      </c>
      <c r="H29" s="1718">
        <v>45172</v>
      </c>
      <c r="I29" s="1952"/>
      <c r="J29" s="1904"/>
      <c r="K29" s="1950"/>
      <c r="L29" s="226"/>
    </row>
    <row r="30" spans="1:12" ht="15">
      <c r="A30" s="1856">
        <v>45141</v>
      </c>
      <c r="B30" s="1856" t="s">
        <v>2644</v>
      </c>
      <c r="C30" s="1856" t="s">
        <v>3677</v>
      </c>
      <c r="D30" s="1858" t="s">
        <v>5731</v>
      </c>
      <c r="E30" s="611">
        <v>3857.85</v>
      </c>
      <c r="F30" s="731">
        <v>0</v>
      </c>
      <c r="G30" s="611">
        <v>3857.85</v>
      </c>
      <c r="H30" s="1718">
        <v>45186</v>
      </c>
      <c r="I30" s="1953"/>
      <c r="J30" s="1905"/>
      <c r="K30" s="1947"/>
      <c r="L30" s="226"/>
    </row>
    <row r="31" spans="1:12" ht="15">
      <c r="A31" s="1856">
        <v>45163</v>
      </c>
      <c r="B31" s="1856" t="s">
        <v>2644</v>
      </c>
      <c r="C31" s="1856" t="s">
        <v>3677</v>
      </c>
      <c r="D31" s="1858" t="s">
        <v>5905</v>
      </c>
      <c r="E31" s="611">
        <v>2380.5</v>
      </c>
      <c r="F31" s="731">
        <v>0</v>
      </c>
      <c r="G31" s="611">
        <v>2380.5</v>
      </c>
      <c r="H31" s="1856">
        <v>45208</v>
      </c>
      <c r="I31" s="1958">
        <v>10322.629999999999</v>
      </c>
      <c r="J31" s="1918">
        <v>45244</v>
      </c>
      <c r="K31" s="1968" t="s">
        <v>6614</v>
      </c>
      <c r="L31" s="226"/>
    </row>
    <row r="32" spans="1:12" ht="15">
      <c r="A32" s="1856">
        <v>45181</v>
      </c>
      <c r="B32" s="1856" t="s">
        <v>2644</v>
      </c>
      <c r="C32" s="1856" t="s">
        <v>3677</v>
      </c>
      <c r="D32" s="1858" t="s">
        <v>6030</v>
      </c>
      <c r="E32" s="611">
        <v>3046.73</v>
      </c>
      <c r="F32" s="731">
        <v>0</v>
      </c>
      <c r="G32" s="611">
        <v>3046.73</v>
      </c>
      <c r="H32" s="1856">
        <v>45226.000497685185</v>
      </c>
      <c r="I32" s="1966"/>
      <c r="J32" s="1919"/>
      <c r="K32" s="1962"/>
      <c r="L32" s="226"/>
    </row>
    <row r="33" spans="1:12" ht="15">
      <c r="A33" s="1941">
        <v>45210</v>
      </c>
      <c r="B33" s="1941" t="s">
        <v>2644</v>
      </c>
      <c r="C33" s="1941" t="s">
        <v>3677</v>
      </c>
      <c r="D33" s="1954" t="s">
        <v>6305</v>
      </c>
      <c r="E33" s="2186">
        <v>5029.5</v>
      </c>
      <c r="F33" s="2184">
        <v>0</v>
      </c>
      <c r="G33" s="611">
        <v>4895.3999999999996</v>
      </c>
      <c r="H33" s="1856">
        <v>45269</v>
      </c>
      <c r="I33" s="1959"/>
      <c r="J33" s="1920"/>
      <c r="K33" s="1957"/>
      <c r="L33" s="226"/>
    </row>
    <row r="34" spans="1:12" ht="15">
      <c r="A34" s="1942"/>
      <c r="B34" s="1942"/>
      <c r="C34" s="1942"/>
      <c r="D34" s="1955"/>
      <c r="E34" s="2187"/>
      <c r="F34" s="2185"/>
      <c r="G34" s="605">
        <f>5029.5-4895.4</f>
        <v>134.10000000000036</v>
      </c>
      <c r="H34" s="623">
        <v>45269</v>
      </c>
      <c r="I34" s="639"/>
      <c r="J34" s="1850"/>
      <c r="K34" s="1845"/>
      <c r="L34" s="226"/>
    </row>
    <row r="35" spans="1:12" ht="15">
      <c r="A35" s="623">
        <v>45189</v>
      </c>
      <c r="B35" s="623" t="s">
        <v>2644</v>
      </c>
      <c r="C35" s="623" t="s">
        <v>3677</v>
      </c>
      <c r="D35" s="624" t="s">
        <v>6086</v>
      </c>
      <c r="E35" s="605">
        <v>-274.5</v>
      </c>
      <c r="F35" s="732">
        <v>0</v>
      </c>
      <c r="G35" s="605">
        <v>-274.5</v>
      </c>
      <c r="H35" s="623"/>
      <c r="I35" s="639"/>
      <c r="J35" s="1578"/>
      <c r="K35" s="1577"/>
      <c r="L35" s="226"/>
    </row>
    <row r="36" spans="1:12" ht="15">
      <c r="A36" s="623">
        <v>45197</v>
      </c>
      <c r="B36" s="623" t="s">
        <v>2644</v>
      </c>
      <c r="C36" s="623" t="s">
        <v>3677</v>
      </c>
      <c r="D36" s="624" t="s">
        <v>6153</v>
      </c>
      <c r="E36" s="605">
        <v>3284.29</v>
      </c>
      <c r="F36" s="732">
        <v>0</v>
      </c>
      <c r="G36" s="605">
        <v>3284.29</v>
      </c>
      <c r="H36" s="623">
        <v>45241</v>
      </c>
      <c r="I36" s="639"/>
      <c r="J36" s="1578"/>
      <c r="K36" s="1577"/>
      <c r="L36" s="226"/>
    </row>
    <row r="37" spans="1:12" ht="15">
      <c r="A37" s="623">
        <v>45210</v>
      </c>
      <c r="B37" s="623" t="s">
        <v>2644</v>
      </c>
      <c r="C37" s="623" t="s">
        <v>3677</v>
      </c>
      <c r="D37" s="624" t="s">
        <v>6306</v>
      </c>
      <c r="E37" s="605">
        <v>702</v>
      </c>
      <c r="F37" s="732">
        <v>0</v>
      </c>
      <c r="G37" s="605">
        <v>702</v>
      </c>
      <c r="H37" s="623">
        <v>45269</v>
      </c>
      <c r="I37" s="639"/>
      <c r="J37" s="1374"/>
      <c r="K37" s="1373"/>
      <c r="L37" s="226"/>
    </row>
    <row r="38" spans="1:12" ht="15">
      <c r="A38" s="623">
        <v>45210</v>
      </c>
      <c r="B38" s="623" t="s">
        <v>2644</v>
      </c>
      <c r="C38" s="623" t="s">
        <v>3677</v>
      </c>
      <c r="D38" s="624" t="s">
        <v>6307</v>
      </c>
      <c r="E38" s="605">
        <v>484.65</v>
      </c>
      <c r="F38" s="732">
        <v>0</v>
      </c>
      <c r="G38" s="605">
        <v>484.65</v>
      </c>
      <c r="H38" s="623">
        <v>45269</v>
      </c>
      <c r="I38" s="639"/>
      <c r="J38" s="1289"/>
      <c r="K38" s="1288"/>
      <c r="L38" s="226"/>
    </row>
    <row r="39" spans="1:12" ht="15">
      <c r="A39" s="623">
        <v>45224</v>
      </c>
      <c r="B39" s="623" t="s">
        <v>2644</v>
      </c>
      <c r="C39" s="623" t="s">
        <v>3677</v>
      </c>
      <c r="D39" s="624" t="s">
        <v>6398</v>
      </c>
      <c r="E39" s="605">
        <v>3134.55</v>
      </c>
      <c r="F39" s="732">
        <v>0</v>
      </c>
      <c r="G39" s="605">
        <v>3134.55</v>
      </c>
      <c r="H39" s="623">
        <v>45268</v>
      </c>
      <c r="I39" s="639"/>
      <c r="J39" s="1765"/>
      <c r="K39" s="1763"/>
      <c r="L39" s="226"/>
    </row>
    <row r="40" spans="1:12" ht="15">
      <c r="A40" s="623">
        <v>45243</v>
      </c>
      <c r="B40" s="623" t="s">
        <v>2644</v>
      </c>
      <c r="C40" s="623" t="s">
        <v>3677</v>
      </c>
      <c r="D40" s="624" t="s">
        <v>6560</v>
      </c>
      <c r="E40" s="605">
        <v>-482.4</v>
      </c>
      <c r="F40" s="732">
        <v>0</v>
      </c>
      <c r="G40" s="605">
        <v>-482.4</v>
      </c>
      <c r="H40" s="623"/>
      <c r="I40" s="639"/>
      <c r="J40" s="1765"/>
      <c r="K40" s="1763"/>
      <c r="L40" s="226"/>
    </row>
    <row r="41" spans="1:12" ht="15">
      <c r="A41" s="623">
        <v>45243</v>
      </c>
      <c r="B41" s="623" t="s">
        <v>2644</v>
      </c>
      <c r="C41" s="623" t="s">
        <v>3677</v>
      </c>
      <c r="D41" s="624" t="s">
        <v>6561</v>
      </c>
      <c r="E41" s="605">
        <v>3567.87</v>
      </c>
      <c r="F41" s="732">
        <v>0</v>
      </c>
      <c r="G41" s="605">
        <v>3567.87</v>
      </c>
      <c r="H41" s="623">
        <v>45288</v>
      </c>
      <c r="I41" s="639"/>
      <c r="J41" s="1765"/>
      <c r="K41" s="1763"/>
      <c r="L41" s="226"/>
    </row>
    <row r="42" spans="1:12" ht="15">
      <c r="A42" s="623"/>
      <c r="B42" s="623"/>
      <c r="C42" s="623"/>
      <c r="D42" s="624"/>
      <c r="E42" s="605"/>
      <c r="F42" s="732"/>
      <c r="G42" s="605"/>
      <c r="H42" s="623"/>
      <c r="I42" s="639"/>
      <c r="J42" s="1765"/>
      <c r="K42" s="1763"/>
      <c r="L42" s="226"/>
    </row>
    <row r="43" spans="1:12" ht="15">
      <c r="A43" s="623"/>
      <c r="B43" s="623"/>
      <c r="C43" s="623"/>
      <c r="D43" s="624"/>
      <c r="E43" s="605"/>
      <c r="F43" s="732"/>
      <c r="G43" s="605"/>
      <c r="H43" s="623"/>
      <c r="I43" s="639"/>
      <c r="J43" s="1765"/>
      <c r="K43" s="1763"/>
      <c r="L43" s="226"/>
    </row>
    <row r="44" spans="1:12" ht="15">
      <c r="A44" s="623"/>
      <c r="B44" s="623"/>
      <c r="C44" s="623"/>
      <c r="D44" s="624"/>
      <c r="E44" s="605"/>
      <c r="F44" s="732"/>
      <c r="G44" s="605"/>
      <c r="H44" s="623"/>
      <c r="I44" s="639"/>
      <c r="J44" s="1765"/>
      <c r="K44" s="1763"/>
      <c r="L44" s="226"/>
    </row>
    <row r="45" spans="1:12" ht="15">
      <c r="A45" s="623"/>
      <c r="B45" s="623"/>
      <c r="C45" s="623"/>
      <c r="D45" s="624"/>
      <c r="E45" s="605"/>
      <c r="F45" s="732"/>
      <c r="G45" s="605"/>
      <c r="H45" s="623"/>
      <c r="I45" s="639"/>
      <c r="J45" s="1289"/>
      <c r="K45" s="1288"/>
      <c r="L45" s="226"/>
    </row>
    <row r="46" spans="1:12" ht="15">
      <c r="A46" s="976"/>
      <c r="B46" s="1124"/>
      <c r="C46" s="1124"/>
      <c r="D46" s="977"/>
      <c r="E46" s="605"/>
      <c r="F46" s="732"/>
      <c r="G46" s="639"/>
      <c r="H46" s="976"/>
      <c r="I46" s="639"/>
      <c r="J46" s="976"/>
      <c r="K46" s="1111"/>
      <c r="L46" s="226"/>
    </row>
    <row r="47" spans="1:12" ht="15">
      <c r="A47" s="976"/>
      <c r="B47" s="1124"/>
      <c r="C47" s="1124"/>
      <c r="D47" s="977"/>
      <c r="E47" s="605"/>
      <c r="F47" s="732"/>
      <c r="G47" s="639"/>
      <c r="H47" s="976"/>
      <c r="I47" s="639"/>
      <c r="J47" s="976"/>
      <c r="K47" s="1111"/>
      <c r="L47" s="226"/>
    </row>
    <row r="48" spans="1:12" ht="15">
      <c r="A48" s="977"/>
      <c r="B48" s="1125"/>
      <c r="C48" s="1125"/>
      <c r="D48" s="619"/>
      <c r="E48" s="619"/>
      <c r="F48" s="1144" t="s">
        <v>545</v>
      </c>
      <c r="G48" s="651">
        <f>SUM(G2:G47)-SUM(I2:I47)</f>
        <v>10550.559999999998</v>
      </c>
      <c r="H48" s="634"/>
      <c r="I48" s="639"/>
      <c r="J48" s="976"/>
      <c r="K48" s="1111"/>
      <c r="L48" s="226"/>
    </row>
  </sheetData>
  <mergeCells count="33">
    <mergeCell ref="A33:A34"/>
    <mergeCell ref="K31:K33"/>
    <mergeCell ref="J31:J33"/>
    <mergeCell ref="I31:I33"/>
    <mergeCell ref="F33:F34"/>
    <mergeCell ref="E33:E34"/>
    <mergeCell ref="D33:D34"/>
    <mergeCell ref="C33:C34"/>
    <mergeCell ref="B33:B34"/>
    <mergeCell ref="K28:K30"/>
    <mergeCell ref="J28:J30"/>
    <mergeCell ref="I28:I30"/>
    <mergeCell ref="K24:K27"/>
    <mergeCell ref="J24:J27"/>
    <mergeCell ref="I24:I27"/>
    <mergeCell ref="K20:K23"/>
    <mergeCell ref="J20:J23"/>
    <mergeCell ref="I20:I23"/>
    <mergeCell ref="K14:K18"/>
    <mergeCell ref="J14:J18"/>
    <mergeCell ref="I14:I18"/>
    <mergeCell ref="D2:D3"/>
    <mergeCell ref="A2:A3"/>
    <mergeCell ref="K3:K6"/>
    <mergeCell ref="J3:J6"/>
    <mergeCell ref="I3:I6"/>
    <mergeCell ref="C2:C3"/>
    <mergeCell ref="B2:B3"/>
    <mergeCell ref="I9:I13"/>
    <mergeCell ref="K9:K13"/>
    <mergeCell ref="J9:J13"/>
    <mergeCell ref="F2:F3"/>
    <mergeCell ref="E2:E3"/>
  </mergeCells>
  <phoneticPr fontId="15" type="noConversion"/>
  <hyperlinks>
    <hyperlink ref="F48" location="汇总!A1" display="剩余欠款"/>
  </hyperlinks>
  <pageMargins left="0.7" right="0.7" top="0.75" bottom="0.75" header="0.3" footer="0.3"/>
  <pageSetup paperSize="9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/>
  <dimension ref="A1:N47"/>
  <sheetViews>
    <sheetView workbookViewId="0">
      <pane ySplit="1" topLeftCell="A14" activePane="bottomLeft" state="frozen"/>
      <selection pane="bottomLeft" activeCell="F42" sqref="F42"/>
    </sheetView>
  </sheetViews>
  <sheetFormatPr defaultColWidth="8.75" defaultRowHeight="14.25"/>
  <cols>
    <col min="1" max="1" width="13" style="168" customWidth="1"/>
    <col min="2" max="2" width="9" style="168" bestFit="1" customWidth="1"/>
    <col min="3" max="3" width="19.375" style="168" bestFit="1" customWidth="1"/>
    <col min="4" max="5" width="15" style="168" customWidth="1"/>
    <col min="6" max="6" width="13.375" style="527" customWidth="1"/>
    <col min="7" max="7" width="11.375" style="168" bestFit="1" customWidth="1"/>
    <col min="8" max="8" width="16.625" style="168" bestFit="1" customWidth="1"/>
    <col min="9" max="9" width="12.875" style="168" customWidth="1"/>
    <col min="10" max="10" width="11.625" style="168" bestFit="1" customWidth="1"/>
    <col min="11" max="11" width="11.375" style="168" bestFit="1" customWidth="1"/>
    <col min="12" max="12" width="25" style="168" bestFit="1" customWidth="1"/>
    <col min="13" max="13" width="13.875" style="168" bestFit="1" customWidth="1"/>
    <col min="14" max="16384" width="8.75" style="168"/>
  </cols>
  <sheetData>
    <row r="1" spans="1:14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7" t="s">
        <v>542</v>
      </c>
    </row>
    <row r="2" spans="1:14" ht="15">
      <c r="A2" s="1015">
        <v>44914</v>
      </c>
      <c r="B2" s="1124" t="s">
        <v>2518</v>
      </c>
      <c r="C2" s="1124" t="s">
        <v>4105</v>
      </c>
      <c r="D2" s="1016" t="s">
        <v>3799</v>
      </c>
      <c r="E2" s="611">
        <v>1232.73</v>
      </c>
      <c r="F2" s="731">
        <v>258.87</v>
      </c>
      <c r="G2" s="611">
        <v>1491.6</v>
      </c>
      <c r="H2" s="1015">
        <v>44915</v>
      </c>
      <c r="I2" s="611">
        <v>1491.6</v>
      </c>
      <c r="J2" s="1015">
        <v>44925</v>
      </c>
      <c r="K2" s="1013" t="s">
        <v>3845</v>
      </c>
      <c r="L2" s="166"/>
      <c r="M2"/>
      <c r="N2"/>
    </row>
    <row r="3" spans="1:14" ht="15">
      <c r="A3" s="1031">
        <v>44923</v>
      </c>
      <c r="B3" s="1124" t="s">
        <v>2518</v>
      </c>
      <c r="C3" s="1124" t="s">
        <v>4105</v>
      </c>
      <c r="D3" s="1036" t="s">
        <v>3827</v>
      </c>
      <c r="E3" s="611">
        <v>231.27</v>
      </c>
      <c r="F3" s="731">
        <v>48.57</v>
      </c>
      <c r="G3" s="611">
        <v>279.83999999999997</v>
      </c>
      <c r="H3" s="1031">
        <v>44924</v>
      </c>
      <c r="I3" s="611">
        <v>279.83999999999997</v>
      </c>
      <c r="J3" s="1031">
        <v>44937</v>
      </c>
      <c r="K3" s="1029" t="s">
        <v>1817</v>
      </c>
      <c r="L3" s="226"/>
      <c r="M3"/>
      <c r="N3"/>
    </row>
    <row r="4" spans="1:14" ht="15">
      <c r="A4" s="1089">
        <v>44939</v>
      </c>
      <c r="B4" s="1124" t="s">
        <v>2518</v>
      </c>
      <c r="C4" s="1124" t="s">
        <v>4105</v>
      </c>
      <c r="D4" s="1090" t="s">
        <v>3921</v>
      </c>
      <c r="E4" s="611">
        <v>580.33000000000004</v>
      </c>
      <c r="F4" s="731">
        <v>121.87</v>
      </c>
      <c r="G4" s="611">
        <v>702.2</v>
      </c>
      <c r="H4" s="1089">
        <v>44999</v>
      </c>
      <c r="I4" s="1951">
        <v>1094.32</v>
      </c>
      <c r="J4" s="1918">
        <v>44951</v>
      </c>
      <c r="K4" s="1968" t="s">
        <v>4010</v>
      </c>
      <c r="L4" s="226"/>
      <c r="M4"/>
      <c r="N4"/>
    </row>
    <row r="5" spans="1:14" ht="15">
      <c r="A5" s="1089">
        <v>44942</v>
      </c>
      <c r="B5" s="1124" t="s">
        <v>2518</v>
      </c>
      <c r="C5" s="1124" t="s">
        <v>4105</v>
      </c>
      <c r="D5" s="1090" t="s">
        <v>3990</v>
      </c>
      <c r="E5" s="611">
        <v>315.37</v>
      </c>
      <c r="F5" s="731">
        <v>66.23</v>
      </c>
      <c r="G5" s="611">
        <v>381.6</v>
      </c>
      <c r="H5" s="1089">
        <v>45002</v>
      </c>
      <c r="I5" s="1952"/>
      <c r="J5" s="1919"/>
      <c r="K5" s="1962"/>
      <c r="L5" s="226"/>
    </row>
    <row r="6" spans="1:14" ht="15">
      <c r="A6" s="1089">
        <v>44944</v>
      </c>
      <c r="B6" s="1124" t="s">
        <v>2518</v>
      </c>
      <c r="C6" s="1124" t="s">
        <v>4105</v>
      </c>
      <c r="D6" s="1090" t="s">
        <v>3991</v>
      </c>
      <c r="E6" s="611">
        <v>8.69</v>
      </c>
      <c r="F6" s="731">
        <v>1.83</v>
      </c>
      <c r="G6" s="611">
        <v>10.52</v>
      </c>
      <c r="H6" s="1089">
        <v>44945</v>
      </c>
      <c r="I6" s="1953"/>
      <c r="J6" s="1920"/>
      <c r="K6" s="1957"/>
      <c r="L6" s="226"/>
    </row>
    <row r="7" spans="1:14" ht="15">
      <c r="A7" s="1364">
        <v>44963.000497685185</v>
      </c>
      <c r="B7" s="1364" t="s">
        <v>2518</v>
      </c>
      <c r="C7" s="1364" t="s">
        <v>4105</v>
      </c>
      <c r="D7" s="1365" t="s">
        <v>4085</v>
      </c>
      <c r="E7" s="611">
        <v>751.74</v>
      </c>
      <c r="F7" s="731">
        <v>157.86000000000001</v>
      </c>
      <c r="G7" s="611">
        <v>909.6</v>
      </c>
      <c r="H7" s="1364">
        <v>44964.000497685185</v>
      </c>
      <c r="I7" s="639">
        <v>909.6</v>
      </c>
      <c r="J7" s="996">
        <v>44972</v>
      </c>
      <c r="K7" s="1146" t="s">
        <v>4198</v>
      </c>
      <c r="L7" s="226"/>
    </row>
    <row r="8" spans="1:14" ht="15">
      <c r="A8" s="1364">
        <v>44972</v>
      </c>
      <c r="B8" s="1364" t="s">
        <v>2518</v>
      </c>
      <c r="C8" s="1364" t="s">
        <v>4105</v>
      </c>
      <c r="D8" s="1365" t="s">
        <v>4187</v>
      </c>
      <c r="E8" s="611">
        <v>437.16</v>
      </c>
      <c r="F8" s="731">
        <v>91.8</v>
      </c>
      <c r="G8" s="611">
        <v>528.96</v>
      </c>
      <c r="H8" s="1364">
        <v>45032</v>
      </c>
      <c r="I8" s="1951">
        <v>1213.1199999999999</v>
      </c>
      <c r="J8" s="1903">
        <v>45002</v>
      </c>
      <c r="K8" s="1935" t="s">
        <v>2272</v>
      </c>
      <c r="L8" s="226"/>
    </row>
    <row r="9" spans="1:14" ht="15">
      <c r="A9" s="1364">
        <v>44985</v>
      </c>
      <c r="B9" s="1364" t="s">
        <v>2518</v>
      </c>
      <c r="C9" s="1364" t="s">
        <v>4105</v>
      </c>
      <c r="D9" s="1365" t="s">
        <v>4380</v>
      </c>
      <c r="E9" s="611">
        <v>565.41999999999996</v>
      </c>
      <c r="F9" s="731">
        <v>118.74</v>
      </c>
      <c r="G9" s="611">
        <v>684.16</v>
      </c>
      <c r="H9" s="1364">
        <v>45045</v>
      </c>
      <c r="I9" s="1953"/>
      <c r="J9" s="1905"/>
      <c r="K9" s="1947"/>
      <c r="L9" s="226"/>
    </row>
    <row r="10" spans="1:14" ht="15">
      <c r="A10" s="1903">
        <v>44987</v>
      </c>
      <c r="B10" s="1903" t="s">
        <v>2518</v>
      </c>
      <c r="C10" s="1903" t="s">
        <v>4105</v>
      </c>
      <c r="D10" s="1909" t="s">
        <v>4941</v>
      </c>
      <c r="E10" s="1951">
        <v>5076.96</v>
      </c>
      <c r="F10" s="1933">
        <v>0</v>
      </c>
      <c r="G10" s="611">
        <v>2371</v>
      </c>
      <c r="H10" s="1364">
        <v>44988</v>
      </c>
      <c r="I10" s="639">
        <v>2371</v>
      </c>
      <c r="J10" s="996">
        <v>45049</v>
      </c>
      <c r="K10" s="1146" t="s">
        <v>544</v>
      </c>
      <c r="L10" s="226"/>
    </row>
    <row r="11" spans="1:14" ht="15">
      <c r="A11" s="1904"/>
      <c r="B11" s="1904"/>
      <c r="C11" s="1904"/>
      <c r="D11" s="1910"/>
      <c r="E11" s="1952"/>
      <c r="F11" s="2134"/>
      <c r="G11" s="611">
        <f>5076.96-2388.96-2371</f>
        <v>317</v>
      </c>
      <c r="H11" s="1364">
        <v>44988</v>
      </c>
      <c r="I11" s="1372">
        <v>317</v>
      </c>
      <c r="J11" s="1360">
        <v>45053</v>
      </c>
      <c r="K11" s="1361" t="s">
        <v>4942</v>
      </c>
      <c r="L11" s="226"/>
    </row>
    <row r="12" spans="1:14" ht="15">
      <c r="A12" s="1905"/>
      <c r="B12" s="1905"/>
      <c r="C12" s="1905"/>
      <c r="D12" s="1911"/>
      <c r="E12" s="1953"/>
      <c r="F12" s="1934"/>
      <c r="G12" s="611">
        <v>2388.96</v>
      </c>
      <c r="H12" s="1364">
        <v>44988</v>
      </c>
      <c r="I12" s="1951">
        <v>2370</v>
      </c>
      <c r="J12" s="1903">
        <v>45013</v>
      </c>
      <c r="K12" s="1938" t="s">
        <v>4658</v>
      </c>
      <c r="L12" s="226"/>
    </row>
    <row r="13" spans="1:14" ht="15">
      <c r="A13" s="1274">
        <v>44995</v>
      </c>
      <c r="B13" s="1274" t="s">
        <v>2518</v>
      </c>
      <c r="C13" s="1274" t="s">
        <v>4105</v>
      </c>
      <c r="D13" s="1276" t="s">
        <v>4456</v>
      </c>
      <c r="E13" s="611">
        <v>-18.96</v>
      </c>
      <c r="F13" s="731">
        <v>0</v>
      </c>
      <c r="G13" s="611">
        <v>-18.96</v>
      </c>
      <c r="H13" s="1274">
        <v>44995</v>
      </c>
      <c r="I13" s="1953"/>
      <c r="J13" s="1905"/>
      <c r="K13" s="1947"/>
      <c r="L13" s="226"/>
    </row>
    <row r="14" spans="1:14" ht="15">
      <c r="A14" s="1364">
        <v>45001</v>
      </c>
      <c r="B14" s="1364" t="s">
        <v>2518</v>
      </c>
      <c r="C14" s="1364" t="s">
        <v>4526</v>
      </c>
      <c r="D14" s="1365" t="s">
        <v>4514</v>
      </c>
      <c r="E14" s="611">
        <v>513.39</v>
      </c>
      <c r="F14" s="731">
        <v>107.81</v>
      </c>
      <c r="G14" s="611">
        <v>621.20000000000005</v>
      </c>
      <c r="H14" s="1364">
        <v>45061</v>
      </c>
      <c r="I14" s="639">
        <v>621.20000000000005</v>
      </c>
      <c r="J14" s="1213">
        <v>45049</v>
      </c>
      <c r="K14" s="1209" t="s">
        <v>544</v>
      </c>
      <c r="L14" s="226"/>
    </row>
    <row r="15" spans="1:14" ht="15">
      <c r="A15" s="623">
        <v>45006</v>
      </c>
      <c r="B15" s="623" t="s">
        <v>2518</v>
      </c>
      <c r="C15" s="623" t="s">
        <v>4105</v>
      </c>
      <c r="D15" s="624" t="s">
        <v>4570</v>
      </c>
      <c r="E15" s="605">
        <v>19.399999999999999</v>
      </c>
      <c r="F15" s="732">
        <v>0</v>
      </c>
      <c r="G15" s="605">
        <v>19.399999999999999</v>
      </c>
      <c r="H15" s="623">
        <v>45066</v>
      </c>
      <c r="I15" s="639"/>
      <c r="J15" s="1213"/>
      <c r="K15" s="1209"/>
      <c r="L15" s="226"/>
    </row>
    <row r="16" spans="1:14" ht="15">
      <c r="A16" s="1364">
        <v>45007</v>
      </c>
      <c r="B16" s="1364" t="s">
        <v>2518</v>
      </c>
      <c r="C16" s="1364" t="s">
        <v>4105</v>
      </c>
      <c r="D16" s="1365" t="s">
        <v>4571</v>
      </c>
      <c r="E16" s="611">
        <v>-316.13</v>
      </c>
      <c r="F16" s="731">
        <v>0</v>
      </c>
      <c r="G16" s="611">
        <v>-316.13</v>
      </c>
      <c r="H16" s="1364">
        <v>45009</v>
      </c>
      <c r="I16" s="639">
        <v>-316.13</v>
      </c>
      <c r="J16" s="1213">
        <v>45053</v>
      </c>
      <c r="K16" s="1209" t="s">
        <v>4942</v>
      </c>
      <c r="L16" s="226" t="s">
        <v>4572</v>
      </c>
    </row>
    <row r="17" spans="1:12" ht="15">
      <c r="A17" s="1364">
        <v>45014</v>
      </c>
      <c r="B17" s="1364" t="s">
        <v>2518</v>
      </c>
      <c r="C17" s="1364" t="s">
        <v>4105</v>
      </c>
      <c r="D17" s="1365" t="s">
        <v>4651</v>
      </c>
      <c r="E17" s="611">
        <v>199.67</v>
      </c>
      <c r="F17" s="731">
        <v>41.93</v>
      </c>
      <c r="G17" s="611">
        <v>241.6</v>
      </c>
      <c r="H17" s="1364">
        <v>45015</v>
      </c>
      <c r="I17" s="611">
        <v>241.6</v>
      </c>
      <c r="J17" s="1364">
        <v>45049</v>
      </c>
      <c r="K17" s="1209" t="s">
        <v>544</v>
      </c>
      <c r="L17" s="226"/>
    </row>
    <row r="18" spans="1:12" ht="15">
      <c r="A18" s="1364">
        <v>45035</v>
      </c>
      <c r="B18" s="1364" t="s">
        <v>2518</v>
      </c>
      <c r="C18" s="1364" t="s">
        <v>4105</v>
      </c>
      <c r="D18" s="1365" t="s">
        <v>4832</v>
      </c>
      <c r="E18" s="611">
        <v>228.93</v>
      </c>
      <c r="F18" s="731">
        <v>48.07</v>
      </c>
      <c r="G18" s="611">
        <v>277</v>
      </c>
      <c r="H18" s="1364">
        <v>45036</v>
      </c>
      <c r="I18" s="1951">
        <v>516</v>
      </c>
      <c r="J18" s="1903">
        <v>45049</v>
      </c>
      <c r="K18" s="1935" t="s">
        <v>4940</v>
      </c>
      <c r="L18" s="226"/>
    </row>
    <row r="19" spans="1:12" ht="15">
      <c r="A19" s="1364">
        <v>45035</v>
      </c>
      <c r="B19" s="1364" t="s">
        <v>2518</v>
      </c>
      <c r="C19" s="1364" t="s">
        <v>4105</v>
      </c>
      <c r="D19" s="1365" t="s">
        <v>4833</v>
      </c>
      <c r="E19" s="611">
        <v>197.52</v>
      </c>
      <c r="F19" s="731">
        <v>41.48</v>
      </c>
      <c r="G19" s="611">
        <v>239</v>
      </c>
      <c r="H19" s="1364">
        <v>45095</v>
      </c>
      <c r="I19" s="1953"/>
      <c r="J19" s="1905"/>
      <c r="K19" s="1947"/>
      <c r="L19" s="226"/>
    </row>
    <row r="20" spans="1:12" ht="15">
      <c r="A20" s="1484">
        <v>45063</v>
      </c>
      <c r="B20" s="1484" t="s">
        <v>2518</v>
      </c>
      <c r="C20" s="1484" t="s">
        <v>4105</v>
      </c>
      <c r="D20" s="1486" t="s">
        <v>5121</v>
      </c>
      <c r="E20" s="611">
        <v>1574.88</v>
      </c>
      <c r="F20" s="731">
        <v>330.72</v>
      </c>
      <c r="G20" s="611">
        <v>1905.6</v>
      </c>
      <c r="H20" s="1484">
        <v>45123</v>
      </c>
      <c r="I20" s="1951">
        <v>2465.6</v>
      </c>
      <c r="J20" s="1903">
        <v>45097</v>
      </c>
      <c r="K20" s="1935" t="s">
        <v>4940</v>
      </c>
      <c r="L20" s="226"/>
    </row>
    <row r="21" spans="1:12" ht="15">
      <c r="A21" s="1484">
        <v>45071</v>
      </c>
      <c r="B21" s="1484" t="s">
        <v>2518</v>
      </c>
      <c r="C21" s="1484" t="s">
        <v>4105</v>
      </c>
      <c r="D21" s="1486" t="s">
        <v>5225</v>
      </c>
      <c r="E21" s="611">
        <v>462.81</v>
      </c>
      <c r="F21" s="731">
        <v>97.19</v>
      </c>
      <c r="G21" s="611">
        <v>560</v>
      </c>
      <c r="H21" s="1484">
        <v>45131</v>
      </c>
      <c r="I21" s="1953"/>
      <c r="J21" s="1905"/>
      <c r="K21" s="1947"/>
      <c r="L21" s="226"/>
    </row>
    <row r="22" spans="1:12" ht="15">
      <c r="A22" s="1549">
        <v>45099</v>
      </c>
      <c r="B22" s="1549" t="s">
        <v>2518</v>
      </c>
      <c r="C22" s="1549" t="s">
        <v>4105</v>
      </c>
      <c r="D22" s="1551" t="s">
        <v>5446</v>
      </c>
      <c r="E22" s="611">
        <v>732.23</v>
      </c>
      <c r="F22" s="731">
        <v>153.77000000000001</v>
      </c>
      <c r="G22" s="611">
        <v>886</v>
      </c>
      <c r="H22" s="1549">
        <v>45159</v>
      </c>
      <c r="I22" s="611">
        <v>886</v>
      </c>
      <c r="J22" s="1549">
        <v>45122</v>
      </c>
      <c r="K22" s="1547" t="s">
        <v>544</v>
      </c>
      <c r="L22" s="226"/>
    </row>
    <row r="23" spans="1:12" ht="15">
      <c r="A23" s="623">
        <v>45125</v>
      </c>
      <c r="B23" s="623" t="s">
        <v>2518</v>
      </c>
      <c r="C23" s="623" t="s">
        <v>4105</v>
      </c>
      <c r="D23" s="624" t="s">
        <v>5655</v>
      </c>
      <c r="E23" s="605">
        <v>836.69</v>
      </c>
      <c r="F23" s="732">
        <v>175.71</v>
      </c>
      <c r="G23" s="605">
        <v>1012.4</v>
      </c>
      <c r="H23" s="623">
        <v>45126</v>
      </c>
      <c r="I23" s="639"/>
      <c r="J23" s="1546"/>
      <c r="K23" s="1538"/>
      <c r="L23" s="226"/>
    </row>
    <row r="24" spans="1:12" ht="15">
      <c r="A24" s="623">
        <v>45182</v>
      </c>
      <c r="B24" s="623" t="s">
        <v>2518</v>
      </c>
      <c r="C24" s="623" t="s">
        <v>4105</v>
      </c>
      <c r="D24" s="624" t="s">
        <v>6054</v>
      </c>
      <c r="E24" s="605">
        <v>207.87</v>
      </c>
      <c r="F24" s="732">
        <v>43.65</v>
      </c>
      <c r="G24" s="605">
        <v>251.52</v>
      </c>
      <c r="H24" s="623">
        <v>45241.000497685185</v>
      </c>
      <c r="I24" s="639"/>
      <c r="J24" s="1695"/>
      <c r="K24" s="1694"/>
      <c r="L24" s="226"/>
    </row>
    <row r="25" spans="1:12" ht="15">
      <c r="A25" s="623"/>
      <c r="B25" s="623"/>
      <c r="C25" s="623"/>
      <c r="D25" s="624"/>
      <c r="E25" s="605"/>
      <c r="F25" s="732"/>
      <c r="G25" s="605"/>
      <c r="H25" s="623"/>
      <c r="I25" s="639"/>
      <c r="J25" s="1695"/>
      <c r="K25" s="1694"/>
      <c r="L25" s="226"/>
    </row>
    <row r="26" spans="1:12" ht="15">
      <c r="A26" s="623"/>
      <c r="B26" s="623"/>
      <c r="C26" s="623"/>
      <c r="D26" s="624"/>
      <c r="E26" s="605"/>
      <c r="F26" s="732"/>
      <c r="G26" s="605"/>
      <c r="H26" s="623"/>
      <c r="I26" s="639"/>
      <c r="J26" s="1695"/>
      <c r="K26" s="1694"/>
      <c r="L26" s="226"/>
    </row>
    <row r="27" spans="1:12" ht="15">
      <c r="A27" s="623"/>
      <c r="B27" s="623"/>
      <c r="C27" s="623"/>
      <c r="D27" s="624"/>
      <c r="E27" s="605"/>
      <c r="F27" s="732"/>
      <c r="G27" s="605"/>
      <c r="H27" s="623"/>
      <c r="I27" s="639"/>
      <c r="J27" s="1695"/>
      <c r="K27" s="1694"/>
      <c r="L27" s="226"/>
    </row>
    <row r="28" spans="1:12" ht="15">
      <c r="A28" s="623"/>
      <c r="B28" s="623"/>
      <c r="C28" s="623"/>
      <c r="D28" s="624"/>
      <c r="E28" s="605"/>
      <c r="F28" s="732"/>
      <c r="G28" s="605"/>
      <c r="H28" s="623"/>
      <c r="I28" s="639"/>
      <c r="J28" s="1695"/>
      <c r="K28" s="1694"/>
      <c r="L28" s="226"/>
    </row>
    <row r="29" spans="1:12" ht="15">
      <c r="A29" s="623"/>
      <c r="B29" s="623"/>
      <c r="C29" s="623"/>
      <c r="D29" s="624"/>
      <c r="E29" s="605"/>
      <c r="F29" s="732"/>
      <c r="G29" s="605"/>
      <c r="H29" s="623"/>
      <c r="I29" s="639"/>
      <c r="J29" s="1695"/>
      <c r="K29" s="1694"/>
      <c r="L29" s="226"/>
    </row>
    <row r="30" spans="1:12" ht="15">
      <c r="A30" s="623"/>
      <c r="B30" s="623"/>
      <c r="C30" s="623"/>
      <c r="D30" s="624"/>
      <c r="E30" s="605"/>
      <c r="F30" s="732"/>
      <c r="G30" s="605"/>
      <c r="H30" s="623"/>
      <c r="I30" s="639"/>
      <c r="J30" s="1695"/>
      <c r="K30" s="1694"/>
      <c r="L30" s="226"/>
    </row>
    <row r="31" spans="1:12" ht="15">
      <c r="A31" s="623"/>
      <c r="B31" s="623"/>
      <c r="C31" s="623"/>
      <c r="D31" s="624"/>
      <c r="E31" s="605"/>
      <c r="F31" s="732"/>
      <c r="G31" s="605"/>
      <c r="H31" s="623"/>
      <c r="I31" s="639"/>
      <c r="J31" s="1695"/>
      <c r="K31" s="1694"/>
      <c r="L31" s="226"/>
    </row>
    <row r="32" spans="1:12" ht="15">
      <c r="A32" s="623"/>
      <c r="B32" s="623"/>
      <c r="C32" s="623"/>
      <c r="D32" s="624"/>
      <c r="E32" s="605"/>
      <c r="F32" s="732"/>
      <c r="G32" s="605"/>
      <c r="H32" s="623"/>
      <c r="I32" s="639"/>
      <c r="J32" s="1695"/>
      <c r="K32" s="1694"/>
      <c r="L32" s="226"/>
    </row>
    <row r="33" spans="1:12" ht="15">
      <c r="A33" s="623"/>
      <c r="B33" s="623"/>
      <c r="C33" s="623"/>
      <c r="D33" s="624"/>
      <c r="E33" s="605"/>
      <c r="F33" s="732"/>
      <c r="G33" s="605"/>
      <c r="H33" s="623"/>
      <c r="I33" s="639"/>
      <c r="J33" s="1695"/>
      <c r="K33" s="1694"/>
      <c r="L33" s="226"/>
    </row>
    <row r="34" spans="1:12" ht="15">
      <c r="A34" s="623"/>
      <c r="B34" s="623"/>
      <c r="C34" s="623"/>
      <c r="D34" s="624"/>
      <c r="E34" s="605"/>
      <c r="F34" s="732"/>
      <c r="G34" s="605"/>
      <c r="H34" s="623"/>
      <c r="I34" s="639"/>
      <c r="J34" s="1695"/>
      <c r="K34" s="1694"/>
      <c r="L34" s="226"/>
    </row>
    <row r="35" spans="1:12" ht="15">
      <c r="A35" s="623"/>
      <c r="B35" s="623"/>
      <c r="C35" s="623"/>
      <c r="D35" s="624"/>
      <c r="E35" s="605"/>
      <c r="F35" s="732"/>
      <c r="G35" s="605"/>
      <c r="H35" s="623"/>
      <c r="I35" s="639"/>
      <c r="J35" s="1695"/>
      <c r="K35" s="1694"/>
      <c r="L35" s="226"/>
    </row>
    <row r="36" spans="1:12" ht="15">
      <c r="A36" s="623"/>
      <c r="B36" s="623"/>
      <c r="C36" s="623"/>
      <c r="D36" s="624"/>
      <c r="E36" s="605"/>
      <c r="F36" s="732"/>
      <c r="G36" s="605"/>
      <c r="H36" s="623"/>
      <c r="I36" s="639"/>
      <c r="J36" s="1546"/>
      <c r="K36" s="1538"/>
      <c r="L36" s="226"/>
    </row>
    <row r="37" spans="1:12" ht="15">
      <c r="A37" s="623"/>
      <c r="B37" s="623"/>
      <c r="C37" s="623"/>
      <c r="D37" s="624"/>
      <c r="E37" s="605"/>
      <c r="F37" s="732"/>
      <c r="G37" s="605"/>
      <c r="H37" s="623"/>
      <c r="I37" s="639"/>
      <c r="J37" s="1546"/>
      <c r="K37" s="1538"/>
      <c r="L37" s="226"/>
    </row>
    <row r="38" spans="1:12" ht="15">
      <c r="A38" s="623"/>
      <c r="B38" s="623"/>
      <c r="C38" s="623"/>
      <c r="D38" s="624"/>
      <c r="E38" s="605"/>
      <c r="F38" s="732"/>
      <c r="G38" s="605"/>
      <c r="H38" s="623"/>
      <c r="I38" s="639"/>
      <c r="J38" s="1394"/>
      <c r="K38" s="1389"/>
      <c r="L38" s="226"/>
    </row>
    <row r="39" spans="1:12" ht="15">
      <c r="A39" s="623"/>
      <c r="B39" s="623"/>
      <c r="C39" s="623"/>
      <c r="D39" s="624"/>
      <c r="E39" s="605"/>
      <c r="F39" s="732"/>
      <c r="G39" s="605"/>
      <c r="H39" s="623"/>
      <c r="I39" s="639"/>
      <c r="J39" s="1394"/>
      <c r="K39" s="1389"/>
      <c r="L39" s="226"/>
    </row>
    <row r="40" spans="1:12" ht="15">
      <c r="A40" s="623"/>
      <c r="B40" s="623"/>
      <c r="C40" s="623"/>
      <c r="D40" s="624"/>
      <c r="E40" s="605"/>
      <c r="F40" s="732"/>
      <c r="G40" s="605"/>
      <c r="H40" s="623"/>
      <c r="I40" s="639"/>
      <c r="J40" s="1394"/>
      <c r="K40" s="1389"/>
      <c r="L40" s="226"/>
    </row>
    <row r="41" spans="1:12" ht="15">
      <c r="A41" s="623"/>
      <c r="B41" s="623"/>
      <c r="C41" s="623"/>
      <c r="D41" s="624"/>
      <c r="E41" s="605"/>
      <c r="F41" s="732"/>
      <c r="G41" s="605"/>
      <c r="H41" s="623"/>
      <c r="I41" s="639"/>
      <c r="J41" s="996"/>
      <c r="K41" s="1146"/>
      <c r="L41" s="226"/>
    </row>
    <row r="42" spans="1:12" ht="15">
      <c r="A42" s="997"/>
      <c r="B42" s="1125"/>
      <c r="C42" s="1125"/>
      <c r="D42" s="619"/>
      <c r="E42" s="619"/>
      <c r="F42" s="1144" t="s">
        <v>545</v>
      </c>
      <c r="G42" s="651">
        <f>SUM(G2:G41)-SUM(I2:I41)</f>
        <v>1283.3199999999997</v>
      </c>
      <c r="H42" s="634"/>
      <c r="I42" s="639"/>
      <c r="J42" s="996"/>
      <c r="K42" s="1146"/>
      <c r="L42" s="226"/>
    </row>
    <row r="43" spans="1:12">
      <c r="K43" s="237"/>
    </row>
    <row r="44" spans="1:12">
      <c r="K44" s="237"/>
    </row>
    <row r="45" spans="1:12">
      <c r="K45" s="237"/>
    </row>
    <row r="46" spans="1:12">
      <c r="K46" s="237"/>
    </row>
    <row r="47" spans="1:12">
      <c r="K47" s="237"/>
    </row>
  </sheetData>
  <mergeCells count="21">
    <mergeCell ref="J4:J6"/>
    <mergeCell ref="I4:I6"/>
    <mergeCell ref="K4:K6"/>
    <mergeCell ref="K8:K9"/>
    <mergeCell ref="J8:J9"/>
    <mergeCell ref="I8:I9"/>
    <mergeCell ref="A10:A12"/>
    <mergeCell ref="K12:K13"/>
    <mergeCell ref="J12:J13"/>
    <mergeCell ref="I12:I13"/>
    <mergeCell ref="F10:F12"/>
    <mergeCell ref="E10:E12"/>
    <mergeCell ref="D10:D12"/>
    <mergeCell ref="C10:C12"/>
    <mergeCell ref="B10:B12"/>
    <mergeCell ref="K20:K21"/>
    <mergeCell ref="J20:J21"/>
    <mergeCell ref="I20:I21"/>
    <mergeCell ref="K18:K19"/>
    <mergeCell ref="J18:J19"/>
    <mergeCell ref="I18:I19"/>
  </mergeCells>
  <phoneticPr fontId="15" type="noConversion"/>
  <hyperlinks>
    <hyperlink ref="F42" location="汇总!A1" display="剩余欠款"/>
  </hyperlinks>
  <pageMargins left="0.7" right="0.7" top="0.75" bottom="0.75" header="0.3" footer="0.3"/>
  <pageSetup paperSize="9"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/>
  <dimension ref="A1:N15"/>
  <sheetViews>
    <sheetView workbookViewId="0">
      <pane ySplit="1" topLeftCell="A2" activePane="bottomLeft" state="frozen"/>
      <selection pane="bottomLeft" activeCell="F15" sqref="F15"/>
    </sheetView>
  </sheetViews>
  <sheetFormatPr defaultColWidth="8.75" defaultRowHeight="14.25"/>
  <cols>
    <col min="1" max="1" width="13" style="168" customWidth="1"/>
    <col min="2" max="2" width="8.875" style="168" bestFit="1" customWidth="1"/>
    <col min="3" max="3" width="23.25" style="168" bestFit="1" customWidth="1"/>
    <col min="4" max="5" width="15" style="168" customWidth="1"/>
    <col min="6" max="6" width="13.375" style="527" customWidth="1"/>
    <col min="7" max="7" width="11.375" style="168" bestFit="1" customWidth="1"/>
    <col min="8" max="8" width="16.625" style="168" bestFit="1" customWidth="1"/>
    <col min="9" max="9" width="12.875" style="168" customWidth="1"/>
    <col min="10" max="10" width="11.625" style="168" bestFit="1" customWidth="1"/>
    <col min="11" max="11" width="18.375" style="168" bestFit="1" customWidth="1"/>
    <col min="12" max="12" width="25" style="168" bestFit="1" customWidth="1"/>
    <col min="13" max="13" width="13.875" style="168" bestFit="1" customWidth="1"/>
    <col min="14" max="16384" width="8.75" style="168"/>
  </cols>
  <sheetData>
    <row r="1" spans="1:14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7" t="s">
        <v>542</v>
      </c>
    </row>
    <row r="2" spans="1:14" ht="15">
      <c r="A2" s="1258">
        <v>44936</v>
      </c>
      <c r="B2" s="1258" t="s">
        <v>2644</v>
      </c>
      <c r="C2" s="1258" t="s">
        <v>4976</v>
      </c>
      <c r="D2" s="1262" t="s">
        <v>3923</v>
      </c>
      <c r="E2" s="611">
        <v>2027.75</v>
      </c>
      <c r="F2" s="731">
        <v>0</v>
      </c>
      <c r="G2" s="611">
        <v>2027.75</v>
      </c>
      <c r="H2" s="1258">
        <v>44981</v>
      </c>
      <c r="I2" s="611">
        <v>2027.75</v>
      </c>
      <c r="J2" s="1258">
        <v>45007</v>
      </c>
      <c r="K2" s="1256" t="s">
        <v>4586</v>
      </c>
      <c r="L2" s="166"/>
      <c r="M2"/>
      <c r="N2"/>
    </row>
    <row r="3" spans="1:14" ht="15">
      <c r="A3" s="1527">
        <v>45057</v>
      </c>
      <c r="B3" s="1527" t="s">
        <v>2644</v>
      </c>
      <c r="C3" s="1527" t="s">
        <v>4976</v>
      </c>
      <c r="D3" s="1530" t="s">
        <v>4977</v>
      </c>
      <c r="E3" s="611">
        <v>2710.95</v>
      </c>
      <c r="F3" s="731">
        <v>0</v>
      </c>
      <c r="G3" s="611">
        <v>2710.95</v>
      </c>
      <c r="H3" s="1527">
        <v>45102</v>
      </c>
      <c r="I3" s="1951">
        <v>3009.08</v>
      </c>
      <c r="J3" s="1903">
        <v>45121</v>
      </c>
      <c r="K3" s="1935" t="s">
        <v>5611</v>
      </c>
      <c r="L3" s="226"/>
      <c r="M3"/>
      <c r="N3"/>
    </row>
    <row r="4" spans="1:14" ht="15">
      <c r="A4" s="1527">
        <v>45058</v>
      </c>
      <c r="B4" s="1527" t="s">
        <v>2644</v>
      </c>
      <c r="C4" s="1527" t="s">
        <v>4976</v>
      </c>
      <c r="D4" s="1530" t="s">
        <v>4978</v>
      </c>
      <c r="E4" s="611">
        <v>298.13</v>
      </c>
      <c r="F4" s="731">
        <v>0</v>
      </c>
      <c r="G4" s="611">
        <v>298.13</v>
      </c>
      <c r="H4" s="1527">
        <v>45118</v>
      </c>
      <c r="I4" s="1953"/>
      <c r="J4" s="1905"/>
      <c r="K4" s="1947"/>
      <c r="L4" s="226"/>
      <c r="M4"/>
      <c r="N4"/>
    </row>
    <row r="5" spans="1:14" ht="15">
      <c r="A5" s="623"/>
      <c r="B5" s="623"/>
      <c r="C5" s="623"/>
      <c r="D5" s="624"/>
      <c r="E5" s="605"/>
      <c r="F5" s="732"/>
      <c r="G5" s="605"/>
      <c r="H5" s="623"/>
      <c r="I5" s="639"/>
      <c r="J5" s="1027"/>
      <c r="K5" s="226"/>
      <c r="L5" s="226"/>
    </row>
    <row r="6" spans="1:14" ht="15">
      <c r="A6" s="623"/>
      <c r="B6" s="623"/>
      <c r="C6" s="623"/>
      <c r="D6" s="624"/>
      <c r="E6" s="605"/>
      <c r="F6" s="732"/>
      <c r="G6" s="605"/>
      <c r="H6" s="623"/>
      <c r="I6" s="639"/>
      <c r="J6" s="1027"/>
      <c r="K6" s="226"/>
      <c r="L6" s="226"/>
    </row>
    <row r="7" spans="1:14" ht="15">
      <c r="A7" s="1027"/>
      <c r="B7" s="1124"/>
      <c r="C7" s="1124"/>
      <c r="D7" s="1028"/>
      <c r="E7" s="605"/>
      <c r="F7" s="732"/>
      <c r="G7" s="639"/>
      <c r="H7" s="1027"/>
      <c r="I7" s="639"/>
      <c r="J7" s="1027"/>
      <c r="K7" s="226"/>
      <c r="L7" s="226"/>
    </row>
    <row r="8" spans="1:14" ht="15">
      <c r="A8" s="1027"/>
      <c r="B8" s="1124"/>
      <c r="C8" s="1124"/>
      <c r="D8" s="1028"/>
      <c r="E8" s="605"/>
      <c r="F8" s="732"/>
      <c r="G8" s="639"/>
      <c r="H8" s="1027"/>
      <c r="I8" s="639"/>
      <c r="J8" s="1027"/>
      <c r="K8" s="226"/>
      <c r="L8" s="226"/>
    </row>
    <row r="9" spans="1:14" ht="15">
      <c r="A9" s="1027"/>
      <c r="B9" s="1124"/>
      <c r="C9" s="1124"/>
      <c r="D9" s="1028"/>
      <c r="E9" s="605"/>
      <c r="F9" s="732"/>
      <c r="G9" s="639"/>
      <c r="H9" s="1027"/>
      <c r="I9" s="639"/>
      <c r="J9" s="1027"/>
      <c r="K9" s="226"/>
      <c r="L9" s="226"/>
    </row>
    <row r="10" spans="1:14" ht="15">
      <c r="A10" s="1027"/>
      <c r="B10" s="1124"/>
      <c r="C10" s="1124"/>
      <c r="D10" s="1028"/>
      <c r="E10" s="605"/>
      <c r="F10" s="732"/>
      <c r="G10" s="639"/>
      <c r="H10" s="1027"/>
      <c r="I10" s="639"/>
      <c r="J10" s="1027"/>
      <c r="K10" s="226"/>
      <c r="L10" s="226"/>
    </row>
    <row r="11" spans="1:14" ht="15">
      <c r="A11" s="1027"/>
      <c r="B11" s="1124"/>
      <c r="C11" s="1124"/>
      <c r="D11" s="1028"/>
      <c r="E11" s="605"/>
      <c r="F11" s="732"/>
      <c r="G11" s="639"/>
      <c r="H11" s="1027"/>
      <c r="I11" s="639"/>
      <c r="J11" s="1027"/>
      <c r="K11" s="226"/>
      <c r="L11" s="226"/>
    </row>
    <row r="12" spans="1:14" ht="15">
      <c r="A12" s="1027"/>
      <c r="B12" s="1124"/>
      <c r="C12" s="1124"/>
      <c r="D12" s="1028"/>
      <c r="E12" s="605"/>
      <c r="F12" s="732"/>
      <c r="G12" s="639"/>
      <c r="H12" s="1027"/>
      <c r="I12" s="639"/>
      <c r="J12" s="1027"/>
      <c r="K12" s="226"/>
      <c r="L12" s="226"/>
    </row>
    <row r="13" spans="1:14" ht="15">
      <c r="A13" s="1027"/>
      <c r="B13" s="1124"/>
      <c r="C13" s="1124"/>
      <c r="D13" s="1028"/>
      <c r="E13" s="605"/>
      <c r="F13" s="732"/>
      <c r="G13" s="639"/>
      <c r="H13" s="1027"/>
      <c r="I13" s="639"/>
      <c r="J13" s="1027"/>
      <c r="K13" s="226"/>
      <c r="L13" s="226"/>
    </row>
    <row r="14" spans="1:14" ht="15">
      <c r="A14" s="1027"/>
      <c r="B14" s="1124"/>
      <c r="C14" s="1124"/>
      <c r="D14" s="1028"/>
      <c r="E14" s="605"/>
      <c r="F14" s="732"/>
      <c r="G14" s="639"/>
      <c r="H14" s="1027"/>
      <c r="I14" s="639"/>
      <c r="J14" s="1027"/>
      <c r="K14" s="226"/>
      <c r="L14" s="226"/>
    </row>
    <row r="15" spans="1:14" ht="15">
      <c r="A15" s="1028"/>
      <c r="B15" s="1125"/>
      <c r="C15" s="1125"/>
      <c r="D15" s="619"/>
      <c r="E15" s="619"/>
      <c r="F15" s="1144" t="s">
        <v>545</v>
      </c>
      <c r="G15" s="651">
        <f>SUM(G2:G14)-SUM(I2:I14)</f>
        <v>0</v>
      </c>
      <c r="H15" s="634"/>
      <c r="I15" s="639"/>
      <c r="J15" s="1027"/>
      <c r="K15" s="226"/>
      <c r="L15" s="226"/>
    </row>
  </sheetData>
  <mergeCells count="3">
    <mergeCell ref="K3:K4"/>
    <mergeCell ref="J3:J4"/>
    <mergeCell ref="I3:I4"/>
  </mergeCells>
  <phoneticPr fontId="15" type="noConversion"/>
  <hyperlinks>
    <hyperlink ref="F15" location="汇总!A1" display="剩余欠款"/>
  </hyperlinks>
  <pageMargins left="0.7" right="0.7" top="0.75" bottom="0.75" header="0.3" footer="0.3"/>
  <pageSetup paperSize="9"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/>
  <dimension ref="A1:N15"/>
  <sheetViews>
    <sheetView workbookViewId="0">
      <pane ySplit="1" topLeftCell="A2" activePane="bottomLeft" state="frozen"/>
      <selection pane="bottomLeft" activeCell="F15" sqref="F15"/>
    </sheetView>
  </sheetViews>
  <sheetFormatPr defaultColWidth="8.75" defaultRowHeight="14.25"/>
  <cols>
    <col min="1" max="1" width="13" style="168" customWidth="1"/>
    <col min="2" max="2" width="8.875" style="168" bestFit="1" customWidth="1"/>
    <col min="3" max="3" width="21.25" style="168" bestFit="1" customWidth="1"/>
    <col min="4" max="5" width="15" style="168" customWidth="1"/>
    <col min="6" max="6" width="13.375" style="527" customWidth="1"/>
    <col min="7" max="7" width="11.375" style="168" bestFit="1" customWidth="1"/>
    <col min="8" max="8" width="16.625" style="168" bestFit="1" customWidth="1"/>
    <col min="9" max="9" width="12.875" style="168" customWidth="1"/>
    <col min="10" max="10" width="11.625" style="168" bestFit="1" customWidth="1"/>
    <col min="11" max="11" width="11.375" style="168" bestFit="1" customWidth="1"/>
    <col min="12" max="12" width="25" style="168" bestFit="1" customWidth="1"/>
    <col min="13" max="13" width="13.875" style="168" bestFit="1" customWidth="1"/>
    <col min="14" max="16384" width="8.75" style="168"/>
  </cols>
  <sheetData>
    <row r="1" spans="1:14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7" t="s">
        <v>542</v>
      </c>
    </row>
    <row r="2" spans="1:14" ht="15">
      <c r="A2" s="1579">
        <v>44980</v>
      </c>
      <c r="B2" s="1579" t="s">
        <v>2644</v>
      </c>
      <c r="C2" s="1579" t="s">
        <v>5845</v>
      </c>
      <c r="D2" s="1584" t="s">
        <v>4243</v>
      </c>
      <c r="E2" s="611">
        <v>597.03</v>
      </c>
      <c r="F2" s="731">
        <v>125.38</v>
      </c>
      <c r="G2" s="611">
        <v>722.4</v>
      </c>
      <c r="H2" s="1579">
        <v>45070</v>
      </c>
      <c r="I2" s="1951">
        <v>4339.88</v>
      </c>
      <c r="J2" s="1903">
        <v>45139</v>
      </c>
      <c r="K2" s="1935" t="s">
        <v>5844</v>
      </c>
      <c r="L2" s="166"/>
      <c r="M2"/>
      <c r="N2"/>
    </row>
    <row r="3" spans="1:14" ht="15">
      <c r="A3" s="1579">
        <v>44980</v>
      </c>
      <c r="B3" s="1579" t="s">
        <v>2644</v>
      </c>
      <c r="C3" s="1579" t="s">
        <v>5845</v>
      </c>
      <c r="D3" s="1584" t="s">
        <v>4244</v>
      </c>
      <c r="E3" s="611">
        <v>2989.65</v>
      </c>
      <c r="F3" s="731">
        <v>627.83000000000004</v>
      </c>
      <c r="G3" s="611">
        <v>3617.48</v>
      </c>
      <c r="H3" s="1579">
        <v>45070</v>
      </c>
      <c r="I3" s="1953"/>
      <c r="J3" s="1905"/>
      <c r="K3" s="1947"/>
      <c r="L3" s="226"/>
      <c r="M3"/>
      <c r="N3"/>
    </row>
    <row r="4" spans="1:14" ht="15">
      <c r="A4" s="623"/>
      <c r="B4" s="623"/>
      <c r="C4" s="623"/>
      <c r="D4" s="624"/>
      <c r="E4" s="605"/>
      <c r="F4" s="732"/>
      <c r="G4" s="605"/>
      <c r="H4" s="623"/>
      <c r="I4" s="639"/>
      <c r="J4" s="1166"/>
      <c r="K4" s="226"/>
      <c r="L4" s="226"/>
      <c r="M4"/>
      <c r="N4"/>
    </row>
    <row r="5" spans="1:14" ht="15">
      <c r="A5" s="623"/>
      <c r="B5" s="623"/>
      <c r="C5" s="623"/>
      <c r="D5" s="624"/>
      <c r="E5" s="605"/>
      <c r="F5" s="732"/>
      <c r="G5" s="605"/>
      <c r="H5" s="623"/>
      <c r="I5" s="639"/>
      <c r="J5" s="1166"/>
      <c r="K5" s="226"/>
      <c r="L5" s="226"/>
    </row>
    <row r="6" spans="1:14" ht="15">
      <c r="A6" s="623"/>
      <c r="B6" s="623"/>
      <c r="C6" s="623"/>
      <c r="D6" s="624"/>
      <c r="E6" s="605"/>
      <c r="F6" s="732"/>
      <c r="G6" s="605"/>
      <c r="H6" s="623"/>
      <c r="I6" s="639"/>
      <c r="J6" s="1166"/>
      <c r="K6" s="226"/>
      <c r="L6" s="226"/>
    </row>
    <row r="7" spans="1:14" ht="15">
      <c r="A7" s="1166"/>
      <c r="B7" s="1166"/>
      <c r="C7" s="1166"/>
      <c r="D7" s="1167"/>
      <c r="E7" s="605"/>
      <c r="F7" s="732"/>
      <c r="G7" s="639"/>
      <c r="H7" s="1166"/>
      <c r="I7" s="639"/>
      <c r="J7" s="1166"/>
      <c r="K7" s="226"/>
      <c r="L7" s="226"/>
    </row>
    <row r="8" spans="1:14" ht="15">
      <c r="A8" s="1166"/>
      <c r="B8" s="1166"/>
      <c r="C8" s="1166"/>
      <c r="D8" s="1167"/>
      <c r="E8" s="605"/>
      <c r="F8" s="732"/>
      <c r="G8" s="639"/>
      <c r="H8" s="1166"/>
      <c r="I8" s="639"/>
      <c r="J8" s="1166"/>
      <c r="K8" s="226"/>
      <c r="L8" s="226"/>
    </row>
    <row r="9" spans="1:14" ht="15">
      <c r="A9" s="1166"/>
      <c r="B9" s="1166"/>
      <c r="C9" s="1166"/>
      <c r="D9" s="1167"/>
      <c r="E9" s="605"/>
      <c r="F9" s="732"/>
      <c r="G9" s="639"/>
      <c r="H9" s="1166"/>
      <c r="I9" s="639"/>
      <c r="J9" s="1166"/>
      <c r="K9" s="226"/>
      <c r="L9" s="226"/>
    </row>
    <row r="10" spans="1:14" ht="15">
      <c r="A10" s="1166"/>
      <c r="B10" s="1166"/>
      <c r="C10" s="1166"/>
      <c r="D10" s="1167"/>
      <c r="E10" s="605"/>
      <c r="F10" s="732"/>
      <c r="G10" s="639"/>
      <c r="H10" s="1166"/>
      <c r="I10" s="639"/>
      <c r="J10" s="1166"/>
      <c r="K10" s="226"/>
      <c r="L10" s="226"/>
    </row>
    <row r="11" spans="1:14" ht="15">
      <c r="A11" s="1166"/>
      <c r="B11" s="1166"/>
      <c r="C11" s="1166"/>
      <c r="D11" s="1167"/>
      <c r="E11" s="605"/>
      <c r="F11" s="732"/>
      <c r="G11" s="639"/>
      <c r="H11" s="1166"/>
      <c r="I11" s="639"/>
      <c r="J11" s="1166"/>
      <c r="K11" s="226"/>
      <c r="L11" s="226"/>
    </row>
    <row r="12" spans="1:14" ht="15">
      <c r="A12" s="1166"/>
      <c r="B12" s="1166"/>
      <c r="C12" s="1166"/>
      <c r="D12" s="1167"/>
      <c r="E12" s="605"/>
      <c r="F12" s="732"/>
      <c r="G12" s="639"/>
      <c r="H12" s="1166"/>
      <c r="I12" s="639"/>
      <c r="J12" s="1166"/>
      <c r="K12" s="226"/>
      <c r="L12" s="226"/>
    </row>
    <row r="13" spans="1:14" ht="15">
      <c r="A13" s="1166"/>
      <c r="B13" s="1166"/>
      <c r="C13" s="1166"/>
      <c r="D13" s="1167"/>
      <c r="E13" s="605"/>
      <c r="F13" s="732"/>
      <c r="G13" s="639"/>
      <c r="H13" s="1166"/>
      <c r="I13" s="639"/>
      <c r="J13" s="1166"/>
      <c r="K13" s="226"/>
      <c r="L13" s="226"/>
    </row>
    <row r="14" spans="1:14" ht="15">
      <c r="A14" s="1166"/>
      <c r="B14" s="1166"/>
      <c r="C14" s="1166"/>
      <c r="D14" s="1167"/>
      <c r="E14" s="605"/>
      <c r="F14" s="732"/>
      <c r="G14" s="639"/>
      <c r="H14" s="1166"/>
      <c r="I14" s="639"/>
      <c r="J14" s="1166"/>
      <c r="K14" s="226"/>
      <c r="L14" s="226"/>
    </row>
    <row r="15" spans="1:14" ht="15">
      <c r="A15" s="1167"/>
      <c r="B15" s="1167"/>
      <c r="C15" s="1167"/>
      <c r="D15" s="619"/>
      <c r="E15" s="619"/>
      <c r="F15" s="1144" t="s">
        <v>545</v>
      </c>
      <c r="G15" s="651">
        <f>SUM(G2:G14)-SUM(I2:I14)</f>
        <v>0</v>
      </c>
      <c r="H15" s="634"/>
      <c r="I15" s="639"/>
      <c r="J15" s="1166"/>
      <c r="K15" s="226"/>
      <c r="L15" s="226"/>
    </row>
  </sheetData>
  <mergeCells count="3">
    <mergeCell ref="K2:K3"/>
    <mergeCell ref="J2:J3"/>
    <mergeCell ref="I2:I3"/>
  </mergeCells>
  <phoneticPr fontId="15" type="noConversion"/>
  <hyperlinks>
    <hyperlink ref="F15" location="汇总!A1" display="剩余欠款"/>
  </hyperlinks>
  <pageMargins left="0.7" right="0.7" top="0.75" bottom="0.75" header="0.3" footer="0.3"/>
  <pageSetup paperSize="9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/>
  <dimension ref="A1:N16"/>
  <sheetViews>
    <sheetView workbookViewId="0">
      <pane ySplit="1" topLeftCell="A2" activePane="bottomLeft" state="frozen"/>
      <selection pane="bottomLeft" activeCell="F16" sqref="F16"/>
    </sheetView>
  </sheetViews>
  <sheetFormatPr defaultColWidth="8.75" defaultRowHeight="14.25"/>
  <cols>
    <col min="1" max="1" width="13" style="168" customWidth="1"/>
    <col min="2" max="2" width="8.875" style="168" bestFit="1" customWidth="1"/>
    <col min="3" max="3" width="22.75" style="168" bestFit="1" customWidth="1"/>
    <col min="4" max="5" width="15" style="168" customWidth="1"/>
    <col min="6" max="6" width="13.375" style="527" customWidth="1"/>
    <col min="7" max="7" width="11.375" style="168" bestFit="1" customWidth="1"/>
    <col min="8" max="8" width="16.625" style="168" bestFit="1" customWidth="1"/>
    <col min="9" max="9" width="12.875" style="168" customWidth="1"/>
    <col min="10" max="10" width="11.625" style="168" bestFit="1" customWidth="1"/>
    <col min="11" max="11" width="11.375" style="168" bestFit="1" customWidth="1"/>
    <col min="12" max="12" width="25" style="168" bestFit="1" customWidth="1"/>
    <col min="13" max="13" width="13.875" style="168" bestFit="1" customWidth="1"/>
    <col min="14" max="16384" width="8.75" style="168"/>
  </cols>
  <sheetData>
    <row r="1" spans="1:14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7" t="s">
        <v>542</v>
      </c>
    </row>
    <row r="2" spans="1:14" ht="15">
      <c r="A2" s="1235">
        <v>45000</v>
      </c>
      <c r="B2" s="1235" t="s">
        <v>2518</v>
      </c>
      <c r="C2" s="1235" t="s">
        <v>4497</v>
      </c>
      <c r="D2" s="1237" t="s">
        <v>4498</v>
      </c>
      <c r="E2" s="611">
        <v>1167.47</v>
      </c>
      <c r="F2" s="731">
        <v>245.17</v>
      </c>
      <c r="G2" s="611">
        <v>1412.64</v>
      </c>
      <c r="H2" s="1235">
        <v>45001</v>
      </c>
      <c r="I2" s="611">
        <v>1412.64</v>
      </c>
      <c r="J2" s="1235">
        <v>45000</v>
      </c>
      <c r="K2" s="1234" t="s">
        <v>4525</v>
      </c>
      <c r="L2" s="166" t="s">
        <v>4500</v>
      </c>
      <c r="M2"/>
      <c r="N2"/>
    </row>
    <row r="3" spans="1:14" ht="15">
      <c r="A3" s="1941">
        <v>45002</v>
      </c>
      <c r="B3" s="1941" t="s">
        <v>2518</v>
      </c>
      <c r="C3" s="1941" t="s">
        <v>4497</v>
      </c>
      <c r="D3" s="1954" t="s">
        <v>4499</v>
      </c>
      <c r="E3" s="2186">
        <v>2561.44</v>
      </c>
      <c r="F3" s="2184">
        <v>0</v>
      </c>
      <c r="G3" s="611">
        <v>1280.72</v>
      </c>
      <c r="H3" s="1258">
        <v>45003</v>
      </c>
      <c r="I3" s="611">
        <v>1280.72</v>
      </c>
      <c r="J3" s="1229">
        <v>45006</v>
      </c>
      <c r="K3" s="1256" t="s">
        <v>1817</v>
      </c>
      <c r="L3" s="226"/>
      <c r="M3"/>
      <c r="N3"/>
    </row>
    <row r="4" spans="1:14" ht="15">
      <c r="A4" s="1967"/>
      <c r="B4" s="1967"/>
      <c r="C4" s="1967"/>
      <c r="D4" s="1973"/>
      <c r="E4" s="2391"/>
      <c r="F4" s="2390"/>
      <c r="G4" s="611">
        <v>300</v>
      </c>
      <c r="H4" s="1497">
        <v>45003</v>
      </c>
      <c r="I4" s="639">
        <v>300</v>
      </c>
      <c r="J4" s="1494">
        <v>45106</v>
      </c>
      <c r="K4" s="1496" t="s">
        <v>1817</v>
      </c>
      <c r="L4" s="226"/>
      <c r="M4"/>
      <c r="N4"/>
    </row>
    <row r="5" spans="1:14" ht="15">
      <c r="A5" s="1967"/>
      <c r="B5" s="1967"/>
      <c r="C5" s="1967"/>
      <c r="D5" s="1973"/>
      <c r="E5" s="2391"/>
      <c r="F5" s="2390"/>
      <c r="G5" s="611">
        <v>580.72</v>
      </c>
      <c r="H5" s="1856">
        <v>45003</v>
      </c>
      <c r="I5" s="639">
        <v>580.72</v>
      </c>
      <c r="J5" s="1850">
        <v>45243</v>
      </c>
      <c r="K5" s="1854" t="s">
        <v>1817</v>
      </c>
      <c r="L5" s="226"/>
      <c r="M5"/>
      <c r="N5"/>
    </row>
    <row r="6" spans="1:14" ht="15">
      <c r="A6" s="1942"/>
      <c r="B6" s="1942"/>
      <c r="C6" s="1942"/>
      <c r="D6" s="1955"/>
      <c r="E6" s="2187"/>
      <c r="F6" s="2185"/>
      <c r="G6" s="605">
        <f>2561.44-1280.72-300-580.72</f>
        <v>400</v>
      </c>
      <c r="H6" s="623">
        <v>45003</v>
      </c>
      <c r="I6" s="639"/>
      <c r="J6" s="1229"/>
      <c r="K6" s="226"/>
      <c r="L6" s="226"/>
    </row>
    <row r="7" spans="1:14" ht="15">
      <c r="A7" s="623"/>
      <c r="B7" s="623"/>
      <c r="C7" s="623"/>
      <c r="D7" s="624"/>
      <c r="E7" s="605"/>
      <c r="F7" s="732"/>
      <c r="G7" s="605"/>
      <c r="H7" s="623"/>
      <c r="I7" s="639"/>
      <c r="J7" s="1229"/>
      <c r="K7" s="226"/>
      <c r="L7" s="226"/>
    </row>
    <row r="8" spans="1:14" ht="15">
      <c r="A8" s="1229"/>
      <c r="B8" s="1229"/>
      <c r="C8" s="1229"/>
      <c r="D8" s="1230"/>
      <c r="E8" s="605"/>
      <c r="F8" s="732"/>
      <c r="G8" s="639"/>
      <c r="H8" s="1229"/>
      <c r="I8" s="639"/>
      <c r="J8" s="1229"/>
      <c r="K8" s="226"/>
      <c r="L8" s="226"/>
    </row>
    <row r="9" spans="1:14" ht="15">
      <c r="A9" s="1229"/>
      <c r="B9" s="1229"/>
      <c r="C9" s="1229"/>
      <c r="D9" s="1230"/>
      <c r="E9" s="605"/>
      <c r="F9" s="732"/>
      <c r="G9" s="639"/>
      <c r="H9" s="1229"/>
      <c r="I9" s="639"/>
      <c r="J9" s="1229"/>
      <c r="K9" s="226"/>
      <c r="L9" s="226"/>
    </row>
    <row r="10" spans="1:14" ht="15">
      <c r="A10" s="1229"/>
      <c r="B10" s="1229"/>
      <c r="C10" s="1229"/>
      <c r="D10" s="1230"/>
      <c r="E10" s="605"/>
      <c r="F10" s="732"/>
      <c r="G10" s="639"/>
      <c r="H10" s="1229"/>
      <c r="I10" s="639"/>
      <c r="J10" s="1229"/>
      <c r="K10" s="226"/>
      <c r="L10" s="226"/>
    </row>
    <row r="11" spans="1:14" ht="15">
      <c r="A11" s="1229"/>
      <c r="B11" s="1229"/>
      <c r="C11" s="1229"/>
      <c r="D11" s="1230"/>
      <c r="E11" s="605"/>
      <c r="F11" s="732"/>
      <c r="G11" s="639"/>
      <c r="H11" s="1229"/>
      <c r="I11" s="639"/>
      <c r="J11" s="1229"/>
      <c r="K11" s="226"/>
      <c r="L11" s="226"/>
    </row>
    <row r="12" spans="1:14" ht="15">
      <c r="A12" s="1229"/>
      <c r="B12" s="1229"/>
      <c r="C12" s="1229"/>
      <c r="D12" s="1230"/>
      <c r="E12" s="605"/>
      <c r="F12" s="732"/>
      <c r="G12" s="639"/>
      <c r="H12" s="1229"/>
      <c r="I12" s="639"/>
      <c r="J12" s="1229"/>
      <c r="K12" s="226"/>
      <c r="L12" s="226"/>
    </row>
    <row r="13" spans="1:14" ht="15">
      <c r="A13" s="1229"/>
      <c r="B13" s="1229"/>
      <c r="C13" s="1229"/>
      <c r="D13" s="1230"/>
      <c r="E13" s="605"/>
      <c r="F13" s="732"/>
      <c r="G13" s="639"/>
      <c r="H13" s="1229"/>
      <c r="I13" s="639"/>
      <c r="J13" s="1229"/>
      <c r="K13" s="226"/>
      <c r="L13" s="226"/>
    </row>
    <row r="14" spans="1:14" ht="15">
      <c r="A14" s="1229"/>
      <c r="B14" s="1229"/>
      <c r="C14" s="1229"/>
      <c r="D14" s="1230"/>
      <c r="E14" s="605"/>
      <c r="F14" s="732"/>
      <c r="G14" s="639"/>
      <c r="H14" s="1229"/>
      <c r="I14" s="639"/>
      <c r="J14" s="1229"/>
      <c r="K14" s="226"/>
      <c r="L14" s="226"/>
    </row>
    <row r="15" spans="1:14" ht="15">
      <c r="A15" s="1229"/>
      <c r="B15" s="1229"/>
      <c r="C15" s="1229"/>
      <c r="D15" s="1230"/>
      <c r="E15" s="605"/>
      <c r="F15" s="732"/>
      <c r="G15" s="639"/>
      <c r="H15" s="1229"/>
      <c r="I15" s="639"/>
      <c r="J15" s="1229"/>
      <c r="K15" s="226"/>
      <c r="L15" s="226"/>
    </row>
    <row r="16" spans="1:14" ht="15">
      <c r="A16" s="1230"/>
      <c r="B16" s="1230"/>
      <c r="C16" s="1230"/>
      <c r="D16" s="619"/>
      <c r="E16" s="619"/>
      <c r="F16" s="1144" t="s">
        <v>545</v>
      </c>
      <c r="G16" s="651">
        <f>SUM(G2:G15)-SUM(I2:I15)</f>
        <v>400</v>
      </c>
      <c r="H16" s="634"/>
      <c r="I16" s="639"/>
      <c r="J16" s="1229"/>
      <c r="K16" s="226"/>
      <c r="L16" s="226"/>
    </row>
  </sheetData>
  <mergeCells count="6">
    <mergeCell ref="A3:A6"/>
    <mergeCell ref="F3:F6"/>
    <mergeCell ref="E3:E6"/>
    <mergeCell ref="D3:D6"/>
    <mergeCell ref="C3:C6"/>
    <mergeCell ref="B3:B6"/>
  </mergeCells>
  <phoneticPr fontId="15" type="noConversion"/>
  <hyperlinks>
    <hyperlink ref="F16" location="汇总!A1" display="剩余欠款"/>
  </hyperlinks>
  <pageMargins left="0.7" right="0.7" top="0.75" bottom="0.75" header="0.3" footer="0.3"/>
  <pageSetup paperSize="9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/>
  <dimension ref="A1:N15"/>
  <sheetViews>
    <sheetView workbookViewId="0">
      <pane ySplit="1" topLeftCell="A2" activePane="bottomLeft" state="frozen"/>
      <selection pane="bottomLeft" activeCell="F15" sqref="F15"/>
    </sheetView>
  </sheetViews>
  <sheetFormatPr defaultColWidth="8.75" defaultRowHeight="14.25"/>
  <cols>
    <col min="1" max="1" width="13" style="168" customWidth="1"/>
    <col min="2" max="2" width="8.875" style="168" bestFit="1" customWidth="1"/>
    <col min="3" max="3" width="22.75" style="168" bestFit="1" customWidth="1"/>
    <col min="4" max="5" width="15" style="168" customWidth="1"/>
    <col min="6" max="6" width="13.375" style="527" customWidth="1"/>
    <col min="7" max="7" width="11.375" style="168" bestFit="1" customWidth="1"/>
    <col min="8" max="8" width="16.625" style="168" bestFit="1" customWidth="1"/>
    <col min="9" max="9" width="12.875" style="168" customWidth="1"/>
    <col min="10" max="10" width="11.625" style="168" bestFit="1" customWidth="1"/>
    <col min="11" max="11" width="15" style="168" bestFit="1" customWidth="1"/>
    <col min="12" max="12" width="47.125" style="168" customWidth="1"/>
    <col min="13" max="13" width="13.875" style="168" bestFit="1" customWidth="1"/>
    <col min="14" max="16384" width="8.75" style="168"/>
  </cols>
  <sheetData>
    <row r="1" spans="1:14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7" t="s">
        <v>542</v>
      </c>
    </row>
    <row r="2" spans="1:14" ht="15">
      <c r="A2" s="1321">
        <v>45007</v>
      </c>
      <c r="B2" s="1321" t="s">
        <v>2518</v>
      </c>
      <c r="C2" s="1321" t="s">
        <v>4537</v>
      </c>
      <c r="D2" s="1324" t="s">
        <v>4538</v>
      </c>
      <c r="E2" s="611">
        <v>34.31</v>
      </c>
      <c r="F2" s="731">
        <v>7.21</v>
      </c>
      <c r="G2" s="611">
        <v>41.51</v>
      </c>
      <c r="H2" s="1321">
        <v>45067</v>
      </c>
      <c r="I2" s="611">
        <v>41.51</v>
      </c>
      <c r="J2" s="1321">
        <v>45033</v>
      </c>
      <c r="K2" s="1319" t="s">
        <v>4841</v>
      </c>
      <c r="L2" s="166" t="s">
        <v>4539</v>
      </c>
      <c r="M2"/>
      <c r="N2"/>
    </row>
    <row r="3" spans="1:14" ht="15">
      <c r="A3" s="1566">
        <v>45030.000497685185</v>
      </c>
      <c r="B3" s="1566" t="s">
        <v>2518</v>
      </c>
      <c r="C3" s="1566" t="s">
        <v>4537</v>
      </c>
      <c r="D3" s="1568" t="s">
        <v>4709</v>
      </c>
      <c r="E3" s="611">
        <v>70.42</v>
      </c>
      <c r="F3" s="731">
        <v>0</v>
      </c>
      <c r="G3" s="611">
        <v>70.42</v>
      </c>
      <c r="H3" s="1566">
        <v>45090</v>
      </c>
      <c r="I3" s="611">
        <v>70.42</v>
      </c>
      <c r="J3" s="1566">
        <v>45131</v>
      </c>
      <c r="K3" s="1564" t="s">
        <v>5704</v>
      </c>
      <c r="L3" s="226"/>
      <c r="M3"/>
      <c r="N3"/>
    </row>
    <row r="4" spans="1:14" ht="15">
      <c r="A4" s="1566">
        <v>45092</v>
      </c>
      <c r="B4" s="1566" t="s">
        <v>2518</v>
      </c>
      <c r="C4" s="1566" t="s">
        <v>4537</v>
      </c>
      <c r="D4" s="1568" t="s">
        <v>5368</v>
      </c>
      <c r="E4" s="611">
        <v>14.13</v>
      </c>
      <c r="F4" s="731">
        <v>2.97</v>
      </c>
      <c r="G4" s="611">
        <v>17.100000000000001</v>
      </c>
      <c r="H4" s="1566">
        <v>45152</v>
      </c>
      <c r="I4" s="611">
        <v>17.100000000000001</v>
      </c>
      <c r="J4" s="1566">
        <v>45131</v>
      </c>
      <c r="K4" s="1561" t="s">
        <v>544</v>
      </c>
      <c r="L4" s="226"/>
      <c r="M4"/>
      <c r="N4"/>
    </row>
    <row r="5" spans="1:14" ht="15">
      <c r="A5" s="623">
        <v>45110</v>
      </c>
      <c r="B5" s="623" t="s">
        <v>2518</v>
      </c>
      <c r="C5" s="623" t="s">
        <v>4537</v>
      </c>
      <c r="D5" s="624" t="s">
        <v>5541</v>
      </c>
      <c r="E5" s="605">
        <v>8.74</v>
      </c>
      <c r="F5" s="732">
        <v>1.84</v>
      </c>
      <c r="G5" s="605">
        <v>10.58</v>
      </c>
      <c r="H5" s="623">
        <v>45170</v>
      </c>
      <c r="I5" s="639"/>
      <c r="J5" s="1247"/>
      <c r="K5" s="1561"/>
      <c r="L5" s="226"/>
    </row>
    <row r="6" spans="1:14" ht="15">
      <c r="A6" s="623"/>
      <c r="B6" s="623"/>
      <c r="C6" s="623"/>
      <c r="D6" s="624"/>
      <c r="E6" s="605"/>
      <c r="F6" s="732"/>
      <c r="G6" s="605"/>
      <c r="H6" s="623"/>
      <c r="I6" s="639"/>
      <c r="J6" s="1247"/>
      <c r="K6" s="1561"/>
      <c r="L6" s="226"/>
    </row>
    <row r="7" spans="1:14" ht="15">
      <c r="A7" s="1247"/>
      <c r="B7" s="1247"/>
      <c r="C7" s="1247"/>
      <c r="D7" s="1248"/>
      <c r="E7" s="605"/>
      <c r="F7" s="732"/>
      <c r="G7" s="639"/>
      <c r="H7" s="1247"/>
      <c r="I7" s="639"/>
      <c r="J7" s="1247"/>
      <c r="K7" s="1561"/>
      <c r="L7" s="226"/>
    </row>
    <row r="8" spans="1:14" ht="15">
      <c r="A8" s="1247"/>
      <c r="B8" s="1247"/>
      <c r="C8" s="1247"/>
      <c r="D8" s="1248"/>
      <c r="E8" s="605"/>
      <c r="F8" s="732"/>
      <c r="G8" s="639"/>
      <c r="H8" s="1247"/>
      <c r="I8" s="639"/>
      <c r="J8" s="1247"/>
      <c r="K8" s="1561"/>
      <c r="L8" s="226"/>
    </row>
    <row r="9" spans="1:14" ht="15">
      <c r="A9" s="1247"/>
      <c r="B9" s="1247"/>
      <c r="C9" s="1247"/>
      <c r="D9" s="1248"/>
      <c r="E9" s="605"/>
      <c r="F9" s="732"/>
      <c r="G9" s="639"/>
      <c r="H9" s="1247"/>
      <c r="I9" s="639"/>
      <c r="J9" s="1247"/>
      <c r="K9" s="1561"/>
      <c r="L9" s="226"/>
    </row>
    <row r="10" spans="1:14" ht="15">
      <c r="A10" s="1247"/>
      <c r="B10" s="1247"/>
      <c r="C10" s="1247"/>
      <c r="D10" s="1248"/>
      <c r="E10" s="605"/>
      <c r="F10" s="732"/>
      <c r="G10" s="639"/>
      <c r="H10" s="1247"/>
      <c r="I10" s="639"/>
      <c r="J10" s="1247"/>
      <c r="K10" s="1561"/>
      <c r="L10" s="226"/>
    </row>
    <row r="11" spans="1:14" ht="15">
      <c r="A11" s="1247"/>
      <c r="B11" s="1247"/>
      <c r="C11" s="1247"/>
      <c r="D11" s="1248"/>
      <c r="E11" s="605"/>
      <c r="F11" s="732"/>
      <c r="G11" s="639"/>
      <c r="H11" s="1247"/>
      <c r="I11" s="639"/>
      <c r="J11" s="1247"/>
      <c r="K11" s="1561"/>
      <c r="L11" s="226"/>
    </row>
    <row r="12" spans="1:14" ht="15">
      <c r="A12" s="1247"/>
      <c r="B12" s="1247"/>
      <c r="C12" s="1247"/>
      <c r="D12" s="1248"/>
      <c r="E12" s="605"/>
      <c r="F12" s="732"/>
      <c r="G12" s="639"/>
      <c r="H12" s="1247"/>
      <c r="I12" s="639"/>
      <c r="J12" s="1247"/>
      <c r="K12" s="1561"/>
      <c r="L12" s="226"/>
    </row>
    <row r="13" spans="1:14" ht="15">
      <c r="A13" s="1247"/>
      <c r="B13" s="1247"/>
      <c r="C13" s="1247"/>
      <c r="D13" s="1248"/>
      <c r="E13" s="605"/>
      <c r="F13" s="732"/>
      <c r="G13" s="639"/>
      <c r="H13" s="1247"/>
      <c r="I13" s="639"/>
      <c r="J13" s="1247"/>
      <c r="K13" s="1561"/>
      <c r="L13" s="226"/>
    </row>
    <row r="14" spans="1:14" ht="15">
      <c r="A14" s="1247"/>
      <c r="B14" s="1247"/>
      <c r="C14" s="1247"/>
      <c r="D14" s="1248"/>
      <c r="E14" s="605"/>
      <c r="F14" s="732"/>
      <c r="G14" s="639"/>
      <c r="H14" s="1247"/>
      <c r="I14" s="639"/>
      <c r="J14" s="1247"/>
      <c r="K14" s="1561"/>
      <c r="L14" s="226"/>
    </row>
    <row r="15" spans="1:14" ht="15">
      <c r="A15" s="1248"/>
      <c r="B15" s="1248"/>
      <c r="C15" s="1248"/>
      <c r="D15" s="619"/>
      <c r="E15" s="619"/>
      <c r="F15" s="1144" t="s">
        <v>545</v>
      </c>
      <c r="G15" s="651">
        <f>SUM(G2:G14)-SUM(I2:I14)</f>
        <v>10.580000000000013</v>
      </c>
      <c r="H15" s="634"/>
      <c r="I15" s="639"/>
      <c r="J15" s="1247"/>
      <c r="K15" s="1561"/>
      <c r="L15" s="226"/>
    </row>
  </sheetData>
  <phoneticPr fontId="15" type="noConversion"/>
  <hyperlinks>
    <hyperlink ref="F15" location="汇总!A1" display="剩余欠款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85"/>
  <sheetViews>
    <sheetView workbookViewId="0">
      <pane ySplit="1" topLeftCell="A53" activePane="bottomLeft" state="frozen"/>
      <selection activeCell="C33" sqref="C33"/>
      <selection pane="bottomLeft" activeCell="F79" sqref="F79"/>
    </sheetView>
  </sheetViews>
  <sheetFormatPr defaultRowHeight="14.25"/>
  <cols>
    <col min="1" max="1" width="13.25" style="258" bestFit="1" customWidth="1"/>
    <col min="2" max="2" width="8.875" style="168" bestFit="1" customWidth="1"/>
    <col min="3" max="3" width="29.125" style="168" bestFit="1" customWidth="1"/>
    <col min="4" max="4" width="13.875" style="102" bestFit="1" customWidth="1"/>
    <col min="5" max="5" width="11.75" style="168" customWidth="1"/>
    <col min="6" max="6" width="11.75" style="527" customWidth="1"/>
    <col min="7" max="7" width="17.375" style="190" bestFit="1" customWidth="1"/>
    <col min="8" max="8" width="16.75" style="190" bestFit="1" customWidth="1"/>
    <col min="9" max="9" width="13.375" style="138" bestFit="1" customWidth="1"/>
    <col min="10" max="10" width="13.25" style="102" bestFit="1" customWidth="1"/>
    <col min="11" max="11" width="21.625" style="102" bestFit="1" customWidth="1"/>
    <col min="12" max="12" width="46.125" style="102" customWidth="1"/>
    <col min="13" max="16384" width="9" style="102"/>
  </cols>
  <sheetData>
    <row r="1" spans="1:13" customFormat="1" ht="18.75">
      <c r="A1" s="255" t="s">
        <v>536</v>
      </c>
      <c r="B1" s="255" t="s">
        <v>516</v>
      </c>
      <c r="C1" s="255" t="s">
        <v>515</v>
      </c>
      <c r="D1" s="256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6" t="s">
        <v>4100</v>
      </c>
      <c r="K1" s="257" t="s">
        <v>541</v>
      </c>
      <c r="L1" s="256" t="s">
        <v>542</v>
      </c>
    </row>
    <row r="2" spans="1:13" ht="15.75" customHeight="1">
      <c r="A2" s="620">
        <v>44383</v>
      </c>
      <c r="B2" s="1124" t="s">
        <v>522</v>
      </c>
      <c r="C2" s="1124" t="s">
        <v>4393</v>
      </c>
      <c r="D2" s="621" t="s">
        <v>588</v>
      </c>
      <c r="E2" s="613">
        <v>2236.8200000000002</v>
      </c>
      <c r="F2" s="614">
        <v>469.73</v>
      </c>
      <c r="G2" s="639">
        <v>2706.55</v>
      </c>
      <c r="H2" s="620">
        <v>44384</v>
      </c>
      <c r="I2" s="1915">
        <v>5470.15</v>
      </c>
      <c r="J2" s="1948">
        <v>44462</v>
      </c>
      <c r="K2" s="1879" t="s">
        <v>2160</v>
      </c>
      <c r="L2" s="88"/>
    </row>
    <row r="3" spans="1:13" ht="15.75" customHeight="1">
      <c r="A3" s="620">
        <v>44411</v>
      </c>
      <c r="B3" s="1124" t="s">
        <v>522</v>
      </c>
      <c r="C3" s="1124" t="s">
        <v>4393</v>
      </c>
      <c r="D3" s="621" t="s">
        <v>590</v>
      </c>
      <c r="E3" s="613">
        <v>2283.9699999999998</v>
      </c>
      <c r="F3" s="614">
        <v>479.63</v>
      </c>
      <c r="G3" s="639">
        <v>2763.6</v>
      </c>
      <c r="H3" s="620">
        <v>44412</v>
      </c>
      <c r="I3" s="1917"/>
      <c r="J3" s="1949"/>
      <c r="K3" s="1879"/>
      <c r="L3" s="88"/>
    </row>
    <row r="4" spans="1:13" ht="15.75" customHeight="1">
      <c r="A4" s="620">
        <v>44448</v>
      </c>
      <c r="B4" s="1124" t="s">
        <v>522</v>
      </c>
      <c r="C4" s="1124" t="s">
        <v>4393</v>
      </c>
      <c r="D4" s="621" t="s">
        <v>591</v>
      </c>
      <c r="E4" s="613">
        <v>294.17</v>
      </c>
      <c r="F4" s="614">
        <v>61.78</v>
      </c>
      <c r="G4" s="639">
        <v>355.95</v>
      </c>
      <c r="H4" s="620">
        <v>44449</v>
      </c>
      <c r="I4" s="1915">
        <v>778</v>
      </c>
      <c r="J4" s="1948">
        <v>44522</v>
      </c>
      <c r="K4" s="1879" t="s">
        <v>550</v>
      </c>
      <c r="L4" s="88"/>
    </row>
    <row r="5" spans="1:13" ht="15.75" customHeight="1">
      <c r="A5" s="1918">
        <v>44484</v>
      </c>
      <c r="B5" s="1918" t="s">
        <v>522</v>
      </c>
      <c r="C5" s="1918" t="s">
        <v>4393</v>
      </c>
      <c r="D5" s="1929" t="s">
        <v>592</v>
      </c>
      <c r="E5" s="1915">
        <v>349.42</v>
      </c>
      <c r="F5" s="1912">
        <v>73.38</v>
      </c>
      <c r="G5" s="639">
        <f>422.8-0.75</f>
        <v>422.05</v>
      </c>
      <c r="H5" s="652">
        <v>44485</v>
      </c>
      <c r="I5" s="1917"/>
      <c r="J5" s="1949"/>
      <c r="K5" s="1879"/>
      <c r="L5" s="88"/>
    </row>
    <row r="6" spans="1:13" s="168" customFormat="1" ht="15.75" customHeight="1">
      <c r="A6" s="1920"/>
      <c r="B6" s="1920"/>
      <c r="C6" s="1920"/>
      <c r="D6" s="1930"/>
      <c r="E6" s="1917"/>
      <c r="F6" s="1914"/>
      <c r="G6" s="639">
        <v>0.75</v>
      </c>
      <c r="H6" s="652">
        <v>44485</v>
      </c>
      <c r="I6" s="1915">
        <v>560</v>
      </c>
      <c r="J6" s="1918">
        <v>44537</v>
      </c>
      <c r="K6" s="1968" t="s">
        <v>550</v>
      </c>
      <c r="L6" s="226"/>
    </row>
    <row r="7" spans="1:13" ht="15.75" customHeight="1">
      <c r="A7" s="1918">
        <v>44512</v>
      </c>
      <c r="B7" s="1918" t="s">
        <v>522</v>
      </c>
      <c r="C7" s="1918" t="s">
        <v>4393</v>
      </c>
      <c r="D7" s="1929" t="s">
        <v>593</v>
      </c>
      <c r="E7" s="1915">
        <v>1691.51</v>
      </c>
      <c r="F7" s="1912">
        <v>355.22</v>
      </c>
      <c r="G7" s="639">
        <v>559.25</v>
      </c>
      <c r="H7" s="652">
        <v>44485</v>
      </c>
      <c r="I7" s="1917"/>
      <c r="J7" s="1920"/>
      <c r="K7" s="1957"/>
      <c r="L7" s="88"/>
    </row>
    <row r="8" spans="1:13" ht="15.75" customHeight="1">
      <c r="A8" s="1920"/>
      <c r="B8" s="1920"/>
      <c r="C8" s="1920"/>
      <c r="D8" s="1930"/>
      <c r="E8" s="1917"/>
      <c r="F8" s="1914"/>
      <c r="G8" s="639">
        <f>2046.73-559.25</f>
        <v>1487.48</v>
      </c>
      <c r="H8" s="652">
        <v>44485</v>
      </c>
      <c r="I8" s="1915">
        <v>2046.73</v>
      </c>
      <c r="J8" s="1948">
        <v>44575</v>
      </c>
      <c r="K8" s="1879" t="s">
        <v>544</v>
      </c>
      <c r="L8" s="88"/>
    </row>
    <row r="9" spans="1:13" ht="15.75" customHeight="1">
      <c r="A9" s="620">
        <v>44539</v>
      </c>
      <c r="B9" s="1124" t="s">
        <v>522</v>
      </c>
      <c r="C9" s="1124" t="s">
        <v>4393</v>
      </c>
      <c r="D9" s="621" t="s">
        <v>596</v>
      </c>
      <c r="E9" s="613">
        <v>261.49</v>
      </c>
      <c r="F9" s="614">
        <v>54.91</v>
      </c>
      <c r="G9" s="639">
        <v>316.39999999999998</v>
      </c>
      <c r="H9" s="620">
        <v>44540</v>
      </c>
      <c r="I9" s="1916"/>
      <c r="J9" s="1949"/>
      <c r="K9" s="1879"/>
      <c r="L9" s="88"/>
    </row>
    <row r="10" spans="1:13" ht="15.75" customHeight="1">
      <c r="A10" s="1918">
        <v>44515</v>
      </c>
      <c r="B10" s="1918" t="s">
        <v>522</v>
      </c>
      <c r="C10" s="1918" t="s">
        <v>4393</v>
      </c>
      <c r="D10" s="1929" t="s">
        <v>597</v>
      </c>
      <c r="E10" s="1915">
        <v>462.81</v>
      </c>
      <c r="F10" s="1912">
        <v>97.19</v>
      </c>
      <c r="G10" s="639">
        <f>560-317.15</f>
        <v>242.85000000000002</v>
      </c>
      <c r="H10" s="620">
        <v>44516</v>
      </c>
      <c r="I10" s="1917"/>
      <c r="J10" s="1949"/>
      <c r="K10" s="1879"/>
      <c r="L10" s="88"/>
    </row>
    <row r="11" spans="1:13" ht="15.75" customHeight="1">
      <c r="A11" s="1920"/>
      <c r="B11" s="1920"/>
      <c r="C11" s="1920"/>
      <c r="D11" s="1930"/>
      <c r="E11" s="1917"/>
      <c r="F11" s="1914"/>
      <c r="G11" s="639">
        <v>317.14999999999998</v>
      </c>
      <c r="H11" s="620">
        <v>44516</v>
      </c>
      <c r="I11" s="658">
        <v>317.14999999999998</v>
      </c>
      <c r="J11" s="620">
        <v>44648</v>
      </c>
      <c r="K11" s="228" t="s">
        <v>1818</v>
      </c>
      <c r="L11" s="88"/>
      <c r="M11" s="190"/>
    </row>
    <row r="12" spans="1:13" ht="15.75" customHeight="1">
      <c r="A12" s="620">
        <v>44554</v>
      </c>
      <c r="B12" s="1124" t="s">
        <v>522</v>
      </c>
      <c r="C12" s="1124" t="s">
        <v>4393</v>
      </c>
      <c r="D12" s="621" t="s">
        <v>598</v>
      </c>
      <c r="E12" s="613">
        <v>455.58</v>
      </c>
      <c r="F12" s="614">
        <v>95.67</v>
      </c>
      <c r="G12" s="639">
        <v>551.25</v>
      </c>
      <c r="H12" s="620">
        <v>44554</v>
      </c>
      <c r="I12" s="658">
        <v>551.25</v>
      </c>
      <c r="J12" s="620">
        <v>44648</v>
      </c>
      <c r="K12" s="228" t="s">
        <v>1818</v>
      </c>
      <c r="L12" s="88"/>
    </row>
    <row r="13" spans="1:13" ht="15.75" customHeight="1">
      <c r="A13" s="620">
        <v>44206</v>
      </c>
      <c r="B13" s="1124" t="s">
        <v>522</v>
      </c>
      <c r="C13" s="1124" t="s">
        <v>4393</v>
      </c>
      <c r="D13" s="621" t="s">
        <v>599</v>
      </c>
      <c r="E13" s="613">
        <v>541.42999999999995</v>
      </c>
      <c r="F13" s="614">
        <v>113.7</v>
      </c>
      <c r="G13" s="639">
        <v>655.13</v>
      </c>
      <c r="H13" s="620">
        <v>44572</v>
      </c>
      <c r="I13" s="658">
        <v>655.13</v>
      </c>
      <c r="J13" s="620">
        <v>44648</v>
      </c>
      <c r="K13" s="228" t="s">
        <v>1818</v>
      </c>
      <c r="L13" s="88"/>
    </row>
    <row r="14" spans="1:13" ht="15.75" customHeight="1">
      <c r="A14" s="620">
        <v>44594</v>
      </c>
      <c r="B14" s="1124" t="s">
        <v>521</v>
      </c>
      <c r="C14" s="1124" t="s">
        <v>4393</v>
      </c>
      <c r="D14" s="621" t="s">
        <v>600</v>
      </c>
      <c r="E14" s="613">
        <v>2530.0700000000002</v>
      </c>
      <c r="F14" s="614">
        <v>531.30999999999995</v>
      </c>
      <c r="G14" s="639">
        <v>3061.38</v>
      </c>
      <c r="H14" s="620">
        <v>44595</v>
      </c>
      <c r="I14" s="658">
        <v>3061.38</v>
      </c>
      <c r="J14" s="620">
        <v>44652</v>
      </c>
      <c r="K14" s="228" t="s">
        <v>1817</v>
      </c>
      <c r="L14" s="88"/>
    </row>
    <row r="15" spans="1:13" ht="15.75" customHeight="1">
      <c r="A15" s="620">
        <v>44620</v>
      </c>
      <c r="B15" s="1124" t="s">
        <v>521</v>
      </c>
      <c r="C15" s="1124" t="s">
        <v>4393</v>
      </c>
      <c r="D15" s="621" t="s">
        <v>602</v>
      </c>
      <c r="E15" s="613">
        <v>804.77</v>
      </c>
      <c r="F15" s="614">
        <v>169</v>
      </c>
      <c r="G15" s="639">
        <v>973.77</v>
      </c>
      <c r="H15" s="620">
        <v>44621</v>
      </c>
      <c r="I15" s="658">
        <v>973.77</v>
      </c>
      <c r="J15" s="620">
        <v>44648</v>
      </c>
      <c r="K15" s="228" t="s">
        <v>1818</v>
      </c>
      <c r="L15" s="88"/>
    </row>
    <row r="16" spans="1:13" ht="15.75" customHeight="1">
      <c r="A16" s="620">
        <v>44636</v>
      </c>
      <c r="B16" s="1124" t="s">
        <v>521</v>
      </c>
      <c r="C16" s="1124" t="s">
        <v>4393</v>
      </c>
      <c r="D16" s="621" t="s">
        <v>1749</v>
      </c>
      <c r="E16" s="613">
        <v>677.47</v>
      </c>
      <c r="F16" s="614">
        <v>142.27000000000001</v>
      </c>
      <c r="G16" s="639">
        <v>819.73</v>
      </c>
      <c r="H16" s="620">
        <v>44637</v>
      </c>
      <c r="I16" s="658">
        <v>819.73</v>
      </c>
      <c r="J16" s="620">
        <v>44697</v>
      </c>
      <c r="K16" s="384" t="s">
        <v>1752</v>
      </c>
      <c r="L16" s="226" t="s">
        <v>2577</v>
      </c>
    </row>
    <row r="17" spans="1:14" s="168" customFormat="1" ht="15.75" customHeight="1">
      <c r="A17" s="620">
        <v>44649</v>
      </c>
      <c r="B17" s="1124" t="s">
        <v>521</v>
      </c>
      <c r="C17" s="1124" t="s">
        <v>4393</v>
      </c>
      <c r="D17" s="621" t="s">
        <v>1805</v>
      </c>
      <c r="E17" s="613">
        <v>1914.93</v>
      </c>
      <c r="F17" s="614">
        <v>402.14</v>
      </c>
      <c r="G17" s="639">
        <v>2317.0700000000002</v>
      </c>
      <c r="H17" s="620">
        <v>44650</v>
      </c>
      <c r="I17" s="658">
        <v>2317.0700000000002</v>
      </c>
      <c r="J17" s="620">
        <v>44708</v>
      </c>
      <c r="K17" s="397" t="s">
        <v>2278</v>
      </c>
      <c r="L17" s="226"/>
      <c r="M17" s="259"/>
      <c r="N17" s="259"/>
    </row>
    <row r="18" spans="1:14" s="168" customFormat="1" ht="15.75" customHeight="1">
      <c r="A18" s="620">
        <v>44650</v>
      </c>
      <c r="B18" s="1124" t="s">
        <v>521</v>
      </c>
      <c r="C18" s="1124" t="s">
        <v>4393</v>
      </c>
      <c r="D18" s="621" t="s">
        <v>1806</v>
      </c>
      <c r="E18" s="613">
        <v>3083.47</v>
      </c>
      <c r="F18" s="614">
        <v>647.53</v>
      </c>
      <c r="G18" s="639">
        <v>3731</v>
      </c>
      <c r="H18" s="620">
        <v>44651</v>
      </c>
      <c r="I18" s="1978">
        <v>5994.8</v>
      </c>
      <c r="J18" s="1918">
        <v>44728</v>
      </c>
      <c r="K18" s="1968" t="s">
        <v>2109</v>
      </c>
      <c r="L18" s="1968"/>
    </row>
    <row r="19" spans="1:14" s="168" customFormat="1" ht="15.75" customHeight="1">
      <c r="A19" s="620">
        <v>44663</v>
      </c>
      <c r="B19" s="1124" t="s">
        <v>521</v>
      </c>
      <c r="C19" s="1124" t="s">
        <v>4393</v>
      </c>
      <c r="D19" s="621" t="s">
        <v>1916</v>
      </c>
      <c r="E19" s="613">
        <v>2344.13</v>
      </c>
      <c r="F19" s="614">
        <v>492.27</v>
      </c>
      <c r="G19" s="639">
        <v>2836.4</v>
      </c>
      <c r="H19" s="620">
        <v>44664</v>
      </c>
      <c r="I19" s="1979"/>
      <c r="J19" s="1919"/>
      <c r="K19" s="1962"/>
      <c r="L19" s="1962"/>
    </row>
    <row r="20" spans="1:14" s="168" customFormat="1" ht="15.75" customHeight="1">
      <c r="A20" s="620">
        <v>44664</v>
      </c>
      <c r="B20" s="1124" t="s">
        <v>521</v>
      </c>
      <c r="C20" s="1124" t="s">
        <v>4393</v>
      </c>
      <c r="D20" s="621" t="s">
        <v>1917</v>
      </c>
      <c r="E20" s="613">
        <v>-473.22</v>
      </c>
      <c r="F20" s="614">
        <v>-99.38</v>
      </c>
      <c r="G20" s="639">
        <v>-572.6</v>
      </c>
      <c r="H20" s="620"/>
      <c r="I20" s="1980"/>
      <c r="J20" s="1920"/>
      <c r="K20" s="1957"/>
      <c r="L20" s="1957"/>
    </row>
    <row r="21" spans="1:14" s="168" customFormat="1" ht="15.75" customHeight="1">
      <c r="A21" s="632">
        <v>44687</v>
      </c>
      <c r="B21" s="1124" t="s">
        <v>521</v>
      </c>
      <c r="C21" s="1124" t="s">
        <v>4393</v>
      </c>
      <c r="D21" s="615" t="s">
        <v>2020</v>
      </c>
      <c r="E21" s="613">
        <v>2006.63</v>
      </c>
      <c r="F21" s="614">
        <v>421.39</v>
      </c>
      <c r="G21" s="611">
        <v>2428.02</v>
      </c>
      <c r="H21" s="632">
        <v>44688</v>
      </c>
      <c r="I21" s="1974">
        <v>2253.7199999999998</v>
      </c>
      <c r="J21" s="1918">
        <v>44784</v>
      </c>
      <c r="K21" s="1968" t="s">
        <v>2713</v>
      </c>
      <c r="L21" s="1968"/>
    </row>
    <row r="22" spans="1:14" s="168" customFormat="1" ht="15.75" customHeight="1">
      <c r="A22" s="632">
        <v>44687</v>
      </c>
      <c r="B22" s="1124" t="s">
        <v>521</v>
      </c>
      <c r="C22" s="1124" t="s">
        <v>4393</v>
      </c>
      <c r="D22" s="615" t="s">
        <v>2021</v>
      </c>
      <c r="E22" s="613">
        <v>59.01</v>
      </c>
      <c r="F22" s="614">
        <v>12.39</v>
      </c>
      <c r="G22" s="611">
        <v>71.400000000000006</v>
      </c>
      <c r="H22" s="632">
        <v>44688</v>
      </c>
      <c r="I22" s="1975"/>
      <c r="J22" s="1919"/>
      <c r="K22" s="1962"/>
      <c r="L22" s="1962"/>
    </row>
    <row r="23" spans="1:14" s="168" customFormat="1" ht="15.75" customHeight="1">
      <c r="A23" s="632">
        <v>44687</v>
      </c>
      <c r="B23" s="1124" t="s">
        <v>521</v>
      </c>
      <c r="C23" s="1124" t="s">
        <v>4393</v>
      </c>
      <c r="D23" s="615" t="s">
        <v>2022</v>
      </c>
      <c r="E23" s="613">
        <v>-203.06</v>
      </c>
      <c r="F23" s="614">
        <v>-42.64</v>
      </c>
      <c r="G23" s="611">
        <v>-245.7</v>
      </c>
      <c r="H23" s="632"/>
      <c r="I23" s="1976"/>
      <c r="J23" s="1920"/>
      <c r="K23" s="1957"/>
      <c r="L23" s="1957"/>
    </row>
    <row r="24" spans="1:14" s="168" customFormat="1" ht="15.75" customHeight="1">
      <c r="A24" s="632">
        <v>44705</v>
      </c>
      <c r="B24" s="1124" t="s">
        <v>521</v>
      </c>
      <c r="C24" s="1124" t="s">
        <v>4393</v>
      </c>
      <c r="D24" s="615" t="s">
        <v>2158</v>
      </c>
      <c r="E24" s="613">
        <v>824.96</v>
      </c>
      <c r="F24" s="614">
        <v>173.24</v>
      </c>
      <c r="G24" s="611">
        <v>998.2</v>
      </c>
      <c r="H24" s="632">
        <v>44706</v>
      </c>
      <c r="I24" s="659">
        <v>998.2</v>
      </c>
      <c r="J24" s="632">
        <v>44768</v>
      </c>
      <c r="K24" s="483" t="s">
        <v>1752</v>
      </c>
      <c r="L24" s="226" t="s">
        <v>2578</v>
      </c>
    </row>
    <row r="25" spans="1:14" s="168" customFormat="1" ht="15.75" customHeight="1">
      <c r="A25" s="632">
        <v>44708</v>
      </c>
      <c r="B25" s="1124" t="s">
        <v>521</v>
      </c>
      <c r="C25" s="1124" t="s">
        <v>4393</v>
      </c>
      <c r="D25" s="615" t="s">
        <v>2159</v>
      </c>
      <c r="E25" s="609">
        <v>1909.09</v>
      </c>
      <c r="F25" s="814">
        <v>400.91</v>
      </c>
      <c r="G25" s="611">
        <v>2310</v>
      </c>
      <c r="H25" s="632">
        <v>44709</v>
      </c>
      <c r="I25" s="659">
        <v>2310</v>
      </c>
      <c r="J25" s="620">
        <v>44791</v>
      </c>
      <c r="K25" s="538" t="s">
        <v>3037</v>
      </c>
      <c r="L25" s="226"/>
    </row>
    <row r="26" spans="1:14" s="168" customFormat="1" ht="15.75" customHeight="1">
      <c r="A26" s="632">
        <v>44719</v>
      </c>
      <c r="B26" s="1124" t="s">
        <v>521</v>
      </c>
      <c r="C26" s="1124" t="s">
        <v>4393</v>
      </c>
      <c r="D26" s="615" t="s">
        <v>2256</v>
      </c>
      <c r="E26" s="613">
        <v>578.29999999999995</v>
      </c>
      <c r="F26" s="614">
        <v>121.44</v>
      </c>
      <c r="G26" s="611">
        <v>699.74</v>
      </c>
      <c r="H26" s="632">
        <v>44720</v>
      </c>
      <c r="I26" s="659">
        <v>699.74</v>
      </c>
      <c r="J26" s="632">
        <v>44768</v>
      </c>
      <c r="K26" s="483" t="s">
        <v>1752</v>
      </c>
      <c r="L26" s="226" t="s">
        <v>2578</v>
      </c>
    </row>
    <row r="27" spans="1:14" s="168" customFormat="1" ht="15.75" customHeight="1">
      <c r="A27" s="632">
        <v>44729</v>
      </c>
      <c r="B27" s="1124" t="s">
        <v>521</v>
      </c>
      <c r="C27" s="1124" t="s">
        <v>4393</v>
      </c>
      <c r="D27" s="615" t="s">
        <v>2279</v>
      </c>
      <c r="E27" s="609">
        <v>1024.75</v>
      </c>
      <c r="F27" s="814">
        <v>215.2</v>
      </c>
      <c r="G27" s="611">
        <v>1239.95</v>
      </c>
      <c r="H27" s="632">
        <v>44730</v>
      </c>
      <c r="I27" s="1981">
        <v>2289.9499999999998</v>
      </c>
      <c r="J27" s="1903">
        <v>44819</v>
      </c>
      <c r="K27" s="1935" t="s">
        <v>3038</v>
      </c>
      <c r="L27" s="1935"/>
    </row>
    <row r="28" spans="1:14" s="168" customFormat="1" ht="15.75" customHeight="1">
      <c r="A28" s="632">
        <v>44732</v>
      </c>
      <c r="B28" s="1124" t="s">
        <v>521</v>
      </c>
      <c r="C28" s="1124" t="s">
        <v>4393</v>
      </c>
      <c r="D28" s="615" t="s">
        <v>2312</v>
      </c>
      <c r="E28" s="609">
        <v>867.77</v>
      </c>
      <c r="F28" s="814">
        <v>182.23</v>
      </c>
      <c r="G28" s="611">
        <v>1050</v>
      </c>
      <c r="H28" s="632">
        <v>44733</v>
      </c>
      <c r="I28" s="1982"/>
      <c r="J28" s="1905"/>
      <c r="K28" s="1947"/>
      <c r="L28" s="1947"/>
    </row>
    <row r="29" spans="1:14" s="168" customFormat="1" ht="15.75" customHeight="1">
      <c r="A29" s="632">
        <v>44735</v>
      </c>
      <c r="B29" s="1124" t="s">
        <v>521</v>
      </c>
      <c r="C29" s="1124" t="s">
        <v>4393</v>
      </c>
      <c r="D29" s="615" t="s">
        <v>2313</v>
      </c>
      <c r="E29" s="613">
        <v>203.06</v>
      </c>
      <c r="F29" s="614">
        <v>42.64</v>
      </c>
      <c r="G29" s="611">
        <v>245.7</v>
      </c>
      <c r="H29" s="632">
        <v>44736</v>
      </c>
      <c r="I29" s="659">
        <v>245.7</v>
      </c>
      <c r="J29" s="632">
        <v>44781</v>
      </c>
      <c r="K29" s="495" t="s">
        <v>1752</v>
      </c>
      <c r="L29" s="226" t="s">
        <v>2712</v>
      </c>
    </row>
    <row r="30" spans="1:14" s="168" customFormat="1" ht="15.75" customHeight="1">
      <c r="A30" s="632">
        <v>44743</v>
      </c>
      <c r="B30" s="1124" t="s">
        <v>521</v>
      </c>
      <c r="C30" s="1124" t="s">
        <v>4393</v>
      </c>
      <c r="D30" s="615" t="s">
        <v>2352</v>
      </c>
      <c r="E30" s="609">
        <v>1623.31</v>
      </c>
      <c r="F30" s="814">
        <v>340.89</v>
      </c>
      <c r="G30" s="611">
        <v>1964.2</v>
      </c>
      <c r="H30" s="632">
        <v>44744</v>
      </c>
      <c r="I30" s="660">
        <v>1964.2</v>
      </c>
      <c r="J30" s="632">
        <v>44811</v>
      </c>
      <c r="K30" s="582" t="s">
        <v>2975</v>
      </c>
      <c r="L30" s="166"/>
    </row>
    <row r="31" spans="1:14" s="168" customFormat="1" ht="15.75" customHeight="1">
      <c r="A31" s="632">
        <v>44747.000497685185</v>
      </c>
      <c r="B31" s="1124" t="s">
        <v>521</v>
      </c>
      <c r="C31" s="1124" t="s">
        <v>4393</v>
      </c>
      <c r="D31" s="615" t="s">
        <v>2400</v>
      </c>
      <c r="E31" s="609">
        <v>741.25</v>
      </c>
      <c r="F31" s="814">
        <v>155.66</v>
      </c>
      <c r="G31" s="611">
        <v>896.91</v>
      </c>
      <c r="H31" s="632">
        <v>44748.000497685185</v>
      </c>
      <c r="I31" s="660">
        <v>896.91</v>
      </c>
      <c r="J31" s="632">
        <v>44809</v>
      </c>
      <c r="K31" s="582" t="s">
        <v>2979</v>
      </c>
      <c r="L31" s="166"/>
    </row>
    <row r="32" spans="1:14" s="168" customFormat="1" ht="15.75" customHeight="1">
      <c r="A32" s="896">
        <v>44760.000497685185</v>
      </c>
      <c r="B32" s="1124" t="s">
        <v>521</v>
      </c>
      <c r="C32" s="1124" t="s">
        <v>4393</v>
      </c>
      <c r="D32" s="898" t="s">
        <v>2460</v>
      </c>
      <c r="E32" s="900">
        <v>97.19</v>
      </c>
      <c r="F32" s="895">
        <v>20.41</v>
      </c>
      <c r="G32" s="611">
        <v>117.6</v>
      </c>
      <c r="H32" s="896">
        <v>44761</v>
      </c>
      <c r="I32" s="1915">
        <v>3030.23</v>
      </c>
      <c r="J32" s="1918">
        <v>44873</v>
      </c>
      <c r="K32" s="1968" t="s">
        <v>3465</v>
      </c>
      <c r="L32" s="1968"/>
    </row>
    <row r="33" spans="1:12" s="168" customFormat="1" ht="15.75" customHeight="1">
      <c r="A33" s="896">
        <v>44761.000497685185</v>
      </c>
      <c r="B33" s="1124" t="s">
        <v>521</v>
      </c>
      <c r="C33" s="1124" t="s">
        <v>4393</v>
      </c>
      <c r="D33" s="898" t="s">
        <v>2461</v>
      </c>
      <c r="E33" s="900">
        <v>303.72000000000003</v>
      </c>
      <c r="F33" s="895">
        <v>63.78</v>
      </c>
      <c r="G33" s="611">
        <v>367.5</v>
      </c>
      <c r="H33" s="896">
        <v>44762</v>
      </c>
      <c r="I33" s="1916"/>
      <c r="J33" s="1919"/>
      <c r="K33" s="1962"/>
      <c r="L33" s="1962"/>
    </row>
    <row r="34" spans="1:12" s="168" customFormat="1" ht="15.75" customHeight="1">
      <c r="A34" s="896">
        <v>44768</v>
      </c>
      <c r="B34" s="1124" t="s">
        <v>521</v>
      </c>
      <c r="C34" s="1124" t="s">
        <v>4393</v>
      </c>
      <c r="D34" s="898" t="s">
        <v>2523</v>
      </c>
      <c r="E34" s="900">
        <v>782.32</v>
      </c>
      <c r="F34" s="895">
        <v>164.29</v>
      </c>
      <c r="G34" s="611">
        <v>946.61</v>
      </c>
      <c r="H34" s="896">
        <v>44769</v>
      </c>
      <c r="I34" s="1916"/>
      <c r="J34" s="1919"/>
      <c r="K34" s="1962"/>
      <c r="L34" s="1962"/>
    </row>
    <row r="35" spans="1:12" s="168" customFormat="1" ht="15.75" customHeight="1">
      <c r="A35" s="896">
        <v>44795</v>
      </c>
      <c r="B35" s="1124" t="s">
        <v>521</v>
      </c>
      <c r="C35" s="1124" t="s">
        <v>4393</v>
      </c>
      <c r="D35" s="898" t="s">
        <v>2828</v>
      </c>
      <c r="E35" s="900">
        <v>678.71</v>
      </c>
      <c r="F35" s="895">
        <v>142.53</v>
      </c>
      <c r="G35" s="611">
        <v>821.24</v>
      </c>
      <c r="H35" s="896">
        <v>44796</v>
      </c>
      <c r="I35" s="1916"/>
      <c r="J35" s="1919"/>
      <c r="K35" s="1962"/>
      <c r="L35" s="1962"/>
    </row>
    <row r="36" spans="1:12" s="168" customFormat="1" ht="15.75" customHeight="1">
      <c r="A36" s="896">
        <v>44803</v>
      </c>
      <c r="B36" s="1124" t="s">
        <v>521</v>
      </c>
      <c r="C36" s="1124" t="s">
        <v>4393</v>
      </c>
      <c r="D36" s="898" t="s">
        <v>2893</v>
      </c>
      <c r="E36" s="900">
        <v>642.38</v>
      </c>
      <c r="F36" s="895">
        <v>134.9</v>
      </c>
      <c r="G36" s="611">
        <v>777.28</v>
      </c>
      <c r="H36" s="896">
        <v>44804</v>
      </c>
      <c r="I36" s="1917"/>
      <c r="J36" s="1920"/>
      <c r="K36" s="1957"/>
      <c r="L36" s="1957"/>
    </row>
    <row r="37" spans="1:12" s="168" customFormat="1" ht="15.75" customHeight="1">
      <c r="A37" s="991">
        <v>44762.000497685185</v>
      </c>
      <c r="B37" s="1124" t="s">
        <v>521</v>
      </c>
      <c r="C37" s="1124" t="s">
        <v>4393</v>
      </c>
      <c r="D37" s="992" t="s">
        <v>2462</v>
      </c>
      <c r="E37" s="993">
        <v>971.55</v>
      </c>
      <c r="F37" s="990">
        <v>204.03</v>
      </c>
      <c r="G37" s="611">
        <v>1175.58</v>
      </c>
      <c r="H37" s="991">
        <v>44763</v>
      </c>
      <c r="I37" s="1923">
        <v>2648.73</v>
      </c>
      <c r="J37" s="1918">
        <v>44907</v>
      </c>
      <c r="K37" s="1935" t="s">
        <v>2945</v>
      </c>
      <c r="L37" s="226"/>
    </row>
    <row r="38" spans="1:12" s="168" customFormat="1" ht="15.75" customHeight="1">
      <c r="A38" s="991">
        <v>44823</v>
      </c>
      <c r="B38" s="1124" t="s">
        <v>521</v>
      </c>
      <c r="C38" s="1124" t="s">
        <v>4393</v>
      </c>
      <c r="D38" s="992" t="s">
        <v>3046</v>
      </c>
      <c r="E38" s="993">
        <v>1217.48</v>
      </c>
      <c r="F38" s="990">
        <v>255.67</v>
      </c>
      <c r="G38" s="611">
        <v>1473.15</v>
      </c>
      <c r="H38" s="991">
        <v>44824</v>
      </c>
      <c r="I38" s="1924"/>
      <c r="J38" s="1920"/>
      <c r="K38" s="1947"/>
      <c r="L38" s="226"/>
    </row>
    <row r="39" spans="1:12" s="168" customFormat="1" ht="15.75" customHeight="1">
      <c r="A39" s="931">
        <v>44831</v>
      </c>
      <c r="B39" s="1124" t="s">
        <v>521</v>
      </c>
      <c r="C39" s="1124" t="s">
        <v>4393</v>
      </c>
      <c r="D39" s="936" t="s">
        <v>3142</v>
      </c>
      <c r="E39" s="950">
        <v>705.18</v>
      </c>
      <c r="F39" s="930">
        <v>0</v>
      </c>
      <c r="G39" s="611">
        <v>705.18</v>
      </c>
      <c r="H39" s="931">
        <v>44832.000497685185</v>
      </c>
      <c r="I39" s="611">
        <v>705.18</v>
      </c>
      <c r="J39" s="620">
        <v>44893</v>
      </c>
      <c r="K39" s="925" t="s">
        <v>3634</v>
      </c>
      <c r="L39" s="226"/>
    </row>
    <row r="40" spans="1:12" s="168" customFormat="1" ht="15.75" customHeight="1">
      <c r="A40" s="1015">
        <v>44834</v>
      </c>
      <c r="B40" s="1124" t="s">
        <v>521</v>
      </c>
      <c r="C40" s="1124" t="s">
        <v>4393</v>
      </c>
      <c r="D40" s="1016" t="s">
        <v>3143</v>
      </c>
      <c r="E40" s="1017">
        <v>954.55</v>
      </c>
      <c r="F40" s="1014">
        <v>200.46</v>
      </c>
      <c r="G40" s="611">
        <v>1155</v>
      </c>
      <c r="H40" s="1015">
        <v>44835.000497685185</v>
      </c>
      <c r="I40" s="1923">
        <v>2305.31</v>
      </c>
      <c r="J40" s="1918">
        <v>44925</v>
      </c>
      <c r="K40" s="1968" t="s">
        <v>3839</v>
      </c>
      <c r="L40" s="226"/>
    </row>
    <row r="41" spans="1:12" s="168" customFormat="1" ht="15.75" customHeight="1">
      <c r="A41" s="1015">
        <v>44851.000497685185</v>
      </c>
      <c r="B41" s="1124" t="s">
        <v>521</v>
      </c>
      <c r="C41" s="1124" t="s">
        <v>4393</v>
      </c>
      <c r="D41" s="1016" t="s">
        <v>3284</v>
      </c>
      <c r="E41" s="1017">
        <v>950.67</v>
      </c>
      <c r="F41" s="1014">
        <v>199.64</v>
      </c>
      <c r="G41" s="611">
        <v>1150.31</v>
      </c>
      <c r="H41" s="1015">
        <v>44852.000497685185</v>
      </c>
      <c r="I41" s="1924"/>
      <c r="J41" s="1920"/>
      <c r="K41" s="1957"/>
      <c r="L41" s="226"/>
    </row>
    <row r="42" spans="1:12" s="168" customFormat="1" ht="15.75" customHeight="1">
      <c r="A42" s="931">
        <v>44862</v>
      </c>
      <c r="B42" s="1124" t="s">
        <v>521</v>
      </c>
      <c r="C42" s="1124" t="s">
        <v>4393</v>
      </c>
      <c r="D42" s="936" t="s">
        <v>3334</v>
      </c>
      <c r="E42" s="950">
        <v>114.55</v>
      </c>
      <c r="F42" s="930">
        <v>24.06</v>
      </c>
      <c r="G42" s="611">
        <v>138.6</v>
      </c>
      <c r="H42" s="931">
        <v>44863</v>
      </c>
      <c r="I42" s="611">
        <v>138.6</v>
      </c>
      <c r="J42" s="931">
        <v>44893</v>
      </c>
      <c r="K42" s="925" t="s">
        <v>3635</v>
      </c>
      <c r="L42" s="226"/>
    </row>
    <row r="43" spans="1:12" s="168" customFormat="1" ht="15.75" customHeight="1">
      <c r="A43" s="1108">
        <v>44879</v>
      </c>
      <c r="B43" s="1124" t="s">
        <v>521</v>
      </c>
      <c r="C43" s="1124" t="s">
        <v>4393</v>
      </c>
      <c r="D43" s="1109" t="s">
        <v>3474</v>
      </c>
      <c r="E43" s="1110">
        <v>2530.29</v>
      </c>
      <c r="F43" s="1107">
        <v>0</v>
      </c>
      <c r="G43" s="611">
        <v>2530.29</v>
      </c>
      <c r="H43" s="1108">
        <v>44880</v>
      </c>
      <c r="I43" s="1951">
        <v>4234.8999999999996</v>
      </c>
      <c r="J43" s="1903">
        <v>44960</v>
      </c>
      <c r="K43" s="1935" t="s">
        <v>4752</v>
      </c>
      <c r="L43" s="226"/>
    </row>
    <row r="44" spans="1:12" s="168" customFormat="1" ht="15.75" customHeight="1">
      <c r="A44" s="1108">
        <v>44894</v>
      </c>
      <c r="B44" s="1124" t="s">
        <v>521</v>
      </c>
      <c r="C44" s="1124" t="s">
        <v>4393</v>
      </c>
      <c r="D44" s="1109" t="s">
        <v>3589</v>
      </c>
      <c r="E44" s="1110">
        <v>1249.67</v>
      </c>
      <c r="F44" s="1107">
        <v>262.43</v>
      </c>
      <c r="G44" s="611">
        <v>1512.11</v>
      </c>
      <c r="H44" s="1108">
        <v>44895</v>
      </c>
      <c r="I44" s="1952"/>
      <c r="J44" s="1904"/>
      <c r="K44" s="1950"/>
      <c r="L44" s="226"/>
    </row>
    <row r="45" spans="1:12" s="168" customFormat="1" ht="15.75" customHeight="1">
      <c r="A45" s="1108">
        <v>44894</v>
      </c>
      <c r="B45" s="1124" t="s">
        <v>521</v>
      </c>
      <c r="C45" s="1124" t="s">
        <v>4393</v>
      </c>
      <c r="D45" s="1109" t="s">
        <v>3590</v>
      </c>
      <c r="E45" s="1110">
        <v>159.09</v>
      </c>
      <c r="F45" s="1107">
        <v>33.409999999999997</v>
      </c>
      <c r="G45" s="611">
        <v>192.5</v>
      </c>
      <c r="H45" s="1108">
        <v>44895</v>
      </c>
      <c r="I45" s="1953"/>
      <c r="J45" s="1905"/>
      <c r="K45" s="1947"/>
      <c r="L45" s="226"/>
    </row>
    <row r="46" spans="1:12" s="168" customFormat="1" ht="15.75" customHeight="1">
      <c r="A46" s="1101">
        <v>44901.000497685185</v>
      </c>
      <c r="B46" s="1124" t="s">
        <v>521</v>
      </c>
      <c r="C46" s="1124" t="s">
        <v>4393</v>
      </c>
      <c r="D46" s="1102" t="s">
        <v>3653</v>
      </c>
      <c r="E46" s="1103">
        <v>531.36</v>
      </c>
      <c r="F46" s="1100">
        <v>0</v>
      </c>
      <c r="G46" s="611">
        <v>531.36</v>
      </c>
      <c r="H46" s="1101">
        <v>44902</v>
      </c>
      <c r="I46" s="1927">
        <v>0</v>
      </c>
      <c r="J46" s="1918">
        <v>44916</v>
      </c>
      <c r="K46" s="1968" t="s">
        <v>4016</v>
      </c>
      <c r="L46" s="226" t="s">
        <v>3654</v>
      </c>
    </row>
    <row r="47" spans="1:12" s="168" customFormat="1" ht="15.75" customHeight="1">
      <c r="A47" s="1101">
        <v>44916</v>
      </c>
      <c r="B47" s="1124" t="s">
        <v>521</v>
      </c>
      <c r="C47" s="1124" t="s">
        <v>4393</v>
      </c>
      <c r="D47" s="1102" t="s">
        <v>3738</v>
      </c>
      <c r="E47" s="1103">
        <v>-531.36</v>
      </c>
      <c r="F47" s="1100">
        <v>0</v>
      </c>
      <c r="G47" s="611">
        <v>-531.36</v>
      </c>
      <c r="H47" s="1101">
        <v>44917</v>
      </c>
      <c r="I47" s="1928"/>
      <c r="J47" s="1920"/>
      <c r="K47" s="1957"/>
      <c r="L47" s="226" t="s">
        <v>3740</v>
      </c>
    </row>
    <row r="48" spans="1:12" s="168" customFormat="1" ht="15.75" customHeight="1">
      <c r="A48" s="1294">
        <v>44916</v>
      </c>
      <c r="B48" s="1294" t="s">
        <v>521</v>
      </c>
      <c r="C48" s="1294" t="s">
        <v>4393</v>
      </c>
      <c r="D48" s="1297" t="s">
        <v>3739</v>
      </c>
      <c r="E48" s="1301">
        <v>1471.04</v>
      </c>
      <c r="F48" s="1293">
        <v>308.92</v>
      </c>
      <c r="G48" s="611">
        <v>1779.96</v>
      </c>
      <c r="H48" s="1294">
        <v>44917</v>
      </c>
      <c r="I48" s="1923">
        <v>3825.85</v>
      </c>
      <c r="J48" s="1918">
        <v>45030</v>
      </c>
      <c r="K48" s="1968" t="s">
        <v>4996</v>
      </c>
      <c r="L48" s="226"/>
    </row>
    <row r="49" spans="1:12" s="168" customFormat="1" ht="15.75" customHeight="1">
      <c r="A49" s="1294">
        <v>44951</v>
      </c>
      <c r="B49" s="1294" t="s">
        <v>2644</v>
      </c>
      <c r="C49" s="1294" t="s">
        <v>4393</v>
      </c>
      <c r="D49" s="1297" t="s">
        <v>3939</v>
      </c>
      <c r="E49" s="1301">
        <v>1690.82</v>
      </c>
      <c r="F49" s="1293">
        <v>355.07</v>
      </c>
      <c r="G49" s="611">
        <v>2045.89</v>
      </c>
      <c r="H49" s="1294">
        <v>45011</v>
      </c>
      <c r="I49" s="1924"/>
      <c r="J49" s="1920"/>
      <c r="K49" s="1957"/>
      <c r="L49" s="226"/>
    </row>
    <row r="50" spans="1:12" s="168" customFormat="1" ht="15.75" customHeight="1">
      <c r="A50" s="1377">
        <v>44964</v>
      </c>
      <c r="B50" s="1377" t="s">
        <v>2644</v>
      </c>
      <c r="C50" s="1377" t="s">
        <v>4393</v>
      </c>
      <c r="D50" s="1380" t="s">
        <v>4051</v>
      </c>
      <c r="E50" s="1382">
        <v>988.39</v>
      </c>
      <c r="F50" s="1376">
        <v>207.56</v>
      </c>
      <c r="G50" s="611">
        <v>1195.95</v>
      </c>
      <c r="H50" s="1377">
        <v>44965</v>
      </c>
      <c r="I50" s="1951">
        <v>3877.44</v>
      </c>
      <c r="J50" s="1903">
        <v>45057</v>
      </c>
      <c r="K50" s="1935" t="s">
        <v>5875</v>
      </c>
      <c r="L50" s="226"/>
    </row>
    <row r="51" spans="1:12" s="168" customFormat="1" ht="15.75" customHeight="1">
      <c r="A51" s="1377">
        <v>44972</v>
      </c>
      <c r="B51" s="1377" t="s">
        <v>2644</v>
      </c>
      <c r="C51" s="1377" t="s">
        <v>4393</v>
      </c>
      <c r="D51" s="1380" t="s">
        <v>4150</v>
      </c>
      <c r="E51" s="1382">
        <v>924.46</v>
      </c>
      <c r="F51" s="1376">
        <v>194.14</v>
      </c>
      <c r="G51" s="611">
        <v>1118.5999999999999</v>
      </c>
      <c r="H51" s="1377">
        <v>45017</v>
      </c>
      <c r="I51" s="1952"/>
      <c r="J51" s="1904"/>
      <c r="K51" s="1950"/>
      <c r="L51" s="226"/>
    </row>
    <row r="52" spans="1:12" s="168" customFormat="1" ht="15.75" customHeight="1">
      <c r="A52" s="1377">
        <v>44986</v>
      </c>
      <c r="B52" s="1377" t="s">
        <v>2644</v>
      </c>
      <c r="C52" s="1377" t="s">
        <v>4393</v>
      </c>
      <c r="D52" s="1380" t="s">
        <v>4337</v>
      </c>
      <c r="E52" s="1382">
        <v>1321.15</v>
      </c>
      <c r="F52" s="1376">
        <v>277.44</v>
      </c>
      <c r="G52" s="611">
        <v>1598.59</v>
      </c>
      <c r="H52" s="1377">
        <v>45031</v>
      </c>
      <c r="I52" s="1952"/>
      <c r="J52" s="1904"/>
      <c r="K52" s="1950"/>
      <c r="L52" s="226"/>
    </row>
    <row r="53" spans="1:12" s="168" customFormat="1" ht="15.75" customHeight="1">
      <c r="A53" s="1377">
        <v>44987</v>
      </c>
      <c r="B53" s="1377" t="s">
        <v>2644</v>
      </c>
      <c r="C53" s="1377" t="s">
        <v>4393</v>
      </c>
      <c r="D53" s="1380" t="s">
        <v>4338</v>
      </c>
      <c r="E53" s="1382">
        <v>-29.5</v>
      </c>
      <c r="F53" s="1376">
        <v>-6.2</v>
      </c>
      <c r="G53" s="611">
        <v>-35.700000000000003</v>
      </c>
      <c r="H53" s="1377"/>
      <c r="I53" s="1953"/>
      <c r="J53" s="1905"/>
      <c r="K53" s="1947"/>
      <c r="L53" s="226"/>
    </row>
    <row r="54" spans="1:12" s="168" customFormat="1" ht="15.75" customHeight="1">
      <c r="A54" s="1601">
        <v>44998</v>
      </c>
      <c r="B54" s="1601" t="s">
        <v>2644</v>
      </c>
      <c r="C54" s="1601" t="s">
        <v>4393</v>
      </c>
      <c r="D54" s="1606" t="s">
        <v>4483</v>
      </c>
      <c r="E54" s="1611">
        <v>1053.07</v>
      </c>
      <c r="F54" s="1600">
        <v>221.14</v>
      </c>
      <c r="G54" s="611">
        <v>1274.21</v>
      </c>
      <c r="H54" s="1601">
        <v>45058</v>
      </c>
      <c r="I54" s="1951">
        <v>6447.92</v>
      </c>
      <c r="J54" s="1903">
        <v>45148</v>
      </c>
      <c r="K54" s="1935" t="s">
        <v>6016</v>
      </c>
      <c r="L54" s="226"/>
    </row>
    <row r="55" spans="1:12" s="168" customFormat="1" ht="15.75" customHeight="1">
      <c r="A55" s="1601">
        <v>45002</v>
      </c>
      <c r="B55" s="1601" t="s">
        <v>2644</v>
      </c>
      <c r="C55" s="1601" t="s">
        <v>4393</v>
      </c>
      <c r="D55" s="1606" t="s">
        <v>4484</v>
      </c>
      <c r="E55" s="1611">
        <v>38.18</v>
      </c>
      <c r="F55" s="1600">
        <v>8.02</v>
      </c>
      <c r="G55" s="611">
        <v>46.2</v>
      </c>
      <c r="H55" s="1601">
        <v>45062</v>
      </c>
      <c r="I55" s="1952"/>
      <c r="J55" s="1904"/>
      <c r="K55" s="1950"/>
      <c r="L55" s="226"/>
    </row>
    <row r="56" spans="1:12" s="168" customFormat="1" ht="15.75" customHeight="1">
      <c r="A56" s="1601">
        <v>45002</v>
      </c>
      <c r="B56" s="1601" t="s">
        <v>2644</v>
      </c>
      <c r="C56" s="1601" t="s">
        <v>5876</v>
      </c>
      <c r="D56" s="1606" t="s">
        <v>4485</v>
      </c>
      <c r="E56" s="1611">
        <v>1168.1400000000001</v>
      </c>
      <c r="F56" s="1600">
        <v>245.31</v>
      </c>
      <c r="G56" s="611">
        <v>1413.45</v>
      </c>
      <c r="H56" s="1601">
        <v>45062</v>
      </c>
      <c r="I56" s="1952"/>
      <c r="J56" s="1904"/>
      <c r="K56" s="1950"/>
      <c r="L56" s="226"/>
    </row>
    <row r="57" spans="1:12" s="168" customFormat="1" ht="15.75" customHeight="1">
      <c r="A57" s="1601">
        <v>45015</v>
      </c>
      <c r="B57" s="1601" t="s">
        <v>2644</v>
      </c>
      <c r="C57" s="1601" t="s">
        <v>4393</v>
      </c>
      <c r="D57" s="1606" t="s">
        <v>4619</v>
      </c>
      <c r="E57" s="1611">
        <v>1822.31</v>
      </c>
      <c r="F57" s="1600">
        <v>382.69</v>
      </c>
      <c r="G57" s="611">
        <v>2205</v>
      </c>
      <c r="H57" s="1601">
        <v>45075</v>
      </c>
      <c r="I57" s="1952"/>
      <c r="J57" s="1904"/>
      <c r="K57" s="1950"/>
      <c r="L57" s="226"/>
    </row>
    <row r="58" spans="1:12" s="168" customFormat="1" ht="15.75" customHeight="1">
      <c r="A58" s="1601">
        <v>45015</v>
      </c>
      <c r="B58" s="1601" t="s">
        <v>2644</v>
      </c>
      <c r="C58" s="1601" t="s">
        <v>4393</v>
      </c>
      <c r="D58" s="1606" t="s">
        <v>4620</v>
      </c>
      <c r="E58" s="1611">
        <v>1247.1600000000001</v>
      </c>
      <c r="F58" s="1600">
        <v>261.89999999999998</v>
      </c>
      <c r="G58" s="611">
        <v>1509.06</v>
      </c>
      <c r="H58" s="1601">
        <v>45075</v>
      </c>
      <c r="I58" s="1953"/>
      <c r="J58" s="1905"/>
      <c r="K58" s="1947"/>
      <c r="L58" s="226"/>
    </row>
    <row r="59" spans="1:12" s="168" customFormat="1" ht="15.75" customHeight="1">
      <c r="A59" s="1527">
        <v>45006</v>
      </c>
      <c r="B59" s="1527" t="s">
        <v>2644</v>
      </c>
      <c r="C59" s="1527" t="s">
        <v>4393</v>
      </c>
      <c r="D59" s="1530" t="s">
        <v>4532</v>
      </c>
      <c r="E59" s="1533">
        <v>746.63</v>
      </c>
      <c r="F59" s="1526">
        <v>156.79</v>
      </c>
      <c r="G59" s="611">
        <v>903.42</v>
      </c>
      <c r="H59" s="1527">
        <v>45066</v>
      </c>
      <c r="I59" s="611">
        <v>903.42</v>
      </c>
      <c r="J59" s="1527">
        <v>45117</v>
      </c>
      <c r="K59" s="1528" t="s">
        <v>5600</v>
      </c>
      <c r="L59" s="226"/>
    </row>
    <row r="60" spans="1:12" s="168" customFormat="1" ht="15.75" customHeight="1">
      <c r="A60" s="1527">
        <v>45014</v>
      </c>
      <c r="B60" s="1527" t="s">
        <v>2644</v>
      </c>
      <c r="C60" s="1527" t="s">
        <v>4393</v>
      </c>
      <c r="D60" s="1530" t="s">
        <v>4618</v>
      </c>
      <c r="E60" s="1533">
        <v>-2.0699999999999998</v>
      </c>
      <c r="F60" s="1526">
        <v>0</v>
      </c>
      <c r="G60" s="611">
        <v>-2.0699999999999998</v>
      </c>
      <c r="H60" s="1527"/>
      <c r="I60" s="1958">
        <v>-24.54</v>
      </c>
      <c r="J60" s="1918">
        <v>45121</v>
      </c>
      <c r="K60" s="1968" t="s">
        <v>5601</v>
      </c>
      <c r="L60" s="226"/>
    </row>
    <row r="61" spans="1:12" s="168" customFormat="1" ht="15.75" customHeight="1">
      <c r="A61" s="1527">
        <v>45020</v>
      </c>
      <c r="B61" s="1527" t="s">
        <v>2644</v>
      </c>
      <c r="C61" s="1527" t="s">
        <v>4393</v>
      </c>
      <c r="D61" s="1530" t="s">
        <v>4668</v>
      </c>
      <c r="E61" s="1533">
        <v>-18.57</v>
      </c>
      <c r="F61" s="1526">
        <v>-3.9</v>
      </c>
      <c r="G61" s="611">
        <v>-22.47</v>
      </c>
      <c r="H61" s="1527"/>
      <c r="I61" s="1959"/>
      <c r="J61" s="1920"/>
      <c r="K61" s="1957"/>
      <c r="L61" s="226"/>
    </row>
    <row r="62" spans="1:12" s="168" customFormat="1" ht="15.75" customHeight="1">
      <c r="A62" s="1527">
        <v>45034</v>
      </c>
      <c r="B62" s="1527" t="s">
        <v>2644</v>
      </c>
      <c r="C62" s="1527" t="s">
        <v>4393</v>
      </c>
      <c r="D62" s="1530" t="s">
        <v>4778</v>
      </c>
      <c r="E62" s="1533">
        <v>657.16</v>
      </c>
      <c r="F62" s="1526">
        <v>138</v>
      </c>
      <c r="G62" s="611">
        <v>795.16</v>
      </c>
      <c r="H62" s="1527">
        <v>45094</v>
      </c>
      <c r="I62" s="1958">
        <v>2170.0300000000002</v>
      </c>
      <c r="J62" s="1918">
        <v>45121</v>
      </c>
      <c r="K62" s="1968" t="s">
        <v>5602</v>
      </c>
      <c r="L62" s="226"/>
    </row>
    <row r="63" spans="1:12" s="168" customFormat="1" ht="15.75" customHeight="1">
      <c r="A63" s="1527">
        <v>45035</v>
      </c>
      <c r="B63" s="1527" t="s">
        <v>2644</v>
      </c>
      <c r="C63" s="1527" t="s">
        <v>4393</v>
      </c>
      <c r="D63" s="1530" t="s">
        <v>4779</v>
      </c>
      <c r="E63" s="1533">
        <v>538.54</v>
      </c>
      <c r="F63" s="1526">
        <v>113.09</v>
      </c>
      <c r="G63" s="611">
        <v>651.63</v>
      </c>
      <c r="H63" s="1527">
        <v>45036</v>
      </c>
      <c r="I63" s="1966"/>
      <c r="J63" s="1919"/>
      <c r="K63" s="1962"/>
      <c r="L63" s="226"/>
    </row>
    <row r="64" spans="1:12" s="168" customFormat="1" ht="15.75" customHeight="1">
      <c r="A64" s="1527">
        <v>45041</v>
      </c>
      <c r="B64" s="1527" t="s">
        <v>2644</v>
      </c>
      <c r="C64" s="1527" t="s">
        <v>4393</v>
      </c>
      <c r="D64" s="1530" t="s">
        <v>4858</v>
      </c>
      <c r="E64" s="1533">
        <v>597.72</v>
      </c>
      <c r="F64" s="1526">
        <v>125.52</v>
      </c>
      <c r="G64" s="611">
        <v>723.24</v>
      </c>
      <c r="H64" s="1527">
        <v>45101</v>
      </c>
      <c r="I64" s="1959"/>
      <c r="J64" s="1920"/>
      <c r="K64" s="1957"/>
      <c r="L64" s="226"/>
    </row>
    <row r="65" spans="1:12" s="168" customFormat="1" ht="15.75" customHeight="1">
      <c r="A65" s="1679">
        <v>45058</v>
      </c>
      <c r="B65" s="1679" t="s">
        <v>2644</v>
      </c>
      <c r="C65" s="1679" t="s">
        <v>4393</v>
      </c>
      <c r="D65" s="1682" t="s">
        <v>4952</v>
      </c>
      <c r="E65" s="1689">
        <v>1377.27</v>
      </c>
      <c r="F65" s="1678">
        <v>289.23</v>
      </c>
      <c r="G65" s="611">
        <v>1666.5</v>
      </c>
      <c r="H65" s="1679">
        <v>45118</v>
      </c>
      <c r="I65" s="1951">
        <v>2829.63</v>
      </c>
      <c r="J65" s="1903">
        <v>45177</v>
      </c>
      <c r="K65" s="1935" t="s">
        <v>6017</v>
      </c>
      <c r="L65" s="226"/>
    </row>
    <row r="66" spans="1:12" s="168" customFormat="1" ht="15.75" customHeight="1">
      <c r="A66" s="1679">
        <v>45063</v>
      </c>
      <c r="B66" s="1679" t="s">
        <v>2644</v>
      </c>
      <c r="C66" s="1679" t="s">
        <v>4393</v>
      </c>
      <c r="D66" s="1682" t="s">
        <v>5070</v>
      </c>
      <c r="E66" s="1689">
        <v>961.26</v>
      </c>
      <c r="F66" s="1678">
        <v>201.87</v>
      </c>
      <c r="G66" s="611">
        <v>1163.1300000000001</v>
      </c>
      <c r="H66" s="1679">
        <v>45123</v>
      </c>
      <c r="I66" s="1953"/>
      <c r="J66" s="1905"/>
      <c r="K66" s="1947"/>
      <c r="L66" s="226"/>
    </row>
    <row r="67" spans="1:12" s="168" customFormat="1" ht="15.75" customHeight="1">
      <c r="A67" s="1768">
        <v>45083</v>
      </c>
      <c r="B67" s="1768" t="s">
        <v>2644</v>
      </c>
      <c r="C67" s="1768" t="s">
        <v>4393</v>
      </c>
      <c r="D67" s="1769" t="s">
        <v>5298</v>
      </c>
      <c r="E67" s="1773">
        <v>1821.85</v>
      </c>
      <c r="F67" s="1767">
        <v>382.59</v>
      </c>
      <c r="G67" s="611">
        <v>2204.44</v>
      </c>
      <c r="H67" s="1768">
        <v>45143</v>
      </c>
      <c r="I67" s="1951">
        <v>3595.62</v>
      </c>
      <c r="J67" s="1903">
        <v>45205</v>
      </c>
      <c r="K67" s="1935" t="s">
        <v>2109</v>
      </c>
      <c r="L67" s="226"/>
    </row>
    <row r="68" spans="1:12" s="168" customFormat="1" ht="15.75" customHeight="1">
      <c r="A68" s="1768">
        <v>45111</v>
      </c>
      <c r="B68" s="1768" t="s">
        <v>2644</v>
      </c>
      <c r="C68" s="1768" t="s">
        <v>4393</v>
      </c>
      <c r="D68" s="1769" t="s">
        <v>5532</v>
      </c>
      <c r="E68" s="1773">
        <v>1149.74</v>
      </c>
      <c r="F68" s="1767">
        <v>241.44</v>
      </c>
      <c r="G68" s="611">
        <v>1391.18</v>
      </c>
      <c r="H68" s="1768">
        <v>45171</v>
      </c>
      <c r="I68" s="1953"/>
      <c r="J68" s="1905"/>
      <c r="K68" s="1947"/>
      <c r="L68" s="226"/>
    </row>
    <row r="69" spans="1:12" s="168" customFormat="1" ht="15.75" customHeight="1">
      <c r="A69" s="623">
        <v>45134</v>
      </c>
      <c r="B69" s="623" t="s">
        <v>2644</v>
      </c>
      <c r="C69" s="623" t="s">
        <v>4393</v>
      </c>
      <c r="D69" s="624" t="s">
        <v>5680</v>
      </c>
      <c r="E69" s="603">
        <v>615.41999999999996</v>
      </c>
      <c r="F69" s="604">
        <v>129.24</v>
      </c>
      <c r="G69" s="605">
        <v>744.66</v>
      </c>
      <c r="H69" s="623">
        <v>45194</v>
      </c>
      <c r="I69" s="639"/>
      <c r="J69" s="1454"/>
      <c r="K69" s="1451"/>
      <c r="L69" s="226"/>
    </row>
    <row r="70" spans="1:12" s="168" customFormat="1" ht="15.75" customHeight="1">
      <c r="A70" s="623">
        <v>45148</v>
      </c>
      <c r="B70" s="623" t="s">
        <v>2644</v>
      </c>
      <c r="C70" s="623" t="s">
        <v>4393</v>
      </c>
      <c r="D70" s="624" t="s">
        <v>5855</v>
      </c>
      <c r="E70" s="603">
        <v>1298.4100000000001</v>
      </c>
      <c r="F70" s="604">
        <v>272.67</v>
      </c>
      <c r="G70" s="605">
        <v>1571.07</v>
      </c>
      <c r="H70" s="623">
        <v>45208</v>
      </c>
      <c r="I70" s="639"/>
      <c r="J70" s="1454"/>
      <c r="K70" s="1451"/>
      <c r="L70" s="226"/>
    </row>
    <row r="71" spans="1:12" s="168" customFormat="1" ht="15.75" customHeight="1">
      <c r="A71" s="623">
        <v>45170</v>
      </c>
      <c r="B71" s="623" t="s">
        <v>2644</v>
      </c>
      <c r="C71" s="623" t="s">
        <v>4393</v>
      </c>
      <c r="D71" s="624" t="s">
        <v>5940</v>
      </c>
      <c r="E71" s="603">
        <v>1277.3699999999999</v>
      </c>
      <c r="F71" s="604">
        <v>268.25</v>
      </c>
      <c r="G71" s="605">
        <v>1545.62</v>
      </c>
      <c r="H71" s="623">
        <v>45230.000497685185</v>
      </c>
      <c r="I71" s="639"/>
      <c r="J71" s="1454"/>
      <c r="K71" s="1451"/>
      <c r="L71" s="226"/>
    </row>
    <row r="72" spans="1:12" s="168" customFormat="1" ht="15.75" customHeight="1">
      <c r="A72" s="623">
        <v>45195</v>
      </c>
      <c r="B72" s="623" t="s">
        <v>2644</v>
      </c>
      <c r="C72" s="623" t="s">
        <v>4393</v>
      </c>
      <c r="D72" s="624" t="s">
        <v>6147</v>
      </c>
      <c r="E72" s="603">
        <v>1394.27</v>
      </c>
      <c r="F72" s="604">
        <v>292.8</v>
      </c>
      <c r="G72" s="605">
        <v>1687.07</v>
      </c>
      <c r="H72" s="623">
        <v>45254</v>
      </c>
      <c r="I72" s="639"/>
      <c r="J72" s="1454"/>
      <c r="K72" s="1451"/>
      <c r="L72" s="226"/>
    </row>
    <row r="73" spans="1:12" s="168" customFormat="1" ht="15.75" customHeight="1">
      <c r="A73" s="623">
        <v>45225</v>
      </c>
      <c r="B73" s="623" t="s">
        <v>2644</v>
      </c>
      <c r="C73" s="623" t="s">
        <v>4393</v>
      </c>
      <c r="D73" s="624" t="s">
        <v>6396</v>
      </c>
      <c r="E73" s="603">
        <v>2303.44</v>
      </c>
      <c r="F73" s="604">
        <v>483.72</v>
      </c>
      <c r="G73" s="605">
        <v>2787.16</v>
      </c>
      <c r="H73" s="623">
        <v>45284</v>
      </c>
      <c r="I73" s="639"/>
      <c r="J73" s="1454"/>
      <c r="K73" s="1451"/>
      <c r="L73" s="226"/>
    </row>
    <row r="74" spans="1:12" s="168" customFormat="1" ht="15.75" customHeight="1">
      <c r="A74" s="623">
        <v>45245</v>
      </c>
      <c r="B74" s="623" t="s">
        <v>2644</v>
      </c>
      <c r="C74" s="623" t="s">
        <v>4393</v>
      </c>
      <c r="D74" s="624" t="s">
        <v>6547</v>
      </c>
      <c r="E74" s="603">
        <v>1468.32</v>
      </c>
      <c r="F74" s="604">
        <v>308.35000000000002</v>
      </c>
      <c r="G74" s="605">
        <v>1776.67</v>
      </c>
      <c r="H74" s="623">
        <v>45305</v>
      </c>
      <c r="I74" s="639"/>
      <c r="J74" s="1454"/>
      <c r="K74" s="1451"/>
      <c r="L74" s="226"/>
    </row>
    <row r="75" spans="1:12" s="168" customFormat="1" ht="15.75" customHeight="1">
      <c r="A75" s="623"/>
      <c r="B75" s="623"/>
      <c r="C75" s="623"/>
      <c r="D75" s="624"/>
      <c r="E75" s="603"/>
      <c r="F75" s="604"/>
      <c r="G75" s="605"/>
      <c r="H75" s="623"/>
      <c r="I75" s="639"/>
      <c r="J75" s="1374"/>
      <c r="K75" s="1373"/>
      <c r="L75" s="226"/>
    </row>
    <row r="76" spans="1:12" s="168" customFormat="1" ht="15.75" customHeight="1">
      <c r="A76" s="623"/>
      <c r="B76" s="623"/>
      <c r="C76" s="623"/>
      <c r="D76" s="624"/>
      <c r="E76" s="603"/>
      <c r="F76" s="604"/>
      <c r="G76" s="605"/>
      <c r="H76" s="623"/>
      <c r="I76" s="639"/>
      <c r="J76" s="1317"/>
      <c r="K76" s="1316"/>
      <c r="L76" s="226"/>
    </row>
    <row r="77" spans="1:12" s="168" customFormat="1" ht="15.75" customHeight="1">
      <c r="A77" s="623"/>
      <c r="B77" s="623"/>
      <c r="C77" s="623"/>
      <c r="D77" s="624"/>
      <c r="E77" s="603"/>
      <c r="F77" s="604"/>
      <c r="G77" s="605"/>
      <c r="H77" s="623"/>
      <c r="I77" s="639"/>
      <c r="J77" s="1317"/>
      <c r="K77" s="1316"/>
      <c r="L77" s="226"/>
    </row>
    <row r="78" spans="1:12" s="168" customFormat="1" ht="15.75" customHeight="1">
      <c r="A78" s="623"/>
      <c r="B78" s="623"/>
      <c r="C78" s="623"/>
      <c r="D78" s="624"/>
      <c r="E78" s="603"/>
      <c r="F78" s="604"/>
      <c r="G78" s="605"/>
      <c r="H78" s="623"/>
      <c r="I78" s="639"/>
      <c r="J78" s="620"/>
      <c r="K78" s="925"/>
      <c r="L78" s="226"/>
    </row>
    <row r="79" spans="1:12" ht="15">
      <c r="A79" s="620"/>
      <c r="B79" s="1124"/>
      <c r="C79" s="1124"/>
      <c r="D79" s="619"/>
      <c r="E79" s="619"/>
      <c r="F79" s="1144" t="s">
        <v>545</v>
      </c>
      <c r="G79" s="651">
        <f>SUM(G2:G78)-SUM(I2:I78)</f>
        <v>10112.250000000015</v>
      </c>
      <c r="H79" s="639"/>
      <c r="I79" s="639"/>
      <c r="J79" s="620"/>
      <c r="K79" s="925"/>
      <c r="L79" s="216"/>
    </row>
    <row r="83" spans="1:9" s="168" customFormat="1">
      <c r="A83" s="258"/>
      <c r="F83" s="527"/>
      <c r="G83" s="190"/>
      <c r="H83" s="190"/>
      <c r="I83" s="138"/>
    </row>
    <row r="84" spans="1:9" s="168" customFormat="1">
      <c r="A84" s="258"/>
      <c r="F84" s="527"/>
      <c r="G84" s="190"/>
      <c r="H84" s="190"/>
      <c r="I84" s="138"/>
    </row>
    <row r="85" spans="1:9">
      <c r="I85" s="190"/>
    </row>
  </sheetData>
  <mergeCells count="79">
    <mergeCell ref="J67:J68"/>
    <mergeCell ref="I67:I68"/>
    <mergeCell ref="K67:K68"/>
    <mergeCell ref="K65:K66"/>
    <mergeCell ref="J65:J66"/>
    <mergeCell ref="I65:I66"/>
    <mergeCell ref="K62:K64"/>
    <mergeCell ref="J62:J64"/>
    <mergeCell ref="I62:I64"/>
    <mergeCell ref="K50:K53"/>
    <mergeCell ref="J50:J53"/>
    <mergeCell ref="I50:I53"/>
    <mergeCell ref="K54:K58"/>
    <mergeCell ref="J54:J58"/>
    <mergeCell ref="I54:I58"/>
    <mergeCell ref="K60:K61"/>
    <mergeCell ref="J60:J61"/>
    <mergeCell ref="I60:I61"/>
    <mergeCell ref="B7:B8"/>
    <mergeCell ref="C7:C8"/>
    <mergeCell ref="K46:K47"/>
    <mergeCell ref="J46:J47"/>
    <mergeCell ref="I46:I47"/>
    <mergeCell ref="F10:F11"/>
    <mergeCell ref="E10:E11"/>
    <mergeCell ref="I21:I23"/>
    <mergeCell ref="K32:K36"/>
    <mergeCell ref="J32:J36"/>
    <mergeCell ref="I32:I36"/>
    <mergeCell ref="K40:K41"/>
    <mergeCell ref="J40:J41"/>
    <mergeCell ref="L32:L36"/>
    <mergeCell ref="I27:I28"/>
    <mergeCell ref="J27:J28"/>
    <mergeCell ref="K27:K28"/>
    <mergeCell ref="L27:L28"/>
    <mergeCell ref="L18:L20"/>
    <mergeCell ref="L21:L23"/>
    <mergeCell ref="I18:I20"/>
    <mergeCell ref="K18:K20"/>
    <mergeCell ref="J18:J20"/>
    <mergeCell ref="K21:K23"/>
    <mergeCell ref="J21:J23"/>
    <mergeCell ref="D5:D6"/>
    <mergeCell ref="A10:A11"/>
    <mergeCell ref="D10:D11"/>
    <mergeCell ref="J43:J45"/>
    <mergeCell ref="I43:I45"/>
    <mergeCell ref="A5:A6"/>
    <mergeCell ref="J6:J7"/>
    <mergeCell ref="I6:I7"/>
    <mergeCell ref="A7:A8"/>
    <mergeCell ref="D7:D8"/>
    <mergeCell ref="F5:F6"/>
    <mergeCell ref="E5:E6"/>
    <mergeCell ref="E7:E8"/>
    <mergeCell ref="F7:F8"/>
    <mergeCell ref="C5:C6"/>
    <mergeCell ref="B5:B6"/>
    <mergeCell ref="K2:K3"/>
    <mergeCell ref="K4:K5"/>
    <mergeCell ref="K8:K10"/>
    <mergeCell ref="I2:I3"/>
    <mergeCell ref="I4:I5"/>
    <mergeCell ref="I8:I10"/>
    <mergeCell ref="J2:J3"/>
    <mergeCell ref="J4:J5"/>
    <mergeCell ref="J8:J10"/>
    <mergeCell ref="K6:K7"/>
    <mergeCell ref="I48:I49"/>
    <mergeCell ref="K48:K49"/>
    <mergeCell ref="J48:J49"/>
    <mergeCell ref="B10:B11"/>
    <mergeCell ref="C10:C11"/>
    <mergeCell ref="I37:I38"/>
    <mergeCell ref="K43:K45"/>
    <mergeCell ref="I40:I41"/>
    <mergeCell ref="K37:K38"/>
    <mergeCell ref="J37:J38"/>
  </mergeCells>
  <phoneticPr fontId="15" type="noConversion"/>
  <hyperlinks>
    <hyperlink ref="F79" location="汇总!A1" display="剩余欠款"/>
  </hyperlinks>
  <pageMargins left="0.7" right="0.7" top="0.75" bottom="0.75" header="0.3" footer="0.3"/>
  <pageSetup paperSize="9"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/>
  <dimension ref="A1:N15"/>
  <sheetViews>
    <sheetView workbookViewId="0">
      <pane ySplit="1" topLeftCell="A2" activePane="bottomLeft" state="frozen"/>
      <selection pane="bottomLeft" activeCell="F15" sqref="F15"/>
    </sheetView>
  </sheetViews>
  <sheetFormatPr defaultColWidth="8.75" defaultRowHeight="14.25"/>
  <cols>
    <col min="1" max="1" width="13" style="168" customWidth="1"/>
    <col min="2" max="2" width="8.875" style="168" bestFit="1" customWidth="1"/>
    <col min="3" max="3" width="38" style="168" bestFit="1" customWidth="1"/>
    <col min="4" max="5" width="15" style="168" customWidth="1"/>
    <col min="6" max="6" width="13.375" style="527" customWidth="1"/>
    <col min="7" max="7" width="11.375" style="168" bestFit="1" customWidth="1"/>
    <col min="8" max="8" width="16.625" style="168" bestFit="1" customWidth="1"/>
    <col min="9" max="9" width="12.875" style="168" customWidth="1"/>
    <col min="10" max="10" width="11.625" style="168" bestFit="1" customWidth="1"/>
    <col min="11" max="11" width="18.25" style="168" customWidth="1"/>
    <col min="12" max="12" width="25" style="168" bestFit="1" customWidth="1"/>
    <col min="13" max="13" width="13.875" style="168" bestFit="1" customWidth="1"/>
    <col min="14" max="16384" width="8.75" style="168"/>
  </cols>
  <sheetData>
    <row r="1" spans="1:14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7" t="s">
        <v>542</v>
      </c>
    </row>
    <row r="2" spans="1:14" ht="15">
      <c r="A2" s="1456">
        <v>45030.000497685185</v>
      </c>
      <c r="B2" s="1456" t="s">
        <v>2644</v>
      </c>
      <c r="C2" s="1456" t="s">
        <v>4692</v>
      </c>
      <c r="D2" s="1461" t="s">
        <v>4729</v>
      </c>
      <c r="E2" s="611">
        <v>960</v>
      </c>
      <c r="F2" s="731">
        <v>0</v>
      </c>
      <c r="G2" s="611">
        <v>960</v>
      </c>
      <c r="H2" s="1456">
        <v>45075</v>
      </c>
      <c r="I2" s="1951">
        <v>3986.88</v>
      </c>
      <c r="J2" s="1903">
        <v>45086</v>
      </c>
      <c r="K2" s="1938" t="s">
        <v>5359</v>
      </c>
      <c r="L2" s="166"/>
      <c r="M2"/>
      <c r="N2"/>
    </row>
    <row r="3" spans="1:14" ht="15">
      <c r="A3" s="1456">
        <v>45030.000497685185</v>
      </c>
      <c r="B3" s="1456" t="s">
        <v>2644</v>
      </c>
      <c r="C3" s="1456" t="s">
        <v>4692</v>
      </c>
      <c r="D3" s="1461" t="s">
        <v>4730</v>
      </c>
      <c r="E3" s="611">
        <v>1771.68</v>
      </c>
      <c r="F3" s="731">
        <v>0</v>
      </c>
      <c r="G3" s="611">
        <v>1771.68</v>
      </c>
      <c r="H3" s="1456">
        <v>45075</v>
      </c>
      <c r="I3" s="1952"/>
      <c r="J3" s="1904"/>
      <c r="K3" s="1950"/>
      <c r="L3" s="226"/>
      <c r="M3"/>
      <c r="N3"/>
    </row>
    <row r="4" spans="1:14" ht="15">
      <c r="A4" s="1456">
        <v>45058</v>
      </c>
      <c r="B4" s="1456" t="s">
        <v>2644</v>
      </c>
      <c r="C4" s="1456" t="s">
        <v>4692</v>
      </c>
      <c r="D4" s="1461" t="s">
        <v>4991</v>
      </c>
      <c r="E4" s="611">
        <v>1255.2</v>
      </c>
      <c r="F4" s="731">
        <v>0</v>
      </c>
      <c r="G4" s="611">
        <v>1255.2</v>
      </c>
      <c r="H4" s="1456">
        <v>45118</v>
      </c>
      <c r="I4" s="1953"/>
      <c r="J4" s="1905"/>
      <c r="K4" s="1947"/>
      <c r="L4" s="226"/>
      <c r="M4"/>
      <c r="N4"/>
    </row>
    <row r="5" spans="1:14" ht="15">
      <c r="A5" s="1657">
        <v>45085</v>
      </c>
      <c r="B5" s="1657" t="s">
        <v>2644</v>
      </c>
      <c r="C5" s="1657" t="s">
        <v>4692</v>
      </c>
      <c r="D5" s="1661" t="s">
        <v>5336</v>
      </c>
      <c r="E5" s="611">
        <v>463.01</v>
      </c>
      <c r="F5" s="731">
        <v>0</v>
      </c>
      <c r="G5" s="611">
        <v>463.01</v>
      </c>
      <c r="H5" s="1657">
        <v>45130</v>
      </c>
      <c r="I5" s="1951">
        <v>2052.56</v>
      </c>
      <c r="J5" s="1918">
        <v>45166</v>
      </c>
      <c r="K5" s="1956" t="s">
        <v>5973</v>
      </c>
      <c r="L5" s="226"/>
    </row>
    <row r="6" spans="1:14" ht="15">
      <c r="A6" s="1657">
        <v>45121</v>
      </c>
      <c r="B6" s="1657" t="s">
        <v>2644</v>
      </c>
      <c r="C6" s="1657" t="s">
        <v>4692</v>
      </c>
      <c r="D6" s="1661" t="s">
        <v>5591</v>
      </c>
      <c r="E6" s="611">
        <v>-109.2</v>
      </c>
      <c r="F6" s="731">
        <v>0</v>
      </c>
      <c r="G6" s="611">
        <v>-109.2</v>
      </c>
      <c r="H6" s="1657"/>
      <c r="I6" s="1952"/>
      <c r="J6" s="1919"/>
      <c r="K6" s="1962"/>
      <c r="L6" s="226"/>
    </row>
    <row r="7" spans="1:14" ht="15">
      <c r="A7" s="1657">
        <v>45124</v>
      </c>
      <c r="B7" s="1657" t="s">
        <v>2644</v>
      </c>
      <c r="C7" s="1657" t="s">
        <v>4692</v>
      </c>
      <c r="D7" s="1661" t="s">
        <v>5652</v>
      </c>
      <c r="E7" s="611">
        <v>1698.75</v>
      </c>
      <c r="F7" s="731">
        <v>0</v>
      </c>
      <c r="G7" s="611">
        <v>1698.75</v>
      </c>
      <c r="H7" s="1657">
        <v>45184</v>
      </c>
      <c r="I7" s="1953"/>
      <c r="J7" s="1920"/>
      <c r="K7" s="1957"/>
      <c r="L7" s="226"/>
    </row>
    <row r="8" spans="1:14" ht="15">
      <c r="A8" s="1768">
        <v>45164</v>
      </c>
      <c r="B8" s="1768" t="s">
        <v>2644</v>
      </c>
      <c r="C8" s="1768" t="s">
        <v>4692</v>
      </c>
      <c r="D8" s="1769" t="s">
        <v>5937</v>
      </c>
      <c r="E8" s="611">
        <v>2338.44</v>
      </c>
      <c r="F8" s="731">
        <v>0</v>
      </c>
      <c r="G8" s="611">
        <v>2338.44</v>
      </c>
      <c r="H8" s="1768">
        <v>45209.000497685185</v>
      </c>
      <c r="I8" s="1951">
        <v>2331.7600000000002</v>
      </c>
      <c r="J8" s="1918">
        <v>45212</v>
      </c>
      <c r="K8" s="1956" t="s">
        <v>6343</v>
      </c>
      <c r="L8" s="226"/>
    </row>
    <row r="9" spans="1:14" ht="15">
      <c r="A9" s="1768">
        <v>45167</v>
      </c>
      <c r="B9" s="1768" t="s">
        <v>2644</v>
      </c>
      <c r="C9" s="1768" t="s">
        <v>4692</v>
      </c>
      <c r="D9" s="1769" t="s">
        <v>5938</v>
      </c>
      <c r="E9" s="611">
        <v>-6.68</v>
      </c>
      <c r="F9" s="731">
        <v>0</v>
      </c>
      <c r="G9" s="611">
        <v>-6.68</v>
      </c>
      <c r="H9" s="1768" t="s">
        <v>1529</v>
      </c>
      <c r="I9" s="1953"/>
      <c r="J9" s="1920"/>
      <c r="K9" s="1957"/>
      <c r="L9" s="226"/>
    </row>
    <row r="10" spans="1:14" ht="15">
      <c r="A10" s="623">
        <v>45198</v>
      </c>
      <c r="B10" s="623" t="s">
        <v>2644</v>
      </c>
      <c r="C10" s="623" t="s">
        <v>4692</v>
      </c>
      <c r="D10" s="624" t="s">
        <v>6243</v>
      </c>
      <c r="E10" s="605">
        <v>3819.83</v>
      </c>
      <c r="F10" s="732">
        <v>0</v>
      </c>
      <c r="G10" s="605">
        <v>3819.83</v>
      </c>
      <c r="H10" s="623">
        <v>45257</v>
      </c>
      <c r="I10" s="639"/>
      <c r="J10" s="1289"/>
      <c r="K10" s="226"/>
      <c r="L10" s="226"/>
    </row>
    <row r="11" spans="1:14" ht="15">
      <c r="A11" s="623"/>
      <c r="B11" s="623"/>
      <c r="C11" s="623"/>
      <c r="D11" s="624"/>
      <c r="E11" s="605"/>
      <c r="F11" s="732"/>
      <c r="G11" s="605"/>
      <c r="H11" s="623"/>
      <c r="I11" s="639"/>
      <c r="J11" s="1289"/>
      <c r="K11" s="226"/>
      <c r="L11" s="226"/>
    </row>
    <row r="12" spans="1:14" ht="15">
      <c r="A12" s="623"/>
      <c r="B12" s="623"/>
      <c r="C12" s="623"/>
      <c r="D12" s="624"/>
      <c r="E12" s="605"/>
      <c r="F12" s="732"/>
      <c r="G12" s="605"/>
      <c r="H12" s="623"/>
      <c r="I12" s="639"/>
      <c r="J12" s="1289"/>
      <c r="K12" s="226"/>
      <c r="L12" s="226"/>
    </row>
    <row r="13" spans="1:14" ht="15">
      <c r="A13" s="623"/>
      <c r="B13" s="623"/>
      <c r="C13" s="623"/>
      <c r="D13" s="624"/>
      <c r="E13" s="605"/>
      <c r="F13" s="732"/>
      <c r="G13" s="605"/>
      <c r="H13" s="623"/>
      <c r="I13" s="639"/>
      <c r="J13" s="1289"/>
      <c r="K13" s="226"/>
      <c r="L13" s="226"/>
    </row>
    <row r="14" spans="1:14" ht="15">
      <c r="A14" s="623"/>
      <c r="B14" s="623"/>
      <c r="C14" s="623"/>
      <c r="D14" s="624"/>
      <c r="E14" s="605"/>
      <c r="F14" s="732"/>
      <c r="G14" s="605"/>
      <c r="H14" s="623"/>
      <c r="I14" s="639"/>
      <c r="J14" s="1289"/>
      <c r="K14" s="226"/>
      <c r="L14" s="226"/>
    </row>
    <row r="15" spans="1:14" ht="15">
      <c r="A15" s="1290"/>
      <c r="B15" s="1290"/>
      <c r="C15" s="1290"/>
      <c r="D15" s="619"/>
      <c r="E15" s="619"/>
      <c r="F15" s="1144" t="s">
        <v>545</v>
      </c>
      <c r="G15" s="651">
        <f>SUM(G2:G14)-SUM(I2:I14)</f>
        <v>3819.83</v>
      </c>
      <c r="H15" s="634"/>
      <c r="I15" s="639"/>
      <c r="J15" s="1289"/>
      <c r="K15" s="226"/>
      <c r="L15" s="226"/>
    </row>
  </sheetData>
  <mergeCells count="9">
    <mergeCell ref="K8:K9"/>
    <mergeCell ref="J8:J9"/>
    <mergeCell ref="I8:I9"/>
    <mergeCell ref="K2:K4"/>
    <mergeCell ref="J2:J4"/>
    <mergeCell ref="I2:I4"/>
    <mergeCell ref="K5:K7"/>
    <mergeCell ref="J5:J7"/>
    <mergeCell ref="I5:I7"/>
  </mergeCells>
  <phoneticPr fontId="15" type="noConversion"/>
  <hyperlinks>
    <hyperlink ref="F15" location="汇总!A1" display="剩余欠款"/>
  </hyperlinks>
  <pageMargins left="0.7" right="0.7" top="0.75" bottom="0.75" header="0.3" footer="0.3"/>
  <pageSetup paperSize="9"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N15"/>
  <sheetViews>
    <sheetView workbookViewId="0">
      <pane ySplit="1" topLeftCell="A2" activePane="bottomLeft" state="frozen"/>
      <selection pane="bottomLeft" activeCell="F15" sqref="F15"/>
    </sheetView>
  </sheetViews>
  <sheetFormatPr defaultColWidth="8.75" defaultRowHeight="14.25"/>
  <cols>
    <col min="1" max="1" width="13" style="168" customWidth="1"/>
    <col min="2" max="2" width="8.875" style="168" bestFit="1" customWidth="1"/>
    <col min="3" max="3" width="18.375" style="168" bestFit="1" customWidth="1"/>
    <col min="4" max="5" width="15" style="168" customWidth="1"/>
    <col min="6" max="6" width="13.375" style="527" customWidth="1"/>
    <col min="7" max="7" width="11.375" style="168" bestFit="1" customWidth="1"/>
    <col min="8" max="8" width="16.625" style="168" bestFit="1" customWidth="1"/>
    <col min="9" max="9" width="12.875" style="168" customWidth="1"/>
    <col min="10" max="10" width="11.625" style="168" bestFit="1" customWidth="1"/>
    <col min="11" max="11" width="11.375" style="168" bestFit="1" customWidth="1"/>
    <col min="12" max="12" width="25" style="168" bestFit="1" customWidth="1"/>
    <col min="13" max="13" width="13.875" style="168" bestFit="1" customWidth="1"/>
    <col min="14" max="16384" width="8.75" style="168"/>
  </cols>
  <sheetData>
    <row r="1" spans="1:14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7" t="s">
        <v>542</v>
      </c>
    </row>
    <row r="2" spans="1:14" ht="15">
      <c r="A2" s="1305">
        <v>44412.000497685185</v>
      </c>
      <c r="B2" s="1305" t="s">
        <v>518</v>
      </c>
      <c r="C2" s="1305" t="s">
        <v>4761</v>
      </c>
      <c r="D2" s="1306" t="s">
        <v>4763</v>
      </c>
      <c r="E2" s="611">
        <v>4088.75</v>
      </c>
      <c r="F2" s="731">
        <v>0</v>
      </c>
      <c r="G2" s="611">
        <v>4088.75</v>
      </c>
      <c r="H2" s="1315">
        <v>44442</v>
      </c>
      <c r="I2" s="1933">
        <v>0</v>
      </c>
      <c r="J2" s="1903">
        <v>44421</v>
      </c>
      <c r="K2" s="1935" t="s">
        <v>4768</v>
      </c>
      <c r="L2" s="166"/>
      <c r="M2"/>
      <c r="N2"/>
    </row>
    <row r="3" spans="1:14" ht="15">
      <c r="A3" s="1305">
        <v>44418.000497685185</v>
      </c>
      <c r="B3" s="1305" t="s">
        <v>518</v>
      </c>
      <c r="C3" s="1305" t="s">
        <v>4761</v>
      </c>
      <c r="D3" s="1306" t="s">
        <v>4764</v>
      </c>
      <c r="E3" s="611">
        <v>-4088.75</v>
      </c>
      <c r="F3" s="731">
        <v>0</v>
      </c>
      <c r="G3" s="611">
        <v>-4088.75</v>
      </c>
      <c r="H3" s="1305"/>
      <c r="I3" s="1934"/>
      <c r="J3" s="1905"/>
      <c r="K3" s="1947"/>
      <c r="L3" s="226"/>
      <c r="M3"/>
      <c r="N3"/>
    </row>
    <row r="4" spans="1:14" ht="15">
      <c r="A4" s="1321">
        <v>45026.000497685185</v>
      </c>
      <c r="B4" s="1321" t="s">
        <v>518</v>
      </c>
      <c r="C4" s="1321" t="s">
        <v>4761</v>
      </c>
      <c r="D4" s="1324" t="s">
        <v>4765</v>
      </c>
      <c r="E4" s="611">
        <v>6796.23</v>
      </c>
      <c r="F4" s="731">
        <v>0</v>
      </c>
      <c r="G4" s="611">
        <v>6796.23</v>
      </c>
      <c r="H4" s="1321">
        <v>45027</v>
      </c>
      <c r="I4" s="1933">
        <v>0</v>
      </c>
      <c r="J4" s="1903">
        <v>45037</v>
      </c>
      <c r="K4" s="1935" t="s">
        <v>4768</v>
      </c>
      <c r="L4" s="226"/>
      <c r="M4"/>
      <c r="N4"/>
    </row>
    <row r="5" spans="1:14" ht="15">
      <c r="A5" s="1321">
        <v>45035.000497685185</v>
      </c>
      <c r="B5" s="1321" t="s">
        <v>518</v>
      </c>
      <c r="C5" s="1321" t="s">
        <v>4761</v>
      </c>
      <c r="D5" s="1324" t="s">
        <v>4767</v>
      </c>
      <c r="E5" s="611">
        <v>-6796.23</v>
      </c>
      <c r="F5" s="731">
        <v>0</v>
      </c>
      <c r="G5" s="611">
        <v>-6796.23</v>
      </c>
      <c r="H5" s="1321"/>
      <c r="I5" s="1934"/>
      <c r="J5" s="1905"/>
      <c r="K5" s="1947"/>
      <c r="L5" s="226"/>
    </row>
    <row r="6" spans="1:14" ht="15">
      <c r="A6" s="623">
        <v>45035.000497685185</v>
      </c>
      <c r="B6" s="623" t="s">
        <v>518</v>
      </c>
      <c r="C6" s="623" t="s">
        <v>4761</v>
      </c>
      <c r="D6" s="624" t="s">
        <v>4766</v>
      </c>
      <c r="E6" s="605">
        <v>6167.18</v>
      </c>
      <c r="F6" s="732">
        <v>0</v>
      </c>
      <c r="G6" s="605">
        <v>6167.18</v>
      </c>
      <c r="H6" s="623">
        <v>45036</v>
      </c>
      <c r="I6" s="639"/>
      <c r="J6" s="1303"/>
      <c r="K6" s="226"/>
      <c r="L6" s="226"/>
    </row>
    <row r="7" spans="1:14" ht="15">
      <c r="A7" s="1303"/>
      <c r="B7" s="1303"/>
      <c r="C7" s="1303"/>
      <c r="D7" s="1304"/>
      <c r="E7" s="605"/>
      <c r="F7" s="732"/>
      <c r="G7" s="639"/>
      <c r="H7" s="1303"/>
      <c r="I7" s="639"/>
      <c r="J7" s="1303"/>
      <c r="K7" s="226"/>
      <c r="L7" s="226"/>
    </row>
    <row r="8" spans="1:14" ht="15">
      <c r="A8" s="1303"/>
      <c r="B8" s="1303"/>
      <c r="C8" s="1303"/>
      <c r="D8" s="1304"/>
      <c r="E8" s="605"/>
      <c r="F8" s="732"/>
      <c r="G8" s="639"/>
      <c r="H8" s="1303"/>
      <c r="I8" s="639"/>
      <c r="J8" s="1303"/>
      <c r="K8" s="226"/>
      <c r="L8" s="226"/>
    </row>
    <row r="9" spans="1:14" ht="15">
      <c r="A9" s="1303"/>
      <c r="B9" s="1303"/>
      <c r="C9" s="1303"/>
      <c r="D9" s="1304"/>
      <c r="E9" s="605"/>
      <c r="F9" s="732"/>
      <c r="G9" s="639"/>
      <c r="H9" s="1303"/>
      <c r="I9" s="639"/>
      <c r="J9" s="1303"/>
      <c r="K9" s="226"/>
      <c r="L9" s="226"/>
    </row>
    <row r="10" spans="1:14" ht="15">
      <c r="A10" s="1303"/>
      <c r="B10" s="1303"/>
      <c r="C10" s="1303"/>
      <c r="D10" s="1304"/>
      <c r="E10" s="605"/>
      <c r="F10" s="732"/>
      <c r="G10" s="639"/>
      <c r="H10" s="1303"/>
      <c r="I10" s="639"/>
      <c r="J10" s="1303"/>
      <c r="K10" s="226"/>
      <c r="L10" s="226"/>
    </row>
    <row r="11" spans="1:14" ht="15">
      <c r="A11" s="1303"/>
      <c r="B11" s="1303"/>
      <c r="C11" s="1303"/>
      <c r="D11" s="1304"/>
      <c r="E11" s="605"/>
      <c r="F11" s="732"/>
      <c r="G11" s="639"/>
      <c r="H11" s="1303"/>
      <c r="I11" s="639"/>
      <c r="J11" s="1303"/>
      <c r="K11" s="226"/>
      <c r="L11" s="226"/>
    </row>
    <row r="12" spans="1:14" ht="15">
      <c r="A12" s="1303"/>
      <c r="B12" s="1303"/>
      <c r="C12" s="1303"/>
      <c r="D12" s="1304"/>
      <c r="E12" s="605"/>
      <c r="F12" s="732"/>
      <c r="G12" s="639"/>
      <c r="H12" s="1303"/>
      <c r="I12" s="639"/>
      <c r="J12" s="1303"/>
      <c r="K12" s="226"/>
      <c r="L12" s="226"/>
    </row>
    <row r="13" spans="1:14" ht="15">
      <c r="A13" s="1303"/>
      <c r="B13" s="1303"/>
      <c r="C13" s="1303"/>
      <c r="D13" s="1304"/>
      <c r="E13" s="605"/>
      <c r="F13" s="732"/>
      <c r="G13" s="639"/>
      <c r="H13" s="1303"/>
      <c r="I13" s="639"/>
      <c r="J13" s="1303"/>
      <c r="K13" s="226"/>
      <c r="L13" s="226"/>
    </row>
    <row r="14" spans="1:14" ht="15">
      <c r="A14" s="1303"/>
      <c r="B14" s="1303"/>
      <c r="C14" s="1303"/>
      <c r="D14" s="1304"/>
      <c r="E14" s="605"/>
      <c r="F14" s="732"/>
      <c r="G14" s="639"/>
      <c r="H14" s="1303"/>
      <c r="I14" s="639"/>
      <c r="J14" s="1303"/>
      <c r="K14" s="226"/>
      <c r="L14" s="226"/>
    </row>
    <row r="15" spans="1:14" ht="15">
      <c r="A15" s="1304"/>
      <c r="B15" s="1304"/>
      <c r="C15" s="1304"/>
      <c r="D15" s="619"/>
      <c r="E15" s="619"/>
      <c r="F15" s="1144" t="s">
        <v>545</v>
      </c>
      <c r="G15" s="651">
        <f>SUM(G2:G14)-SUM(I2:I14)</f>
        <v>6167.18</v>
      </c>
      <c r="H15" s="634"/>
      <c r="I15" s="639"/>
      <c r="J15" s="1303"/>
      <c r="K15" s="226"/>
      <c r="L15" s="226"/>
    </row>
  </sheetData>
  <mergeCells count="6">
    <mergeCell ref="K2:K3"/>
    <mergeCell ref="J2:J3"/>
    <mergeCell ref="I2:I3"/>
    <mergeCell ref="K4:K5"/>
    <mergeCell ref="J4:J5"/>
    <mergeCell ref="I4:I5"/>
  </mergeCells>
  <phoneticPr fontId="15" type="noConversion"/>
  <hyperlinks>
    <hyperlink ref="F15" location="汇总!A1" display="剩余欠款"/>
  </hyperlinks>
  <pageMargins left="0.7" right="0.7" top="0.75" bottom="0.75" header="0.3" footer="0.3"/>
  <pageSetup paperSize="9"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/>
  <dimension ref="A1:N33"/>
  <sheetViews>
    <sheetView workbookViewId="0">
      <pane ySplit="1" topLeftCell="A2" activePane="bottomLeft" state="frozen"/>
      <selection pane="bottomLeft" activeCell="F24" sqref="F24"/>
    </sheetView>
  </sheetViews>
  <sheetFormatPr defaultColWidth="8.75" defaultRowHeight="14.25"/>
  <cols>
    <col min="1" max="1" width="13" style="168" customWidth="1"/>
    <col min="2" max="2" width="8.875" style="168" bestFit="1" customWidth="1"/>
    <col min="3" max="3" width="29.375" style="168" bestFit="1" customWidth="1"/>
    <col min="4" max="5" width="15" style="168" customWidth="1"/>
    <col min="6" max="6" width="13.375" style="527" customWidth="1"/>
    <col min="7" max="7" width="11.375" style="168" bestFit="1" customWidth="1"/>
    <col min="8" max="8" width="16.625" style="168" bestFit="1" customWidth="1"/>
    <col min="9" max="9" width="12.875" style="168" customWidth="1"/>
    <col min="10" max="10" width="11.625" style="168" bestFit="1" customWidth="1"/>
    <col min="11" max="11" width="21.625" style="168" bestFit="1" customWidth="1"/>
    <col min="12" max="12" width="25" style="168" bestFit="1" customWidth="1"/>
    <col min="13" max="13" width="13.875" style="168" bestFit="1" customWidth="1"/>
    <col min="14" max="16384" width="8.75" style="168"/>
  </cols>
  <sheetData>
    <row r="1" spans="1:14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7" t="s">
        <v>542</v>
      </c>
    </row>
    <row r="2" spans="1:14" ht="15">
      <c r="A2" s="1403">
        <v>45037</v>
      </c>
      <c r="B2" s="1403" t="s">
        <v>2518</v>
      </c>
      <c r="C2" s="1403" t="s">
        <v>4800</v>
      </c>
      <c r="D2" s="1405" t="s">
        <v>4801</v>
      </c>
      <c r="E2" s="611">
        <v>13660.06</v>
      </c>
      <c r="F2" s="731">
        <v>0</v>
      </c>
      <c r="G2" s="611">
        <v>13660.06</v>
      </c>
      <c r="H2" s="1315">
        <v>45097</v>
      </c>
      <c r="I2" s="611">
        <v>13660.06</v>
      </c>
      <c r="J2" s="1313">
        <v>45061</v>
      </c>
      <c r="K2" s="1389" t="s">
        <v>5132</v>
      </c>
      <c r="L2" s="166"/>
      <c r="M2"/>
      <c r="N2"/>
    </row>
    <row r="3" spans="1:14" ht="15">
      <c r="A3" s="1903">
        <v>45065</v>
      </c>
      <c r="B3" s="1903" t="s">
        <v>2518</v>
      </c>
      <c r="C3" s="1903" t="s">
        <v>4800</v>
      </c>
      <c r="D3" s="1909" t="s">
        <v>5090</v>
      </c>
      <c r="E3" s="1951">
        <v>16301.41</v>
      </c>
      <c r="F3" s="1933">
        <v>0</v>
      </c>
      <c r="G3" s="611">
        <v>5000</v>
      </c>
      <c r="H3" s="1507">
        <v>45125</v>
      </c>
      <c r="I3" s="611">
        <v>5000</v>
      </c>
      <c r="J3" s="1507">
        <v>45086</v>
      </c>
      <c r="K3" s="1508" t="s">
        <v>5356</v>
      </c>
      <c r="L3" s="226"/>
      <c r="M3"/>
      <c r="N3"/>
    </row>
    <row r="4" spans="1:14" ht="15">
      <c r="A4" s="1905"/>
      <c r="B4" s="1905"/>
      <c r="C4" s="1905"/>
      <c r="D4" s="1911"/>
      <c r="E4" s="1953"/>
      <c r="F4" s="1934"/>
      <c r="G4" s="611">
        <f>16301.41-5000</f>
        <v>11301.41</v>
      </c>
      <c r="H4" s="1507">
        <v>45125</v>
      </c>
      <c r="I4" s="1951">
        <v>16216.82</v>
      </c>
      <c r="J4" s="1903">
        <v>45114</v>
      </c>
      <c r="K4" s="1938" t="s">
        <v>5564</v>
      </c>
      <c r="L4" s="226"/>
      <c r="M4"/>
      <c r="N4"/>
    </row>
    <row r="5" spans="1:14" ht="15">
      <c r="A5" s="1507">
        <v>45091</v>
      </c>
      <c r="B5" s="1507" t="s">
        <v>2518</v>
      </c>
      <c r="C5" s="1507" t="s">
        <v>4800</v>
      </c>
      <c r="D5" s="1509" t="s">
        <v>5373</v>
      </c>
      <c r="E5" s="611">
        <v>2815.05</v>
      </c>
      <c r="F5" s="731">
        <v>0</v>
      </c>
      <c r="G5" s="611">
        <v>2815.05</v>
      </c>
      <c r="H5" s="1507">
        <v>45151</v>
      </c>
      <c r="I5" s="1952"/>
      <c r="J5" s="1904"/>
      <c r="K5" s="1950"/>
      <c r="L5" s="226"/>
    </row>
    <row r="6" spans="1:14" ht="15">
      <c r="A6" s="1507">
        <v>45104</v>
      </c>
      <c r="B6" s="1507" t="s">
        <v>2518</v>
      </c>
      <c r="C6" s="1507" t="s">
        <v>4800</v>
      </c>
      <c r="D6" s="1509" t="s">
        <v>5484</v>
      </c>
      <c r="E6" s="611">
        <v>193.9</v>
      </c>
      <c r="F6" s="731">
        <v>0</v>
      </c>
      <c r="G6" s="611">
        <v>193.9</v>
      </c>
      <c r="H6" s="1507">
        <v>45164</v>
      </c>
      <c r="I6" s="1952"/>
      <c r="J6" s="1904"/>
      <c r="K6" s="1950"/>
      <c r="L6" s="226"/>
    </row>
    <row r="7" spans="1:14" ht="15">
      <c r="A7" s="1507">
        <v>45104</v>
      </c>
      <c r="B7" s="1507" t="s">
        <v>2518</v>
      </c>
      <c r="C7" s="1507" t="s">
        <v>4800</v>
      </c>
      <c r="D7" s="1509" t="s">
        <v>5485</v>
      </c>
      <c r="E7" s="611">
        <v>1906.45</v>
      </c>
      <c r="F7" s="731">
        <v>0</v>
      </c>
      <c r="G7" s="611">
        <v>1906.45</v>
      </c>
      <c r="H7" s="1507">
        <v>45164</v>
      </c>
      <c r="I7" s="1952"/>
      <c r="J7" s="1904"/>
      <c r="K7" s="1950"/>
      <c r="L7" s="226"/>
    </row>
    <row r="8" spans="1:14" ht="15">
      <c r="A8" s="1507">
        <v>45114</v>
      </c>
      <c r="B8" s="1507" t="s">
        <v>5522</v>
      </c>
      <c r="C8" s="1507" t="s">
        <v>4800</v>
      </c>
      <c r="D8" s="1509" t="s">
        <v>5544</v>
      </c>
      <c r="E8" s="611">
        <v>0.01</v>
      </c>
      <c r="F8" s="731">
        <v>0</v>
      </c>
      <c r="G8" s="611">
        <v>0.01</v>
      </c>
      <c r="H8" s="1507">
        <v>45115</v>
      </c>
      <c r="I8" s="1953"/>
      <c r="J8" s="1905"/>
      <c r="K8" s="1947"/>
      <c r="L8" s="226"/>
    </row>
    <row r="9" spans="1:14" ht="15">
      <c r="A9" s="1785">
        <v>45126</v>
      </c>
      <c r="B9" s="1785" t="s">
        <v>5522</v>
      </c>
      <c r="C9" s="1785" t="s">
        <v>4800</v>
      </c>
      <c r="D9" s="1788" t="s">
        <v>5626</v>
      </c>
      <c r="E9" s="611">
        <v>1200</v>
      </c>
      <c r="F9" s="731">
        <v>0</v>
      </c>
      <c r="G9" s="611">
        <v>1200</v>
      </c>
      <c r="H9" s="1785">
        <v>45186</v>
      </c>
      <c r="I9" s="2343">
        <v>0</v>
      </c>
      <c r="J9" s="1918">
        <v>45215</v>
      </c>
      <c r="K9" s="1968" t="s">
        <v>6388</v>
      </c>
      <c r="L9" s="226"/>
    </row>
    <row r="10" spans="1:14" ht="15">
      <c r="A10" s="1903">
        <v>45138</v>
      </c>
      <c r="B10" s="1903" t="s">
        <v>5522</v>
      </c>
      <c r="C10" s="1903" t="s">
        <v>4800</v>
      </c>
      <c r="D10" s="1909" t="s">
        <v>5736</v>
      </c>
      <c r="E10" s="1951">
        <v>-1258.18</v>
      </c>
      <c r="F10" s="1933">
        <v>0</v>
      </c>
      <c r="G10" s="611">
        <v>-1200</v>
      </c>
      <c r="H10" s="1785"/>
      <c r="I10" s="2345"/>
      <c r="J10" s="1920"/>
      <c r="K10" s="1957"/>
      <c r="L10" s="226"/>
    </row>
    <row r="11" spans="1:14" ht="15">
      <c r="A11" s="1905"/>
      <c r="B11" s="1905"/>
      <c r="C11" s="1905"/>
      <c r="D11" s="1911"/>
      <c r="E11" s="1953"/>
      <c r="F11" s="1934"/>
      <c r="G11" s="605">
        <f>-1258.18--1200</f>
        <v>-58.180000000000064</v>
      </c>
      <c r="H11" s="1785"/>
      <c r="I11" s="639"/>
      <c r="J11" s="1780"/>
      <c r="K11" s="1778"/>
      <c r="L11" s="226"/>
    </row>
    <row r="12" spans="1:14" ht="15">
      <c r="A12" s="623">
        <v>45140</v>
      </c>
      <c r="B12" s="623" t="s">
        <v>5522</v>
      </c>
      <c r="C12" s="623" t="s">
        <v>4800</v>
      </c>
      <c r="D12" s="624" t="s">
        <v>5737</v>
      </c>
      <c r="E12" s="605">
        <v>-116.41</v>
      </c>
      <c r="F12" s="732">
        <v>0</v>
      </c>
      <c r="G12" s="605">
        <v>-116.41</v>
      </c>
      <c r="H12" s="623"/>
      <c r="I12" s="639"/>
      <c r="J12" s="1313"/>
      <c r="K12" s="1389"/>
      <c r="L12" s="226"/>
    </row>
    <row r="13" spans="1:14" ht="15">
      <c r="A13" s="623">
        <v>45215.333831018521</v>
      </c>
      <c r="B13" s="623" t="s">
        <v>2518</v>
      </c>
      <c r="C13" s="623" t="s">
        <v>4800</v>
      </c>
      <c r="D13" s="624" t="s">
        <v>6352</v>
      </c>
      <c r="E13" s="605">
        <v>-154.66</v>
      </c>
      <c r="F13" s="732">
        <v>0</v>
      </c>
      <c r="G13" s="605">
        <v>-154.66</v>
      </c>
      <c r="H13" s="623" t="s">
        <v>1529</v>
      </c>
      <c r="I13" s="639"/>
      <c r="J13" s="1578"/>
      <c r="K13" s="1577"/>
      <c r="L13" s="226"/>
    </row>
    <row r="14" spans="1:14" ht="15">
      <c r="A14" s="623">
        <v>45215.333831018521</v>
      </c>
      <c r="B14" s="623" t="s">
        <v>2518</v>
      </c>
      <c r="C14" s="623" t="s">
        <v>4800</v>
      </c>
      <c r="D14" s="624" t="s">
        <v>6353</v>
      </c>
      <c r="E14" s="605">
        <v>5609.8</v>
      </c>
      <c r="F14" s="732">
        <v>0</v>
      </c>
      <c r="G14" s="605">
        <v>5609.8</v>
      </c>
      <c r="H14" s="623">
        <v>45274.333831018521</v>
      </c>
      <c r="I14" s="639"/>
      <c r="J14" s="1578"/>
      <c r="K14" s="1577"/>
      <c r="L14" s="226"/>
    </row>
    <row r="15" spans="1:14" ht="15">
      <c r="A15" s="623">
        <v>45215.333831018521</v>
      </c>
      <c r="B15" s="623" t="s">
        <v>2518</v>
      </c>
      <c r="C15" s="623" t="s">
        <v>4800</v>
      </c>
      <c r="D15" s="624" t="s">
        <v>6354</v>
      </c>
      <c r="E15" s="605">
        <v>-777.4</v>
      </c>
      <c r="F15" s="732">
        <v>0</v>
      </c>
      <c r="G15" s="605">
        <v>-777.4</v>
      </c>
      <c r="H15" s="623">
        <v>45216.333831018521</v>
      </c>
      <c r="I15" s="639"/>
      <c r="J15" s="1578"/>
      <c r="K15" s="1577"/>
      <c r="L15" s="226" t="s">
        <v>6355</v>
      </c>
    </row>
    <row r="16" spans="1:14" ht="15">
      <c r="A16" s="623">
        <v>45233</v>
      </c>
      <c r="B16" s="623" t="s">
        <v>2518</v>
      </c>
      <c r="C16" s="623" t="s">
        <v>4800</v>
      </c>
      <c r="D16" s="624" t="s">
        <v>6465</v>
      </c>
      <c r="E16" s="605">
        <v>1317.4</v>
      </c>
      <c r="F16" s="732">
        <v>0</v>
      </c>
      <c r="G16" s="605">
        <v>1317.4</v>
      </c>
      <c r="H16" s="623">
        <v>45293</v>
      </c>
      <c r="I16" s="639"/>
      <c r="J16" s="1578"/>
      <c r="K16" s="1577"/>
      <c r="L16" s="226"/>
    </row>
    <row r="17" spans="1:12" ht="15">
      <c r="A17" s="623">
        <v>45236</v>
      </c>
      <c r="B17" s="623" t="s">
        <v>2518</v>
      </c>
      <c r="C17" s="623" t="s">
        <v>4800</v>
      </c>
      <c r="D17" s="624" t="s">
        <v>6537</v>
      </c>
      <c r="E17" s="605">
        <v>-49.53</v>
      </c>
      <c r="F17" s="732">
        <v>0</v>
      </c>
      <c r="G17" s="605">
        <v>-49.53</v>
      </c>
      <c r="H17" s="623"/>
      <c r="I17" s="639"/>
      <c r="J17" s="1832"/>
      <c r="K17" s="1831"/>
      <c r="L17" s="226"/>
    </row>
    <row r="18" spans="1:12" ht="15">
      <c r="A18" s="623">
        <v>45236</v>
      </c>
      <c r="B18" s="623" t="s">
        <v>2518</v>
      </c>
      <c r="C18" s="623" t="s">
        <v>4800</v>
      </c>
      <c r="D18" s="624" t="s">
        <v>6518</v>
      </c>
      <c r="E18" s="605">
        <v>-223.96</v>
      </c>
      <c r="F18" s="732">
        <v>0</v>
      </c>
      <c r="G18" s="605">
        <v>-223.97</v>
      </c>
      <c r="H18" s="623"/>
      <c r="I18" s="639"/>
      <c r="J18" s="1832"/>
      <c r="K18" s="1831"/>
      <c r="L18" s="226"/>
    </row>
    <row r="19" spans="1:12" ht="15">
      <c r="A19" s="623">
        <v>45246</v>
      </c>
      <c r="B19" s="623" t="s">
        <v>2518</v>
      </c>
      <c r="C19" s="623" t="s">
        <v>4800</v>
      </c>
      <c r="D19" s="624" t="s">
        <v>6563</v>
      </c>
      <c r="E19" s="605">
        <v>1246</v>
      </c>
      <c r="F19" s="732">
        <v>0</v>
      </c>
      <c r="G19" s="605">
        <v>1246</v>
      </c>
      <c r="H19" s="623">
        <v>45336</v>
      </c>
      <c r="I19" s="639"/>
      <c r="J19" s="1832"/>
      <c r="K19" s="1831"/>
      <c r="L19" s="226"/>
    </row>
    <row r="20" spans="1:12" ht="15">
      <c r="A20" s="623"/>
      <c r="B20" s="623"/>
      <c r="C20" s="623"/>
      <c r="D20" s="624"/>
      <c r="E20" s="605"/>
      <c r="F20" s="732"/>
      <c r="G20" s="605"/>
      <c r="H20" s="623"/>
      <c r="I20" s="639"/>
      <c r="J20" s="1832"/>
      <c r="K20" s="1831"/>
      <c r="L20" s="226"/>
    </row>
    <row r="21" spans="1:12" ht="15">
      <c r="A21" s="623"/>
      <c r="B21" s="623"/>
      <c r="C21" s="623"/>
      <c r="D21" s="624"/>
      <c r="E21" s="605"/>
      <c r="F21" s="732"/>
      <c r="G21" s="605"/>
      <c r="H21" s="623"/>
      <c r="I21" s="639"/>
      <c r="J21" s="1313"/>
      <c r="K21" s="1389"/>
      <c r="L21" s="226"/>
    </row>
    <row r="22" spans="1:12" ht="15">
      <c r="A22" s="1313"/>
      <c r="B22" s="1313"/>
      <c r="C22" s="1313"/>
      <c r="D22" s="1314"/>
      <c r="E22" s="605"/>
      <c r="F22" s="732"/>
      <c r="G22" s="639"/>
      <c r="H22" s="1313"/>
      <c r="I22" s="639"/>
      <c r="J22" s="1313"/>
      <c r="K22" s="1389"/>
      <c r="L22" s="226"/>
    </row>
    <row r="23" spans="1:12" ht="15">
      <c r="A23" s="1313"/>
      <c r="B23" s="1313"/>
      <c r="C23" s="1313"/>
      <c r="D23" s="1314"/>
      <c r="E23" s="605"/>
      <c r="F23" s="732"/>
      <c r="G23" s="639"/>
      <c r="H23" s="1313"/>
      <c r="I23" s="639"/>
      <c r="J23" s="1313"/>
      <c r="K23" s="1389"/>
      <c r="L23" s="226"/>
    </row>
    <row r="24" spans="1:12" ht="15">
      <c r="A24" s="1314"/>
      <c r="B24" s="1314"/>
      <c r="C24" s="1314"/>
      <c r="D24" s="619"/>
      <c r="E24" s="619"/>
      <c r="F24" s="1144" t="s">
        <v>545</v>
      </c>
      <c r="G24" s="651">
        <f>SUM(G2:G23)-SUM(I2:I23)</f>
        <v>6793.0499999999956</v>
      </c>
      <c r="H24" s="634"/>
      <c r="I24" s="639"/>
      <c r="J24" s="1313"/>
      <c r="K24" s="1389"/>
      <c r="L24" s="226"/>
    </row>
    <row r="25" spans="1:12">
      <c r="K25" s="237"/>
    </row>
    <row r="26" spans="1:12">
      <c r="K26" s="237"/>
    </row>
    <row r="27" spans="1:12">
      <c r="K27" s="237"/>
    </row>
    <row r="28" spans="1:12">
      <c r="K28" s="237"/>
    </row>
    <row r="29" spans="1:12">
      <c r="K29" s="237"/>
    </row>
    <row r="30" spans="1:12">
      <c r="K30" s="237"/>
    </row>
    <row r="31" spans="1:12">
      <c r="K31" s="237"/>
    </row>
    <row r="32" spans="1:12">
      <c r="K32" s="237"/>
    </row>
    <row r="33" spans="11:11">
      <c r="K33" s="237"/>
    </row>
  </sheetData>
  <mergeCells count="18">
    <mergeCell ref="F10:F11"/>
    <mergeCell ref="K9:K10"/>
    <mergeCell ref="J9:J10"/>
    <mergeCell ref="I9:I10"/>
    <mergeCell ref="A10:A11"/>
    <mergeCell ref="B10:B11"/>
    <mergeCell ref="C10:C11"/>
    <mergeCell ref="D10:D11"/>
    <mergeCell ref="E10:E11"/>
    <mergeCell ref="K4:K8"/>
    <mergeCell ref="J4:J8"/>
    <mergeCell ref="I4:I8"/>
    <mergeCell ref="A3:A4"/>
    <mergeCell ref="F3:F4"/>
    <mergeCell ref="E3:E4"/>
    <mergeCell ref="D3:D4"/>
    <mergeCell ref="C3:C4"/>
    <mergeCell ref="B3:B4"/>
  </mergeCells>
  <phoneticPr fontId="15" type="noConversion"/>
  <hyperlinks>
    <hyperlink ref="F24" location="汇总!A1" display="剩余欠款"/>
  </hyperlinks>
  <pageMargins left="0.7" right="0.7" top="0.75" bottom="0.75" header="0.3" footer="0.3"/>
  <pageSetup paperSize="9"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pane ySplit="1" topLeftCell="A2" activePane="bottomLeft" state="frozen"/>
      <selection pane="bottomLeft" activeCell="F15" sqref="F15"/>
    </sheetView>
  </sheetViews>
  <sheetFormatPr defaultColWidth="8.75" defaultRowHeight="14.25"/>
  <cols>
    <col min="1" max="1" width="13" style="168" customWidth="1"/>
    <col min="2" max="2" width="8.875" style="168" bestFit="1" customWidth="1"/>
    <col min="3" max="3" width="29.375" style="168" bestFit="1" customWidth="1"/>
    <col min="4" max="5" width="15" style="168" customWidth="1"/>
    <col min="6" max="6" width="13.375" style="527" customWidth="1"/>
    <col min="7" max="7" width="11.375" style="168" bestFit="1" customWidth="1"/>
    <col min="8" max="8" width="16.625" style="168" bestFit="1" customWidth="1"/>
    <col min="9" max="9" width="12.875" style="168" customWidth="1"/>
    <col min="10" max="10" width="11.625" style="168" bestFit="1" customWidth="1"/>
    <col min="11" max="11" width="11.375" style="168" bestFit="1" customWidth="1"/>
    <col min="12" max="12" width="38.25" style="168" bestFit="1" customWidth="1"/>
    <col min="13" max="13" width="13.875" style="168" bestFit="1" customWidth="1"/>
    <col min="14" max="16384" width="8.75" style="168"/>
  </cols>
  <sheetData>
    <row r="1" spans="1:14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7" t="s">
        <v>542</v>
      </c>
    </row>
    <row r="2" spans="1:14" ht="15">
      <c r="A2" s="623">
        <v>45049</v>
      </c>
      <c r="B2" s="623" t="s">
        <v>2644</v>
      </c>
      <c r="C2" s="623" t="s">
        <v>5000</v>
      </c>
      <c r="D2" s="624" t="s">
        <v>5013</v>
      </c>
      <c r="E2" s="605">
        <v>2857.28</v>
      </c>
      <c r="F2" s="732">
        <v>600.03</v>
      </c>
      <c r="G2" s="605">
        <v>3457.3</v>
      </c>
      <c r="H2" s="1358">
        <v>45050</v>
      </c>
      <c r="I2" s="639"/>
      <c r="J2" s="1394"/>
      <c r="K2" s="226"/>
      <c r="L2" s="166"/>
      <c r="M2"/>
      <c r="N2"/>
    </row>
    <row r="3" spans="1:14" ht="15">
      <c r="A3" s="623">
        <v>45050</v>
      </c>
      <c r="B3" s="623" t="s">
        <v>2644</v>
      </c>
      <c r="C3" s="623" t="s">
        <v>5000</v>
      </c>
      <c r="D3" s="624" t="s">
        <v>5014</v>
      </c>
      <c r="E3" s="605">
        <v>1093.3499999999999</v>
      </c>
      <c r="F3" s="732">
        <v>229.6</v>
      </c>
      <c r="G3" s="605">
        <v>1322.96</v>
      </c>
      <c r="H3" s="623">
        <v>45051</v>
      </c>
      <c r="I3" s="639"/>
      <c r="J3" s="1394"/>
      <c r="K3" s="226"/>
      <c r="L3" s="226"/>
      <c r="M3"/>
      <c r="N3"/>
    </row>
    <row r="4" spans="1:14" ht="15">
      <c r="A4" s="623">
        <v>45057</v>
      </c>
      <c r="B4" s="623" t="s">
        <v>2644</v>
      </c>
      <c r="C4" s="623" t="s">
        <v>5000</v>
      </c>
      <c r="D4" s="624" t="s">
        <v>5015</v>
      </c>
      <c r="E4" s="605">
        <v>-495.87</v>
      </c>
      <c r="F4" s="732">
        <v>-104.13</v>
      </c>
      <c r="G4" s="605">
        <v>-600</v>
      </c>
      <c r="H4" s="623">
        <v>45059</v>
      </c>
      <c r="I4" s="639"/>
      <c r="J4" s="1394"/>
      <c r="K4" s="226"/>
      <c r="L4" s="226" t="s">
        <v>5017</v>
      </c>
      <c r="M4"/>
      <c r="N4"/>
    </row>
    <row r="5" spans="1:14" ht="15">
      <c r="A5" s="623">
        <v>45058</v>
      </c>
      <c r="B5" s="623" t="s">
        <v>2644</v>
      </c>
      <c r="C5" s="623" t="s">
        <v>5000</v>
      </c>
      <c r="D5" s="624" t="s">
        <v>5016</v>
      </c>
      <c r="E5" s="605">
        <v>-495.87</v>
      </c>
      <c r="F5" s="732">
        <v>-104.13</v>
      </c>
      <c r="G5" s="605">
        <v>-600</v>
      </c>
      <c r="H5" s="623">
        <v>45059</v>
      </c>
      <c r="I5" s="639"/>
      <c r="J5" s="1394"/>
      <c r="K5" s="226"/>
      <c r="L5" s="226" t="s">
        <v>5017</v>
      </c>
    </row>
    <row r="6" spans="1:14" ht="15">
      <c r="A6" s="623"/>
      <c r="B6" s="623"/>
      <c r="C6" s="623"/>
      <c r="D6" s="624"/>
      <c r="E6" s="605"/>
      <c r="F6" s="732"/>
      <c r="G6" s="605"/>
      <c r="H6" s="623"/>
      <c r="I6" s="639"/>
      <c r="J6" s="1394"/>
      <c r="K6" s="226"/>
      <c r="L6" s="226"/>
    </row>
    <row r="7" spans="1:14" ht="15">
      <c r="A7" s="623"/>
      <c r="B7" s="623"/>
      <c r="C7" s="623"/>
      <c r="D7" s="624"/>
      <c r="E7" s="605"/>
      <c r="F7" s="732"/>
      <c r="G7" s="605"/>
      <c r="H7" s="623"/>
      <c r="I7" s="639"/>
      <c r="J7" s="1394"/>
      <c r="K7" s="226"/>
      <c r="L7" s="226"/>
    </row>
    <row r="8" spans="1:14" ht="15">
      <c r="A8" s="623"/>
      <c r="B8" s="623"/>
      <c r="C8" s="623"/>
      <c r="D8" s="624"/>
      <c r="E8" s="605"/>
      <c r="F8" s="732"/>
      <c r="G8" s="605"/>
      <c r="H8" s="623"/>
      <c r="I8" s="639"/>
      <c r="J8" s="1394"/>
      <c r="K8" s="226"/>
      <c r="L8" s="226"/>
    </row>
    <row r="9" spans="1:14" ht="15">
      <c r="A9" s="623"/>
      <c r="B9" s="623"/>
      <c r="C9" s="623"/>
      <c r="D9" s="624"/>
      <c r="E9" s="605"/>
      <c r="F9" s="732"/>
      <c r="G9" s="605"/>
      <c r="H9" s="623"/>
      <c r="I9" s="639"/>
      <c r="J9" s="1394"/>
      <c r="K9" s="226"/>
      <c r="L9" s="226"/>
    </row>
    <row r="10" spans="1:14" ht="15">
      <c r="A10" s="623"/>
      <c r="B10" s="623"/>
      <c r="C10" s="623"/>
      <c r="D10" s="624"/>
      <c r="E10" s="605"/>
      <c r="F10" s="732"/>
      <c r="G10" s="605"/>
      <c r="H10" s="623"/>
      <c r="I10" s="639"/>
      <c r="J10" s="1394"/>
      <c r="K10" s="226"/>
      <c r="L10" s="226"/>
    </row>
    <row r="11" spans="1:14" ht="15">
      <c r="A11" s="623"/>
      <c r="B11" s="623"/>
      <c r="C11" s="623"/>
      <c r="D11" s="624"/>
      <c r="E11" s="605"/>
      <c r="F11" s="732"/>
      <c r="G11" s="605"/>
      <c r="H11" s="623"/>
      <c r="I11" s="639"/>
      <c r="J11" s="1394"/>
      <c r="K11" s="226"/>
      <c r="L11" s="226"/>
    </row>
    <row r="12" spans="1:14" ht="15">
      <c r="A12" s="623"/>
      <c r="B12" s="623"/>
      <c r="C12" s="623"/>
      <c r="D12" s="624"/>
      <c r="E12" s="605"/>
      <c r="F12" s="732"/>
      <c r="G12" s="605"/>
      <c r="H12" s="623"/>
      <c r="I12" s="639"/>
      <c r="J12" s="1394"/>
      <c r="K12" s="226"/>
      <c r="L12" s="226"/>
    </row>
    <row r="13" spans="1:14" ht="15">
      <c r="A13" s="1394"/>
      <c r="B13" s="1394"/>
      <c r="C13" s="1394"/>
      <c r="D13" s="1395"/>
      <c r="E13" s="605"/>
      <c r="F13" s="732"/>
      <c r="G13" s="639"/>
      <c r="H13" s="1394"/>
      <c r="I13" s="639"/>
      <c r="J13" s="1394"/>
      <c r="K13" s="226"/>
      <c r="L13" s="226"/>
    </row>
    <row r="14" spans="1:14" ht="15">
      <c r="A14" s="1394"/>
      <c r="B14" s="1394"/>
      <c r="C14" s="1394"/>
      <c r="D14" s="1395"/>
      <c r="E14" s="605"/>
      <c r="F14" s="732"/>
      <c r="G14" s="639"/>
      <c r="H14" s="1394"/>
      <c r="I14" s="639"/>
      <c r="J14" s="1394"/>
      <c r="K14" s="226"/>
      <c r="L14" s="226"/>
    </row>
    <row r="15" spans="1:14" ht="15">
      <c r="A15" s="1395"/>
      <c r="B15" s="1395"/>
      <c r="C15" s="1395"/>
      <c r="D15" s="619"/>
      <c r="E15" s="619"/>
      <c r="F15" s="1144" t="s">
        <v>545</v>
      </c>
      <c r="G15" s="651">
        <f>SUM(G2:G14)-SUM(I2:I14)</f>
        <v>3580.26</v>
      </c>
      <c r="H15" s="634"/>
      <c r="I15" s="639"/>
      <c r="J15" s="1394"/>
      <c r="K15" s="226"/>
      <c r="L15" s="226"/>
    </row>
  </sheetData>
  <phoneticPr fontId="15" type="noConversion"/>
  <hyperlinks>
    <hyperlink ref="F15" location="汇总!A1" display="剩余欠款"/>
  </hyperlinks>
  <pageMargins left="0.7" right="0.7" top="0.75" bottom="0.75" header="0.3" footer="0.3"/>
  <pageSetup paperSize="9"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pane ySplit="1" topLeftCell="A2" activePane="bottomLeft" state="frozen"/>
      <selection pane="bottomLeft" activeCell="F19" sqref="F19"/>
    </sheetView>
  </sheetViews>
  <sheetFormatPr defaultColWidth="8.75" defaultRowHeight="14.25"/>
  <cols>
    <col min="1" max="1" width="13" style="168" customWidth="1"/>
    <col min="2" max="2" width="8.875" style="168" bestFit="1" customWidth="1"/>
    <col min="3" max="3" width="29.375" style="168" bestFit="1" customWidth="1"/>
    <col min="4" max="5" width="15" style="168" customWidth="1"/>
    <col min="6" max="6" width="13.375" style="527" customWidth="1"/>
    <col min="7" max="7" width="11.375" style="168" bestFit="1" customWidth="1"/>
    <col min="8" max="8" width="16.625" style="168" bestFit="1" customWidth="1"/>
    <col min="9" max="9" width="12.875" style="168" customWidth="1"/>
    <col min="10" max="10" width="11.625" style="168" bestFit="1" customWidth="1"/>
    <col min="11" max="11" width="11.375" style="168" bestFit="1" customWidth="1"/>
    <col min="12" max="12" width="25" style="168" bestFit="1" customWidth="1"/>
    <col min="13" max="13" width="13.875" style="168" bestFit="1" customWidth="1"/>
    <col min="14" max="16384" width="8.75" style="168"/>
  </cols>
  <sheetData>
    <row r="1" spans="1:14" customFormat="1" ht="18.75">
      <c r="A1" s="1385" t="s">
        <v>536</v>
      </c>
      <c r="B1" s="1385" t="s">
        <v>516</v>
      </c>
      <c r="C1" s="1385" t="s">
        <v>515</v>
      </c>
      <c r="D1" s="1433" t="s">
        <v>2150</v>
      </c>
      <c r="E1" s="1433" t="s">
        <v>2718</v>
      </c>
      <c r="F1" s="1434" t="s">
        <v>2719</v>
      </c>
      <c r="G1" s="1435" t="s">
        <v>2721</v>
      </c>
      <c r="H1" s="1435" t="s">
        <v>4099</v>
      </c>
      <c r="I1" s="1433" t="s">
        <v>3043</v>
      </c>
      <c r="J1" s="1433" t="s">
        <v>4100</v>
      </c>
      <c r="K1" s="257" t="s">
        <v>541</v>
      </c>
      <c r="L1" s="257" t="s">
        <v>542</v>
      </c>
    </row>
    <row r="2" spans="1:14" ht="15">
      <c r="A2" s="1403">
        <v>44823</v>
      </c>
      <c r="B2" s="1403" t="s">
        <v>5018</v>
      </c>
      <c r="C2" s="1403" t="s">
        <v>5001</v>
      </c>
      <c r="D2" s="1405" t="s">
        <v>5019</v>
      </c>
      <c r="E2" s="611">
        <v>1566.21</v>
      </c>
      <c r="F2" s="731">
        <v>328.9</v>
      </c>
      <c r="G2" s="611">
        <v>1976.55</v>
      </c>
      <c r="H2" s="1315">
        <v>44824</v>
      </c>
      <c r="I2" s="611">
        <v>1976.55</v>
      </c>
      <c r="J2" s="1403">
        <v>44826</v>
      </c>
      <c r="K2" s="1401" t="s">
        <v>5061</v>
      </c>
      <c r="L2" s="166"/>
      <c r="M2"/>
      <c r="N2"/>
    </row>
    <row r="3" spans="1:14" ht="15">
      <c r="A3" s="1403">
        <v>44858</v>
      </c>
      <c r="B3" s="1403" t="s">
        <v>5018</v>
      </c>
      <c r="C3" s="1403" t="s">
        <v>5001</v>
      </c>
      <c r="D3" s="1405" t="s">
        <v>5020</v>
      </c>
      <c r="E3" s="611">
        <v>354.72</v>
      </c>
      <c r="F3" s="731">
        <v>74.489999999999995</v>
      </c>
      <c r="G3" s="611">
        <v>447.66</v>
      </c>
      <c r="H3" s="1403">
        <v>44859</v>
      </c>
      <c r="I3" s="1951">
        <v>548.41</v>
      </c>
      <c r="J3" s="1903">
        <v>44859</v>
      </c>
      <c r="K3" s="1935" t="s">
        <v>5062</v>
      </c>
      <c r="L3" s="226"/>
      <c r="M3"/>
      <c r="N3"/>
    </row>
    <row r="4" spans="1:14" ht="15">
      <c r="A4" s="1403">
        <v>44858</v>
      </c>
      <c r="B4" s="1403" t="s">
        <v>5018</v>
      </c>
      <c r="C4" s="1403" t="s">
        <v>5001</v>
      </c>
      <c r="D4" s="1405" t="s">
        <v>5021</v>
      </c>
      <c r="E4" s="611">
        <v>79.83</v>
      </c>
      <c r="F4" s="731">
        <v>16.760000000000002</v>
      </c>
      <c r="G4" s="611">
        <v>100.75</v>
      </c>
      <c r="H4" s="1403">
        <v>44859</v>
      </c>
      <c r="I4" s="1953"/>
      <c r="J4" s="1905"/>
      <c r="K4" s="1947"/>
      <c r="L4" s="226"/>
      <c r="M4"/>
      <c r="N4"/>
    </row>
    <row r="5" spans="1:14" ht="15">
      <c r="A5" s="1403">
        <v>44950</v>
      </c>
      <c r="B5" s="1403" t="s">
        <v>5022</v>
      </c>
      <c r="C5" s="1403" t="s">
        <v>5001</v>
      </c>
      <c r="D5" s="1405" t="s">
        <v>5023</v>
      </c>
      <c r="E5" s="611">
        <v>715.84</v>
      </c>
      <c r="F5" s="731">
        <v>150.33000000000001</v>
      </c>
      <c r="G5" s="611">
        <v>903.39</v>
      </c>
      <c r="H5" s="1403">
        <v>44951</v>
      </c>
      <c r="I5" s="611">
        <v>903.39</v>
      </c>
      <c r="J5" s="1403">
        <v>44951</v>
      </c>
      <c r="K5" s="1401" t="s">
        <v>5061</v>
      </c>
      <c r="L5" s="226"/>
    </row>
    <row r="6" spans="1:14" ht="15">
      <c r="A6" s="1403">
        <v>45006</v>
      </c>
      <c r="B6" s="1403" t="s">
        <v>5022</v>
      </c>
      <c r="C6" s="1403" t="s">
        <v>5001</v>
      </c>
      <c r="D6" s="1405" t="s">
        <v>5024</v>
      </c>
      <c r="E6" s="611">
        <v>860.22</v>
      </c>
      <c r="F6" s="731">
        <v>180.65</v>
      </c>
      <c r="G6" s="611">
        <v>1085.5899999999999</v>
      </c>
      <c r="H6" s="1403">
        <v>45008</v>
      </c>
      <c r="I6" s="611">
        <v>1085.5899999999999</v>
      </c>
      <c r="J6" s="1403">
        <v>45008</v>
      </c>
      <c r="K6" s="1401" t="s">
        <v>5061</v>
      </c>
      <c r="L6" s="226"/>
    </row>
    <row r="7" spans="1:14" ht="15">
      <c r="A7" s="623">
        <v>45061</v>
      </c>
      <c r="B7" s="623" t="s">
        <v>2644</v>
      </c>
      <c r="C7" s="623" t="s">
        <v>5001</v>
      </c>
      <c r="D7" s="624" t="s">
        <v>5025</v>
      </c>
      <c r="E7" s="605">
        <v>793.08</v>
      </c>
      <c r="F7" s="732">
        <v>166.55</v>
      </c>
      <c r="G7" s="605">
        <v>1000.86</v>
      </c>
      <c r="H7" s="623">
        <v>45062</v>
      </c>
      <c r="I7" s="639"/>
      <c r="J7" s="1394"/>
      <c r="K7" s="1389"/>
      <c r="L7" s="226"/>
    </row>
    <row r="8" spans="1:14" ht="15">
      <c r="A8" s="623">
        <v>45061</v>
      </c>
      <c r="B8" s="623" t="s">
        <v>2644</v>
      </c>
      <c r="C8" s="623" t="s">
        <v>5001</v>
      </c>
      <c r="D8" s="624" t="s">
        <v>5026</v>
      </c>
      <c r="E8" s="605">
        <v>154.84</v>
      </c>
      <c r="F8" s="732">
        <v>32.520000000000003</v>
      </c>
      <c r="G8" s="605">
        <v>195.41</v>
      </c>
      <c r="H8" s="623">
        <v>45062</v>
      </c>
      <c r="I8" s="639"/>
      <c r="J8" s="1394"/>
      <c r="K8" s="1389"/>
      <c r="L8" s="226"/>
    </row>
    <row r="9" spans="1:14" ht="15">
      <c r="A9" s="623">
        <v>45062</v>
      </c>
      <c r="B9" s="623" t="s">
        <v>2644</v>
      </c>
      <c r="C9" s="623" t="s">
        <v>5001</v>
      </c>
      <c r="D9" s="624" t="s">
        <v>5027</v>
      </c>
      <c r="E9" s="605">
        <v>82.35</v>
      </c>
      <c r="F9" s="732">
        <v>17.29</v>
      </c>
      <c r="G9" s="605">
        <v>103.93</v>
      </c>
      <c r="H9" s="623">
        <v>45063</v>
      </c>
      <c r="I9" s="639"/>
      <c r="J9" s="1394"/>
      <c r="K9" s="1389"/>
      <c r="L9" s="226"/>
    </row>
    <row r="10" spans="1:14" ht="15">
      <c r="A10" s="623">
        <v>45072</v>
      </c>
      <c r="B10" s="623" t="s">
        <v>2644</v>
      </c>
      <c r="C10" s="623" t="s">
        <v>5001</v>
      </c>
      <c r="D10" s="624" t="s">
        <v>5179</v>
      </c>
      <c r="E10" s="605">
        <v>-52.23</v>
      </c>
      <c r="F10" s="732">
        <v>-10.97</v>
      </c>
      <c r="G10" s="605">
        <v>-65.92</v>
      </c>
      <c r="H10" s="623"/>
      <c r="I10" s="639"/>
      <c r="J10" s="1394"/>
      <c r="K10" s="1389"/>
      <c r="L10" s="226"/>
    </row>
    <row r="11" spans="1:14" ht="15">
      <c r="A11" s="623"/>
      <c r="B11" s="623"/>
      <c r="C11" s="623"/>
      <c r="D11" s="624"/>
      <c r="E11" s="605"/>
      <c r="F11" s="732"/>
      <c r="G11" s="605"/>
      <c r="H11" s="623"/>
      <c r="I11" s="639"/>
      <c r="J11" s="1394"/>
      <c r="K11" s="1389"/>
      <c r="L11" s="226"/>
    </row>
    <row r="12" spans="1:14" ht="15">
      <c r="A12" s="623"/>
      <c r="B12" s="623"/>
      <c r="C12" s="623"/>
      <c r="D12" s="624"/>
      <c r="E12" s="605"/>
      <c r="F12" s="732"/>
      <c r="G12" s="605"/>
      <c r="H12" s="623"/>
      <c r="I12" s="639"/>
      <c r="J12" s="1394"/>
      <c r="K12" s="1389"/>
      <c r="L12" s="226"/>
    </row>
    <row r="13" spans="1:14" ht="15">
      <c r="A13" s="623"/>
      <c r="B13" s="623"/>
      <c r="C13" s="623"/>
      <c r="D13" s="624"/>
      <c r="E13" s="605"/>
      <c r="F13" s="732"/>
      <c r="G13" s="605"/>
      <c r="H13" s="623"/>
      <c r="I13" s="639"/>
      <c r="J13" s="1394"/>
      <c r="K13" s="1389"/>
      <c r="L13" s="226"/>
    </row>
    <row r="14" spans="1:14" ht="15">
      <c r="A14" s="623"/>
      <c r="B14" s="623"/>
      <c r="C14" s="623"/>
      <c r="D14" s="624"/>
      <c r="E14" s="605"/>
      <c r="F14" s="732"/>
      <c r="G14" s="605"/>
      <c r="H14" s="623"/>
      <c r="I14" s="639"/>
      <c r="J14" s="1394"/>
      <c r="K14" s="1389"/>
      <c r="L14" s="226"/>
    </row>
    <row r="15" spans="1:14" ht="15">
      <c r="A15" s="623"/>
      <c r="B15" s="623"/>
      <c r="C15" s="623"/>
      <c r="D15" s="624"/>
      <c r="E15" s="605"/>
      <c r="F15" s="732"/>
      <c r="G15" s="605"/>
      <c r="H15" s="623"/>
      <c r="I15" s="639"/>
      <c r="J15" s="1394"/>
      <c r="K15" s="1389"/>
      <c r="L15" s="226"/>
    </row>
    <row r="16" spans="1:14" ht="15">
      <c r="A16" s="623"/>
      <c r="B16" s="623"/>
      <c r="C16" s="623"/>
      <c r="D16" s="624"/>
      <c r="E16" s="605"/>
      <c r="F16" s="732"/>
      <c r="G16" s="605"/>
      <c r="H16" s="623"/>
      <c r="I16" s="639"/>
      <c r="J16" s="1394"/>
      <c r="K16" s="1389"/>
      <c r="L16" s="226"/>
    </row>
    <row r="17" spans="1:12" ht="15">
      <c r="A17" s="1394"/>
      <c r="B17" s="1394"/>
      <c r="C17" s="1394"/>
      <c r="D17" s="1395"/>
      <c r="E17" s="605"/>
      <c r="F17" s="732"/>
      <c r="G17" s="639"/>
      <c r="H17" s="1394"/>
      <c r="I17" s="639"/>
      <c r="J17" s="1394"/>
      <c r="K17" s="1389"/>
      <c r="L17" s="226"/>
    </row>
    <row r="18" spans="1:12" ht="15">
      <c r="A18" s="1394"/>
      <c r="B18" s="1394"/>
      <c r="C18" s="1394"/>
      <c r="D18" s="1395"/>
      <c r="E18" s="605"/>
      <c r="F18" s="732"/>
      <c r="G18" s="639"/>
      <c r="H18" s="1394"/>
      <c r="I18" s="639"/>
      <c r="J18" s="1394"/>
      <c r="K18" s="1389"/>
      <c r="L18" s="226"/>
    </row>
    <row r="19" spans="1:12" ht="15">
      <c r="A19" s="1395"/>
      <c r="B19" s="1395"/>
      <c r="C19" s="1395"/>
      <c r="D19" s="619"/>
      <c r="E19" s="619"/>
      <c r="F19" s="1144" t="s">
        <v>545</v>
      </c>
      <c r="G19" s="651">
        <f>SUM(G2:G18)-SUM(I2:I18)</f>
        <v>1234.2799999999997</v>
      </c>
      <c r="H19" s="634"/>
      <c r="I19" s="639"/>
      <c r="J19" s="1394"/>
      <c r="K19" s="1389"/>
      <c r="L19" s="226"/>
    </row>
  </sheetData>
  <mergeCells count="3">
    <mergeCell ref="K3:K4"/>
    <mergeCell ref="J3:J4"/>
    <mergeCell ref="I3:I4"/>
  </mergeCells>
  <phoneticPr fontId="15" type="noConversion"/>
  <hyperlinks>
    <hyperlink ref="F19" location="汇总!A1" display="剩余欠款"/>
  </hyperlinks>
  <pageMargins left="0.7" right="0.7" top="0.75" bottom="0.75" header="0.3" footer="0.3"/>
  <pageSetup paperSize="9"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pane ySplit="1" topLeftCell="A2" activePane="bottomLeft" state="frozen"/>
      <selection pane="bottomLeft" activeCell="F15" sqref="F15"/>
    </sheetView>
  </sheetViews>
  <sheetFormatPr defaultColWidth="8.75" defaultRowHeight="14.25"/>
  <cols>
    <col min="1" max="1" width="13" style="168" customWidth="1"/>
    <col min="2" max="2" width="8.875" style="168" bestFit="1" customWidth="1"/>
    <col min="3" max="3" width="29.375" style="168" bestFit="1" customWidth="1"/>
    <col min="4" max="5" width="15" style="168" customWidth="1"/>
    <col min="6" max="6" width="13.375" style="527" customWidth="1"/>
    <col min="7" max="7" width="11.375" style="168" bestFit="1" customWidth="1"/>
    <col min="8" max="8" width="16.625" style="168" bestFit="1" customWidth="1"/>
    <col min="9" max="9" width="12.875" style="168" customWidth="1"/>
    <col min="10" max="10" width="11.625" style="168" bestFit="1" customWidth="1"/>
    <col min="11" max="11" width="11.375" style="168" bestFit="1" customWidth="1"/>
    <col min="12" max="12" width="25" style="168" bestFit="1" customWidth="1"/>
    <col min="13" max="13" width="13.875" style="168" bestFit="1" customWidth="1"/>
    <col min="14" max="16384" width="8.75" style="168"/>
  </cols>
  <sheetData>
    <row r="1" spans="1:14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7" t="s">
        <v>542</v>
      </c>
    </row>
    <row r="2" spans="1:14" ht="15">
      <c r="A2" s="1403">
        <v>45008</v>
      </c>
      <c r="B2" s="1403" t="s">
        <v>2644</v>
      </c>
      <c r="C2" s="1403" t="s">
        <v>5002</v>
      </c>
      <c r="D2" s="1405" t="s">
        <v>5028</v>
      </c>
      <c r="E2" s="611">
        <v>596.57000000000005</v>
      </c>
      <c r="F2" s="731">
        <v>125.28</v>
      </c>
      <c r="G2" s="611">
        <v>721.84</v>
      </c>
      <c r="H2" s="1315">
        <v>45009</v>
      </c>
      <c r="I2" s="1951">
        <v>893.87</v>
      </c>
      <c r="J2" s="1903">
        <v>45014</v>
      </c>
      <c r="K2" s="1935" t="s">
        <v>5061</v>
      </c>
      <c r="L2" s="166"/>
      <c r="M2"/>
      <c r="N2"/>
    </row>
    <row r="3" spans="1:14" ht="15">
      <c r="A3" s="1403">
        <v>45008</v>
      </c>
      <c r="B3" s="1403" t="s">
        <v>2644</v>
      </c>
      <c r="C3" s="1403" t="s">
        <v>5002</v>
      </c>
      <c r="D3" s="1405" t="s">
        <v>5029</v>
      </c>
      <c r="E3" s="611">
        <v>142.16999999999999</v>
      </c>
      <c r="F3" s="731">
        <v>29.86</v>
      </c>
      <c r="G3" s="611">
        <v>172.03</v>
      </c>
      <c r="H3" s="1403">
        <v>45009</v>
      </c>
      <c r="I3" s="1953"/>
      <c r="J3" s="1905"/>
      <c r="K3" s="1947"/>
      <c r="L3" s="226"/>
      <c r="M3"/>
      <c r="N3"/>
    </row>
    <row r="4" spans="1:14" ht="15">
      <c r="A4" s="1403">
        <v>45061</v>
      </c>
      <c r="B4" s="1403" t="s">
        <v>2644</v>
      </c>
      <c r="C4" s="1403" t="s">
        <v>5002</v>
      </c>
      <c r="D4" s="1405" t="s">
        <v>5030</v>
      </c>
      <c r="E4" s="611">
        <v>570.76</v>
      </c>
      <c r="F4" s="731">
        <v>119.86</v>
      </c>
      <c r="G4" s="611">
        <v>690.62</v>
      </c>
      <c r="H4" s="1403">
        <v>45062</v>
      </c>
      <c r="I4" s="611">
        <v>690.62</v>
      </c>
      <c r="J4" s="1394">
        <v>45067</v>
      </c>
      <c r="K4" s="1389" t="s">
        <v>544</v>
      </c>
      <c r="L4" s="226"/>
      <c r="M4"/>
      <c r="N4"/>
    </row>
    <row r="5" spans="1:14" ht="15">
      <c r="A5" s="1403">
        <v>45063</v>
      </c>
      <c r="B5" s="1403" t="s">
        <v>2644</v>
      </c>
      <c r="C5" s="1403" t="s">
        <v>5002</v>
      </c>
      <c r="D5" s="1405" t="s">
        <v>5031</v>
      </c>
      <c r="E5" s="611">
        <v>38.520000000000003</v>
      </c>
      <c r="F5" s="731">
        <v>8.09</v>
      </c>
      <c r="G5" s="611">
        <v>46.61</v>
      </c>
      <c r="H5" s="1403">
        <v>45064</v>
      </c>
      <c r="I5" s="611">
        <v>46.61</v>
      </c>
      <c r="J5" s="1394">
        <v>45067</v>
      </c>
      <c r="K5" s="1389" t="s">
        <v>544</v>
      </c>
      <c r="L5" s="226"/>
    </row>
    <row r="6" spans="1:14" ht="15">
      <c r="A6" s="623"/>
      <c r="B6" s="623"/>
      <c r="C6" s="623"/>
      <c r="D6" s="624"/>
      <c r="E6" s="605"/>
      <c r="F6" s="732"/>
      <c r="G6" s="605"/>
      <c r="H6" s="623"/>
      <c r="I6" s="639"/>
      <c r="J6" s="1394"/>
      <c r="K6" s="1389"/>
      <c r="L6" s="226"/>
    </row>
    <row r="7" spans="1:14" ht="15">
      <c r="A7" s="623"/>
      <c r="B7" s="623"/>
      <c r="C7" s="623"/>
      <c r="D7" s="624"/>
      <c r="E7" s="605"/>
      <c r="F7" s="732"/>
      <c r="G7" s="605"/>
      <c r="H7" s="623"/>
      <c r="I7" s="639"/>
      <c r="J7" s="1394"/>
      <c r="K7" s="1389"/>
      <c r="L7" s="226"/>
    </row>
    <row r="8" spans="1:14" ht="15">
      <c r="A8" s="623"/>
      <c r="B8" s="623"/>
      <c r="C8" s="623"/>
      <c r="D8" s="624"/>
      <c r="E8" s="605"/>
      <c r="F8" s="732"/>
      <c r="G8" s="605"/>
      <c r="H8" s="623"/>
      <c r="I8" s="639"/>
      <c r="J8" s="1394"/>
      <c r="K8" s="1389"/>
      <c r="L8" s="226"/>
    </row>
    <row r="9" spans="1:14" ht="15">
      <c r="A9" s="623"/>
      <c r="B9" s="623"/>
      <c r="C9" s="623"/>
      <c r="D9" s="624"/>
      <c r="E9" s="605"/>
      <c r="F9" s="732"/>
      <c r="G9" s="605"/>
      <c r="H9" s="623"/>
      <c r="I9" s="639"/>
      <c r="J9" s="1394"/>
      <c r="K9" s="1389"/>
      <c r="L9" s="226"/>
    </row>
    <row r="10" spans="1:14" ht="15">
      <c r="A10" s="623"/>
      <c r="B10" s="623"/>
      <c r="C10" s="623"/>
      <c r="D10" s="624"/>
      <c r="E10" s="605"/>
      <c r="F10" s="732"/>
      <c r="G10" s="605"/>
      <c r="H10" s="623"/>
      <c r="I10" s="639"/>
      <c r="J10" s="1394"/>
      <c r="K10" s="1389"/>
      <c r="L10" s="226"/>
    </row>
    <row r="11" spans="1:14" ht="15">
      <c r="A11" s="623"/>
      <c r="B11" s="623"/>
      <c r="C11" s="623"/>
      <c r="D11" s="624"/>
      <c r="E11" s="605"/>
      <c r="F11" s="732"/>
      <c r="G11" s="605"/>
      <c r="H11" s="623"/>
      <c r="I11" s="639"/>
      <c r="J11" s="1394"/>
      <c r="K11" s="1389"/>
      <c r="L11" s="226"/>
    </row>
    <row r="12" spans="1:14" ht="15">
      <c r="A12" s="623"/>
      <c r="B12" s="623"/>
      <c r="C12" s="623"/>
      <c r="D12" s="624"/>
      <c r="E12" s="605"/>
      <c r="F12" s="732"/>
      <c r="G12" s="605"/>
      <c r="H12" s="623"/>
      <c r="I12" s="639"/>
      <c r="J12" s="1394"/>
      <c r="K12" s="1389"/>
      <c r="L12" s="226"/>
    </row>
    <row r="13" spans="1:14" ht="15">
      <c r="A13" s="1394"/>
      <c r="B13" s="1394"/>
      <c r="C13" s="1394"/>
      <c r="D13" s="1395"/>
      <c r="E13" s="605"/>
      <c r="F13" s="732"/>
      <c r="G13" s="639"/>
      <c r="H13" s="1394"/>
      <c r="I13" s="639"/>
      <c r="J13" s="1394"/>
      <c r="K13" s="1389"/>
      <c r="L13" s="226"/>
    </row>
    <row r="14" spans="1:14" ht="15">
      <c r="A14" s="1394"/>
      <c r="B14" s="1394"/>
      <c r="C14" s="1394"/>
      <c r="D14" s="1395"/>
      <c r="E14" s="605"/>
      <c r="F14" s="732"/>
      <c r="G14" s="639"/>
      <c r="H14" s="1394"/>
      <c r="I14" s="639"/>
      <c r="J14" s="1394"/>
      <c r="K14" s="1389"/>
      <c r="L14" s="226"/>
    </row>
    <row r="15" spans="1:14" ht="15">
      <c r="A15" s="1395"/>
      <c r="B15" s="1395"/>
      <c r="C15" s="1395"/>
      <c r="D15" s="619"/>
      <c r="E15" s="619"/>
      <c r="F15" s="1144" t="s">
        <v>545</v>
      </c>
      <c r="G15" s="651">
        <f>SUM(G2:G14)-SUM(I2:I14)</f>
        <v>0</v>
      </c>
      <c r="H15" s="634"/>
      <c r="I15" s="639"/>
      <c r="J15" s="1394"/>
      <c r="K15" s="1389"/>
      <c r="L15" s="226"/>
    </row>
  </sheetData>
  <mergeCells count="3">
    <mergeCell ref="K2:K3"/>
    <mergeCell ref="J2:J3"/>
    <mergeCell ref="I2:I3"/>
  </mergeCells>
  <phoneticPr fontId="15" type="noConversion"/>
  <hyperlinks>
    <hyperlink ref="F15" location="汇总!A1" display="剩余欠款"/>
  </hyperlinks>
  <pageMargins left="0.7" right="0.7" top="0.75" bottom="0.75" header="0.3" footer="0.3"/>
  <pageSetup paperSize="9"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pane ySplit="1" topLeftCell="A2" activePane="bottomLeft" state="frozen"/>
      <selection pane="bottomLeft" activeCell="F15" sqref="F15"/>
    </sheetView>
  </sheetViews>
  <sheetFormatPr defaultColWidth="8.75" defaultRowHeight="14.25"/>
  <cols>
    <col min="1" max="1" width="13" style="168" customWidth="1"/>
    <col min="2" max="2" width="8.875" style="168" bestFit="1" customWidth="1"/>
    <col min="3" max="3" width="33.875" style="168" bestFit="1" customWidth="1"/>
    <col min="4" max="5" width="15" style="168" customWidth="1"/>
    <col min="6" max="6" width="13.375" style="527" customWidth="1"/>
    <col min="7" max="7" width="11.375" style="168" bestFit="1" customWidth="1"/>
    <col min="8" max="8" width="16.625" style="168" bestFit="1" customWidth="1"/>
    <col min="9" max="9" width="12.875" style="168" customWidth="1"/>
    <col min="10" max="10" width="11.625" style="168" bestFit="1" customWidth="1"/>
    <col min="11" max="11" width="11.375" style="168" bestFit="1" customWidth="1"/>
    <col min="12" max="12" width="25" style="168" bestFit="1" customWidth="1"/>
    <col min="13" max="13" width="13.875" style="168" bestFit="1" customWidth="1"/>
    <col min="14" max="16384" width="8.75" style="168"/>
  </cols>
  <sheetData>
    <row r="1" spans="1:14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7" t="s">
        <v>542</v>
      </c>
    </row>
    <row r="2" spans="1:14" ht="15">
      <c r="A2" s="1427">
        <v>44993</v>
      </c>
      <c r="B2" s="1427" t="s">
        <v>2644</v>
      </c>
      <c r="C2" s="1427" t="s">
        <v>5003</v>
      </c>
      <c r="D2" s="1428" t="s">
        <v>5032</v>
      </c>
      <c r="E2" s="611">
        <v>5042.38</v>
      </c>
      <c r="F2" s="731">
        <v>1058.9000000000001</v>
      </c>
      <c r="G2" s="611">
        <v>6101.28</v>
      </c>
      <c r="H2" s="1315">
        <v>44994</v>
      </c>
      <c r="I2" s="1951">
        <v>6030.05</v>
      </c>
      <c r="J2" s="1903">
        <v>45070</v>
      </c>
      <c r="K2" s="1935" t="s">
        <v>5227</v>
      </c>
      <c r="L2" s="166"/>
      <c r="M2"/>
      <c r="N2"/>
    </row>
    <row r="3" spans="1:14" ht="15">
      <c r="A3" s="1427">
        <v>45065</v>
      </c>
      <c r="B3" s="1427" t="s">
        <v>2644</v>
      </c>
      <c r="C3" s="1427" t="s">
        <v>5003</v>
      </c>
      <c r="D3" s="1428" t="s">
        <v>5035</v>
      </c>
      <c r="E3" s="611">
        <v>-55.83</v>
      </c>
      <c r="F3" s="731">
        <v>-11.72</v>
      </c>
      <c r="G3" s="611">
        <v>-67.55</v>
      </c>
      <c r="H3" s="1427"/>
      <c r="I3" s="1952"/>
      <c r="J3" s="1904"/>
      <c r="K3" s="1950"/>
      <c r="L3" s="226"/>
    </row>
    <row r="4" spans="1:14" ht="15">
      <c r="A4" s="1427">
        <v>45068</v>
      </c>
      <c r="B4" s="1427" t="s">
        <v>2644</v>
      </c>
      <c r="C4" s="1427" t="s">
        <v>5003</v>
      </c>
      <c r="D4" s="1428" t="s">
        <v>5180</v>
      </c>
      <c r="E4" s="611">
        <v>-3.04</v>
      </c>
      <c r="F4" s="731">
        <v>-0.64</v>
      </c>
      <c r="G4" s="611">
        <v>-3.68</v>
      </c>
      <c r="H4" s="1427"/>
      <c r="I4" s="1953"/>
      <c r="J4" s="1905"/>
      <c r="K4" s="1947"/>
      <c r="L4" s="226"/>
    </row>
    <row r="5" spans="1:14" ht="15">
      <c r="A5" s="1427">
        <v>45027</v>
      </c>
      <c r="B5" s="1427" t="s">
        <v>2644</v>
      </c>
      <c r="C5" s="1427" t="s">
        <v>5003</v>
      </c>
      <c r="D5" s="1428" t="s">
        <v>5033</v>
      </c>
      <c r="E5" s="611">
        <v>757.42</v>
      </c>
      <c r="F5" s="731">
        <v>159.06</v>
      </c>
      <c r="G5" s="611">
        <v>916.47</v>
      </c>
      <c r="H5" s="1427">
        <v>45028</v>
      </c>
      <c r="I5" s="611">
        <v>916.47</v>
      </c>
      <c r="J5" s="1427">
        <v>45070</v>
      </c>
      <c r="K5" s="1425" t="s">
        <v>544</v>
      </c>
      <c r="L5" s="226"/>
      <c r="M5"/>
      <c r="N5"/>
    </row>
    <row r="6" spans="1:14" ht="15">
      <c r="A6" s="1403">
        <v>45049</v>
      </c>
      <c r="B6" s="1403" t="s">
        <v>2644</v>
      </c>
      <c r="C6" s="1403" t="s">
        <v>5003</v>
      </c>
      <c r="D6" s="1405" t="s">
        <v>5034</v>
      </c>
      <c r="E6" s="611">
        <v>717.32</v>
      </c>
      <c r="F6" s="731">
        <v>150.63999999999999</v>
      </c>
      <c r="G6" s="611">
        <v>867.95</v>
      </c>
      <c r="H6" s="1403">
        <v>45050</v>
      </c>
      <c r="I6" s="611">
        <v>867.95</v>
      </c>
      <c r="J6" s="1427">
        <v>45065</v>
      </c>
      <c r="K6" s="1401" t="s">
        <v>544</v>
      </c>
      <c r="L6" s="226"/>
      <c r="M6"/>
      <c r="N6"/>
    </row>
    <row r="7" spans="1:14" ht="15">
      <c r="A7" s="623"/>
      <c r="B7" s="623"/>
      <c r="C7" s="623"/>
      <c r="D7" s="624"/>
      <c r="E7" s="605"/>
      <c r="F7" s="732"/>
      <c r="G7" s="605"/>
      <c r="H7" s="623"/>
      <c r="I7" s="639"/>
      <c r="J7" s="1394"/>
      <c r="K7" s="1389"/>
      <c r="L7" s="226"/>
    </row>
    <row r="8" spans="1:14" ht="15">
      <c r="A8" s="623"/>
      <c r="B8" s="623"/>
      <c r="C8" s="623"/>
      <c r="D8" s="624"/>
      <c r="E8" s="605"/>
      <c r="F8" s="732"/>
      <c r="G8" s="605"/>
      <c r="H8" s="623"/>
      <c r="I8" s="639"/>
      <c r="J8" s="1394"/>
      <c r="K8" s="1389"/>
      <c r="L8" s="226"/>
    </row>
    <row r="9" spans="1:14" ht="15">
      <c r="A9" s="623"/>
      <c r="B9" s="623"/>
      <c r="C9" s="623"/>
      <c r="D9" s="624"/>
      <c r="E9" s="605"/>
      <c r="F9" s="732"/>
      <c r="G9" s="605"/>
      <c r="H9" s="623"/>
      <c r="I9" s="639"/>
      <c r="J9" s="1394"/>
      <c r="K9" s="1389"/>
      <c r="L9" s="226"/>
    </row>
    <row r="10" spans="1:14" ht="15">
      <c r="A10" s="623"/>
      <c r="B10" s="623"/>
      <c r="C10" s="623"/>
      <c r="D10" s="624"/>
      <c r="E10" s="605"/>
      <c r="F10" s="732"/>
      <c r="G10" s="605"/>
      <c r="H10" s="623"/>
      <c r="I10" s="639"/>
      <c r="J10" s="1394"/>
      <c r="K10" s="1389"/>
      <c r="L10" s="226"/>
    </row>
    <row r="11" spans="1:14" ht="15">
      <c r="A11" s="623"/>
      <c r="B11" s="623"/>
      <c r="C11" s="623"/>
      <c r="D11" s="624"/>
      <c r="E11" s="605"/>
      <c r="F11" s="732"/>
      <c r="G11" s="605"/>
      <c r="H11" s="623"/>
      <c r="I11" s="639"/>
      <c r="J11" s="1394"/>
      <c r="K11" s="1389"/>
      <c r="L11" s="226"/>
    </row>
    <row r="12" spans="1:14" ht="15">
      <c r="A12" s="623"/>
      <c r="B12" s="623"/>
      <c r="C12" s="623"/>
      <c r="D12" s="624"/>
      <c r="E12" s="605"/>
      <c r="F12" s="732"/>
      <c r="G12" s="605"/>
      <c r="H12" s="623"/>
      <c r="I12" s="639"/>
      <c r="J12" s="1394"/>
      <c r="K12" s="1389"/>
      <c r="L12" s="226"/>
    </row>
    <row r="13" spans="1:14" ht="15">
      <c r="A13" s="1394"/>
      <c r="B13" s="1394"/>
      <c r="C13" s="1394"/>
      <c r="D13" s="1395"/>
      <c r="E13" s="605"/>
      <c r="F13" s="732"/>
      <c r="G13" s="639"/>
      <c r="H13" s="1394"/>
      <c r="I13" s="639"/>
      <c r="J13" s="1394"/>
      <c r="K13" s="1389"/>
      <c r="L13" s="226"/>
    </row>
    <row r="14" spans="1:14" ht="15">
      <c r="A14" s="1394"/>
      <c r="B14" s="1394"/>
      <c r="C14" s="1394"/>
      <c r="D14" s="1395"/>
      <c r="E14" s="605"/>
      <c r="F14" s="732"/>
      <c r="G14" s="639"/>
      <c r="H14" s="1394"/>
      <c r="I14" s="639"/>
      <c r="J14" s="1394"/>
      <c r="K14" s="1389"/>
      <c r="L14" s="226"/>
    </row>
    <row r="15" spans="1:14" ht="15">
      <c r="A15" s="1395"/>
      <c r="B15" s="1395"/>
      <c r="C15" s="1395"/>
      <c r="D15" s="619"/>
      <c r="E15" s="619"/>
      <c r="F15" s="1144" t="s">
        <v>545</v>
      </c>
      <c r="G15" s="651">
        <f>SUM(G2:G14)-SUM(I2:I14)</f>
        <v>0</v>
      </c>
      <c r="H15" s="634"/>
      <c r="I15" s="639"/>
      <c r="J15" s="1394"/>
      <c r="K15" s="1389"/>
      <c r="L15" s="226"/>
    </row>
    <row r="16" spans="1:14">
      <c r="K16" s="237"/>
    </row>
  </sheetData>
  <mergeCells count="3">
    <mergeCell ref="I2:I4"/>
    <mergeCell ref="K2:K4"/>
    <mergeCell ref="J2:J4"/>
  </mergeCells>
  <phoneticPr fontId="15" type="noConversion"/>
  <hyperlinks>
    <hyperlink ref="F15" location="汇总!A1" display="剩余欠款"/>
  </hyperlinks>
  <pageMargins left="0.7" right="0.7" top="0.75" bottom="0.75" header="0.3" footer="0.3"/>
  <pageSetup paperSize="9"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pane ySplit="1" topLeftCell="A2" activePane="bottomLeft" state="frozen"/>
      <selection pane="bottomLeft" activeCell="G15" sqref="G15"/>
    </sheetView>
  </sheetViews>
  <sheetFormatPr defaultColWidth="8.75" defaultRowHeight="14.25"/>
  <cols>
    <col min="1" max="1" width="13" style="168" customWidth="1"/>
    <col min="2" max="2" width="8.875" style="168" bestFit="1" customWidth="1"/>
    <col min="3" max="3" width="29.375" style="168" bestFit="1" customWidth="1"/>
    <col min="4" max="5" width="15" style="168" customWidth="1"/>
    <col min="6" max="6" width="13.375" style="527" customWidth="1"/>
    <col min="7" max="7" width="11.375" style="168" bestFit="1" customWidth="1"/>
    <col min="8" max="8" width="16.625" style="168" bestFit="1" customWidth="1"/>
    <col min="9" max="9" width="12.875" style="168" customWidth="1"/>
    <col min="10" max="10" width="11.625" style="168" bestFit="1" customWidth="1"/>
    <col min="11" max="11" width="11.375" style="168" bestFit="1" customWidth="1"/>
    <col min="12" max="12" width="25" style="168" bestFit="1" customWidth="1"/>
    <col min="13" max="13" width="13.875" style="168" bestFit="1" customWidth="1"/>
    <col min="14" max="16384" width="8.75" style="168"/>
  </cols>
  <sheetData>
    <row r="1" spans="1:14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7" t="s">
        <v>542</v>
      </c>
    </row>
    <row r="2" spans="1:14" ht="15">
      <c r="A2" s="1403">
        <v>45020</v>
      </c>
      <c r="B2" s="1403" t="s">
        <v>2644</v>
      </c>
      <c r="C2" s="1403" t="s">
        <v>5004</v>
      </c>
      <c r="D2" s="1405" t="s">
        <v>5036</v>
      </c>
      <c r="E2" s="611">
        <v>0.13</v>
      </c>
      <c r="F2" s="731">
        <v>0</v>
      </c>
      <c r="G2" s="611">
        <v>0.13</v>
      </c>
      <c r="H2" s="1315">
        <v>45021</v>
      </c>
      <c r="I2" s="611">
        <v>0.13</v>
      </c>
      <c r="J2" s="1403">
        <v>45023</v>
      </c>
      <c r="K2" s="1401" t="s">
        <v>2416</v>
      </c>
      <c r="L2" s="166" t="s">
        <v>5063</v>
      </c>
      <c r="M2"/>
      <c r="N2"/>
    </row>
    <row r="3" spans="1:14" ht="15">
      <c r="A3" s="623">
        <v>45020</v>
      </c>
      <c r="B3" s="623" t="s">
        <v>2644</v>
      </c>
      <c r="C3" s="623" t="s">
        <v>5004</v>
      </c>
      <c r="D3" s="624" t="s">
        <v>5037</v>
      </c>
      <c r="E3" s="605">
        <v>6957.54</v>
      </c>
      <c r="F3" s="732">
        <v>0</v>
      </c>
      <c r="G3" s="605">
        <v>6957.54</v>
      </c>
      <c r="H3" s="623">
        <v>45110</v>
      </c>
      <c r="I3" s="639"/>
      <c r="J3" s="1394"/>
      <c r="K3" s="1389"/>
      <c r="L3" s="226"/>
      <c r="M3"/>
      <c r="N3"/>
    </row>
    <row r="4" spans="1:14" ht="15">
      <c r="A4" s="623">
        <v>45021</v>
      </c>
      <c r="B4" s="623" t="s">
        <v>2644</v>
      </c>
      <c r="C4" s="623" t="s">
        <v>5004</v>
      </c>
      <c r="D4" s="624" t="s">
        <v>5038</v>
      </c>
      <c r="E4" s="605">
        <v>363.12</v>
      </c>
      <c r="F4" s="732">
        <v>0</v>
      </c>
      <c r="G4" s="605">
        <v>363.12</v>
      </c>
      <c r="H4" s="623">
        <v>45111</v>
      </c>
      <c r="I4" s="639"/>
      <c r="J4" s="1394"/>
      <c r="K4" s="1389"/>
      <c r="L4" s="226"/>
      <c r="M4"/>
      <c r="N4"/>
    </row>
    <row r="5" spans="1:14" ht="15">
      <c r="A5" s="623"/>
      <c r="B5" s="623"/>
      <c r="C5" s="623"/>
      <c r="D5" s="624"/>
      <c r="E5" s="605"/>
      <c r="F5" s="732"/>
      <c r="G5" s="605"/>
      <c r="H5" s="623"/>
      <c r="I5" s="639"/>
      <c r="J5" s="1394"/>
      <c r="K5" s="1389"/>
      <c r="L5" s="226"/>
    </row>
    <row r="6" spans="1:14" ht="15">
      <c r="A6" s="623"/>
      <c r="B6" s="623"/>
      <c r="C6" s="623"/>
      <c r="D6" s="624"/>
      <c r="E6" s="605"/>
      <c r="F6" s="732"/>
      <c r="G6" s="605"/>
      <c r="H6" s="623"/>
      <c r="I6" s="639"/>
      <c r="J6" s="1394"/>
      <c r="K6" s="1389"/>
      <c r="L6" s="226"/>
    </row>
    <row r="7" spans="1:14" ht="15">
      <c r="A7" s="623"/>
      <c r="B7" s="623"/>
      <c r="C7" s="623"/>
      <c r="D7" s="624"/>
      <c r="E7" s="605"/>
      <c r="F7" s="732"/>
      <c r="G7" s="605"/>
      <c r="H7" s="623"/>
      <c r="I7" s="639"/>
      <c r="J7" s="1394"/>
      <c r="K7" s="1389"/>
      <c r="L7" s="226"/>
    </row>
    <row r="8" spans="1:14" ht="15">
      <c r="A8" s="623"/>
      <c r="B8" s="623"/>
      <c r="C8" s="623"/>
      <c r="D8" s="624"/>
      <c r="E8" s="605"/>
      <c r="F8" s="732"/>
      <c r="G8" s="605"/>
      <c r="H8" s="623"/>
      <c r="I8" s="639"/>
      <c r="J8" s="1394"/>
      <c r="K8" s="1389"/>
      <c r="L8" s="226"/>
    </row>
    <row r="9" spans="1:14" ht="15">
      <c r="A9" s="623"/>
      <c r="B9" s="623"/>
      <c r="C9" s="623"/>
      <c r="D9" s="624"/>
      <c r="E9" s="605"/>
      <c r="F9" s="732"/>
      <c r="G9" s="605"/>
      <c r="H9" s="623"/>
      <c r="I9" s="639"/>
      <c r="J9" s="1394"/>
      <c r="K9" s="1389"/>
      <c r="L9" s="226"/>
    </row>
    <row r="10" spans="1:14" ht="15">
      <c r="A10" s="623"/>
      <c r="B10" s="623"/>
      <c r="C10" s="623"/>
      <c r="D10" s="624"/>
      <c r="E10" s="605"/>
      <c r="F10" s="732"/>
      <c r="G10" s="605"/>
      <c r="H10" s="623"/>
      <c r="I10" s="639"/>
      <c r="J10" s="1394"/>
      <c r="K10" s="1389"/>
      <c r="L10" s="226"/>
    </row>
    <row r="11" spans="1:14" ht="15">
      <c r="A11" s="623"/>
      <c r="B11" s="623"/>
      <c r="C11" s="623"/>
      <c r="D11" s="624"/>
      <c r="E11" s="605"/>
      <c r="F11" s="732"/>
      <c r="G11" s="605"/>
      <c r="H11" s="623"/>
      <c r="I11" s="639"/>
      <c r="J11" s="1394"/>
      <c r="K11" s="1389"/>
      <c r="L11" s="226"/>
    </row>
    <row r="12" spans="1:14" ht="15">
      <c r="A12" s="623"/>
      <c r="B12" s="623"/>
      <c r="C12" s="623"/>
      <c r="D12" s="624"/>
      <c r="E12" s="605"/>
      <c r="F12" s="732"/>
      <c r="G12" s="605"/>
      <c r="H12" s="623"/>
      <c r="I12" s="639"/>
      <c r="J12" s="1394"/>
      <c r="K12" s="1389"/>
      <c r="L12" s="226"/>
    </row>
    <row r="13" spans="1:14" ht="15">
      <c r="A13" s="1394"/>
      <c r="B13" s="1394"/>
      <c r="C13" s="1394"/>
      <c r="D13" s="1395"/>
      <c r="E13" s="605"/>
      <c r="F13" s="732"/>
      <c r="G13" s="639"/>
      <c r="H13" s="1394"/>
      <c r="I13" s="639"/>
      <c r="J13" s="1394"/>
      <c r="K13" s="1389"/>
      <c r="L13" s="226"/>
    </row>
    <row r="14" spans="1:14" ht="15">
      <c r="A14" s="1394"/>
      <c r="B14" s="1394"/>
      <c r="C14" s="1394"/>
      <c r="D14" s="1395"/>
      <c r="E14" s="605"/>
      <c r="F14" s="732"/>
      <c r="G14" s="639"/>
      <c r="H14" s="1394"/>
      <c r="I14" s="639"/>
      <c r="J14" s="1394"/>
      <c r="K14" s="1389"/>
      <c r="L14" s="226"/>
    </row>
    <row r="15" spans="1:14" ht="15">
      <c r="A15" s="1395"/>
      <c r="B15" s="1395"/>
      <c r="C15" s="1395"/>
      <c r="D15" s="619"/>
      <c r="E15" s="619"/>
      <c r="F15" s="1144" t="s">
        <v>545</v>
      </c>
      <c r="G15" s="651">
        <f>SUM(G2:G14)-SUM(I2:I14)</f>
        <v>7320.66</v>
      </c>
      <c r="H15" s="634"/>
      <c r="I15" s="639"/>
      <c r="J15" s="1394"/>
      <c r="K15" s="1389"/>
      <c r="L15" s="226"/>
    </row>
    <row r="16" spans="1:14">
      <c r="K16" s="237"/>
    </row>
    <row r="17" spans="11:11">
      <c r="K17" s="237"/>
    </row>
  </sheetData>
  <phoneticPr fontId="15" type="noConversion"/>
  <hyperlinks>
    <hyperlink ref="F15" location="汇总!A1" display="剩余欠款"/>
  </hyperlinks>
  <pageMargins left="0.7" right="0.7" top="0.75" bottom="0.75" header="0.3" footer="0.3"/>
  <pageSetup paperSize="9"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pane ySplit="1" topLeftCell="A2" activePane="bottomLeft" state="frozen"/>
      <selection pane="bottomLeft" activeCell="G15" sqref="G15"/>
    </sheetView>
  </sheetViews>
  <sheetFormatPr defaultColWidth="8.75" defaultRowHeight="14.25"/>
  <cols>
    <col min="1" max="1" width="13" style="168" customWidth="1"/>
    <col min="2" max="2" width="8.875" style="168" bestFit="1" customWidth="1"/>
    <col min="3" max="3" width="29.375" style="168" bestFit="1" customWidth="1"/>
    <col min="4" max="5" width="15" style="168" customWidth="1"/>
    <col min="6" max="6" width="13.375" style="527" customWidth="1"/>
    <col min="7" max="7" width="11.375" style="168" bestFit="1" customWidth="1"/>
    <col min="8" max="8" width="16.625" style="168" bestFit="1" customWidth="1"/>
    <col min="9" max="9" width="12.875" style="168" customWidth="1"/>
    <col min="10" max="10" width="11.625" style="168" bestFit="1" customWidth="1"/>
    <col min="11" max="11" width="11.375" style="168" bestFit="1" customWidth="1"/>
    <col min="12" max="12" width="25" style="168" bestFit="1" customWidth="1"/>
    <col min="13" max="13" width="13.875" style="168" bestFit="1" customWidth="1"/>
    <col min="14" max="16384" width="8.75" style="168"/>
  </cols>
  <sheetData>
    <row r="1" spans="1:14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7" t="s">
        <v>542</v>
      </c>
    </row>
    <row r="2" spans="1:14" ht="15">
      <c r="A2" s="1403">
        <v>44496</v>
      </c>
      <c r="B2" s="1403" t="s">
        <v>5018</v>
      </c>
      <c r="C2" s="1403" t="s">
        <v>5005</v>
      </c>
      <c r="D2" s="1405" t="s">
        <v>5039</v>
      </c>
      <c r="E2" s="611">
        <v>1138.0999999999999</v>
      </c>
      <c r="F2" s="731">
        <v>239</v>
      </c>
      <c r="G2" s="611">
        <v>1377.1</v>
      </c>
      <c r="H2" s="1315">
        <v>44540</v>
      </c>
      <c r="I2" s="1951">
        <v>5115.6499999999996</v>
      </c>
      <c r="J2" s="1918">
        <v>44699</v>
      </c>
      <c r="K2" s="1968" t="s">
        <v>5062</v>
      </c>
      <c r="L2" s="166"/>
      <c r="M2"/>
      <c r="N2"/>
    </row>
    <row r="3" spans="1:14" ht="15">
      <c r="A3" s="1403">
        <v>44509</v>
      </c>
      <c r="B3" s="1403" t="s">
        <v>5018</v>
      </c>
      <c r="C3" s="1403" t="s">
        <v>5005</v>
      </c>
      <c r="D3" s="1405" t="s">
        <v>5040</v>
      </c>
      <c r="E3" s="611">
        <v>-8.8800000000000008</v>
      </c>
      <c r="F3" s="731">
        <v>-1.87</v>
      </c>
      <c r="G3" s="611">
        <v>-10.75</v>
      </c>
      <c r="H3" s="1403"/>
      <c r="I3" s="1952"/>
      <c r="J3" s="1919"/>
      <c r="K3" s="1962"/>
      <c r="L3" s="226"/>
      <c r="M3"/>
      <c r="N3"/>
    </row>
    <row r="4" spans="1:14" ht="15">
      <c r="A4" s="1403">
        <v>44601</v>
      </c>
      <c r="B4" s="1403" t="s">
        <v>5018</v>
      </c>
      <c r="C4" s="1403" t="s">
        <v>5005</v>
      </c>
      <c r="D4" s="1405" t="s">
        <v>5041</v>
      </c>
      <c r="E4" s="611">
        <v>1252.73</v>
      </c>
      <c r="F4" s="731">
        <v>263.07</v>
      </c>
      <c r="G4" s="611">
        <v>1515.8</v>
      </c>
      <c r="H4" s="1403">
        <v>44602</v>
      </c>
      <c r="I4" s="1952"/>
      <c r="J4" s="1919"/>
      <c r="K4" s="1962"/>
      <c r="L4" s="226"/>
      <c r="M4"/>
      <c r="N4"/>
    </row>
    <row r="5" spans="1:14" ht="15">
      <c r="A5" s="1403">
        <v>44679</v>
      </c>
      <c r="B5" s="1403" t="s">
        <v>5018</v>
      </c>
      <c r="C5" s="1403" t="s">
        <v>5005</v>
      </c>
      <c r="D5" s="1405" t="s">
        <v>5042</v>
      </c>
      <c r="E5" s="611">
        <v>581.65</v>
      </c>
      <c r="F5" s="731">
        <v>122.15</v>
      </c>
      <c r="G5" s="611">
        <v>703.8</v>
      </c>
      <c r="H5" s="1403">
        <v>44680</v>
      </c>
      <c r="I5" s="1952"/>
      <c r="J5" s="1919"/>
      <c r="K5" s="1962"/>
      <c r="L5" s="226"/>
    </row>
    <row r="6" spans="1:14" ht="15">
      <c r="A6" s="1403">
        <v>44680</v>
      </c>
      <c r="B6" s="1403" t="s">
        <v>5018</v>
      </c>
      <c r="C6" s="1403" t="s">
        <v>5005</v>
      </c>
      <c r="D6" s="1405" t="s">
        <v>5043</v>
      </c>
      <c r="E6" s="611">
        <v>1264.21</v>
      </c>
      <c r="F6" s="731">
        <v>265.49</v>
      </c>
      <c r="G6" s="611">
        <v>1529.7</v>
      </c>
      <c r="H6" s="1403">
        <v>44681</v>
      </c>
      <c r="I6" s="1953"/>
      <c r="J6" s="1920"/>
      <c r="K6" s="1957"/>
      <c r="L6" s="226"/>
    </row>
    <row r="7" spans="1:14" ht="15">
      <c r="A7" s="1403">
        <v>44761</v>
      </c>
      <c r="B7" s="1403" t="s">
        <v>5018</v>
      </c>
      <c r="C7" s="1403" t="s">
        <v>5005</v>
      </c>
      <c r="D7" s="1405" t="s">
        <v>5044</v>
      </c>
      <c r="E7" s="611">
        <v>1066.98</v>
      </c>
      <c r="F7" s="731">
        <v>224.07</v>
      </c>
      <c r="G7" s="611">
        <v>1291.05</v>
      </c>
      <c r="H7" s="1403">
        <v>44762</v>
      </c>
      <c r="I7" s="611">
        <v>1291.05</v>
      </c>
      <c r="J7" s="1394">
        <v>44763</v>
      </c>
      <c r="K7" s="1389" t="s">
        <v>544</v>
      </c>
      <c r="L7" s="226"/>
    </row>
    <row r="8" spans="1:14" ht="15">
      <c r="A8" s="623">
        <v>45042</v>
      </c>
      <c r="B8" s="623" t="s">
        <v>2644</v>
      </c>
      <c r="C8" s="623" t="s">
        <v>5005</v>
      </c>
      <c r="D8" s="624" t="s">
        <v>5045</v>
      </c>
      <c r="E8" s="605">
        <v>2856.12</v>
      </c>
      <c r="F8" s="732">
        <v>599.79</v>
      </c>
      <c r="G8" s="605">
        <v>3455.91</v>
      </c>
      <c r="H8" s="623">
        <v>45043</v>
      </c>
      <c r="I8" s="639"/>
      <c r="J8" s="1394"/>
      <c r="K8" s="1389"/>
      <c r="L8" s="226"/>
    </row>
    <row r="9" spans="1:14" ht="15">
      <c r="A9" s="623"/>
      <c r="B9" s="623"/>
      <c r="C9" s="623"/>
      <c r="D9" s="624"/>
      <c r="E9" s="605"/>
      <c r="F9" s="732"/>
      <c r="G9" s="605"/>
      <c r="H9" s="623"/>
      <c r="I9" s="639"/>
      <c r="J9" s="1394"/>
      <c r="K9" s="1389"/>
      <c r="L9" s="226"/>
    </row>
    <row r="10" spans="1:14" ht="15">
      <c r="A10" s="623"/>
      <c r="B10" s="623"/>
      <c r="C10" s="623"/>
      <c r="D10" s="624"/>
      <c r="E10" s="605"/>
      <c r="F10" s="732"/>
      <c r="G10" s="605"/>
      <c r="H10" s="623"/>
      <c r="I10" s="639"/>
      <c r="J10" s="1394"/>
      <c r="K10" s="1389"/>
      <c r="L10" s="226"/>
    </row>
    <row r="11" spans="1:14" ht="15">
      <c r="A11" s="623"/>
      <c r="B11" s="623"/>
      <c r="C11" s="623"/>
      <c r="D11" s="624"/>
      <c r="E11" s="605"/>
      <c r="F11" s="732"/>
      <c r="G11" s="605"/>
      <c r="H11" s="623"/>
      <c r="I11" s="639"/>
      <c r="J11" s="1394"/>
      <c r="K11" s="1389"/>
      <c r="L11" s="226"/>
    </row>
    <row r="12" spans="1:14" ht="15">
      <c r="A12" s="623"/>
      <c r="B12" s="623"/>
      <c r="C12" s="623"/>
      <c r="D12" s="624"/>
      <c r="E12" s="605"/>
      <c r="F12" s="732"/>
      <c r="G12" s="605"/>
      <c r="H12" s="623"/>
      <c r="I12" s="639"/>
      <c r="J12" s="1394"/>
      <c r="K12" s="1389"/>
      <c r="L12" s="226"/>
    </row>
    <row r="13" spans="1:14" ht="15">
      <c r="A13" s="1394"/>
      <c r="B13" s="1394"/>
      <c r="C13" s="1394"/>
      <c r="D13" s="1395"/>
      <c r="E13" s="605"/>
      <c r="F13" s="732"/>
      <c r="G13" s="639"/>
      <c r="H13" s="1394"/>
      <c r="I13" s="639"/>
      <c r="J13" s="1394"/>
      <c r="K13" s="1389"/>
      <c r="L13" s="226"/>
    </row>
    <row r="14" spans="1:14" ht="15">
      <c r="A14" s="1394"/>
      <c r="B14" s="1394"/>
      <c r="C14" s="1394"/>
      <c r="D14" s="1395"/>
      <c r="E14" s="605"/>
      <c r="F14" s="732"/>
      <c r="G14" s="639"/>
      <c r="H14" s="1394"/>
      <c r="I14" s="639"/>
      <c r="J14" s="1394"/>
      <c r="K14" s="1389"/>
      <c r="L14" s="226"/>
    </row>
    <row r="15" spans="1:14" ht="15">
      <c r="A15" s="1395"/>
      <c r="B15" s="1395"/>
      <c r="C15" s="1395"/>
      <c r="D15" s="619"/>
      <c r="E15" s="619"/>
      <c r="F15" s="1144" t="s">
        <v>545</v>
      </c>
      <c r="G15" s="651">
        <f>SUM(G2:G14)-SUM(I2:I14)</f>
        <v>3455.9100000000008</v>
      </c>
      <c r="H15" s="634"/>
      <c r="I15" s="639"/>
      <c r="J15" s="1394"/>
      <c r="K15" s="1389"/>
      <c r="L15" s="226"/>
    </row>
    <row r="16" spans="1:14">
      <c r="K16" s="237"/>
    </row>
    <row r="17" spans="11:11">
      <c r="K17" s="237"/>
    </row>
    <row r="18" spans="11:11">
      <c r="K18" s="237"/>
    </row>
  </sheetData>
  <mergeCells count="3">
    <mergeCell ref="K2:K6"/>
    <mergeCell ref="J2:J6"/>
    <mergeCell ref="I2:I6"/>
  </mergeCells>
  <phoneticPr fontId="15" type="noConversion"/>
  <hyperlinks>
    <hyperlink ref="F15" location="汇总!A1" display="剩余欠款"/>
  </hyperlinks>
  <pageMargins left="0.7" right="0.7" top="0.75" bottom="0.75" header="0.3" footer="0.3"/>
  <pageSetup paperSize="9"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2" activePane="bottomLeft" state="frozen"/>
      <selection pane="bottomLeft" activeCell="F23" sqref="F23"/>
    </sheetView>
  </sheetViews>
  <sheetFormatPr defaultColWidth="8.75" defaultRowHeight="14.25"/>
  <cols>
    <col min="1" max="1" width="13" style="168" customWidth="1"/>
    <col min="2" max="2" width="8.875" style="168" bestFit="1" customWidth="1"/>
    <col min="3" max="3" width="29.375" style="168" bestFit="1" customWidth="1"/>
    <col min="4" max="5" width="15" style="168" customWidth="1"/>
    <col min="6" max="6" width="13.375" style="527" customWidth="1"/>
    <col min="7" max="7" width="11.375" style="168" bestFit="1" customWidth="1"/>
    <col min="8" max="8" width="16.625" style="168" bestFit="1" customWidth="1"/>
    <col min="9" max="9" width="12.875" style="168" customWidth="1"/>
    <col min="10" max="10" width="11.625" style="168" bestFit="1" customWidth="1"/>
    <col min="11" max="11" width="11.375" style="168" bestFit="1" customWidth="1"/>
    <col min="12" max="12" width="25" style="168" bestFit="1" customWidth="1"/>
    <col min="13" max="13" width="13.875" style="168" bestFit="1" customWidth="1"/>
    <col min="14" max="16384" width="8.75" style="168"/>
  </cols>
  <sheetData>
    <row r="1" spans="1:14" customFormat="1" ht="18.75">
      <c r="A1" s="255" t="s">
        <v>536</v>
      </c>
      <c r="B1" s="255" t="s">
        <v>516</v>
      </c>
      <c r="C1" s="255" t="s">
        <v>515</v>
      </c>
      <c r="D1" s="257" t="s">
        <v>2150</v>
      </c>
      <c r="E1" s="257" t="s">
        <v>2718</v>
      </c>
      <c r="F1" s="510" t="s">
        <v>2719</v>
      </c>
      <c r="G1" s="256" t="s">
        <v>2721</v>
      </c>
      <c r="H1" s="256" t="s">
        <v>4099</v>
      </c>
      <c r="I1" s="257" t="s">
        <v>3043</v>
      </c>
      <c r="J1" s="257" t="s">
        <v>4100</v>
      </c>
      <c r="K1" s="257" t="s">
        <v>541</v>
      </c>
      <c r="L1" s="257" t="s">
        <v>542</v>
      </c>
    </row>
    <row r="2" spans="1:14" ht="15">
      <c r="A2" s="1403">
        <v>44819</v>
      </c>
      <c r="B2" s="1403" t="s">
        <v>521</v>
      </c>
      <c r="C2" s="1403" t="s">
        <v>5006</v>
      </c>
      <c r="D2" s="1405" t="s">
        <v>5046</v>
      </c>
      <c r="E2" s="611">
        <v>3255.56</v>
      </c>
      <c r="F2" s="731">
        <v>683.67</v>
      </c>
      <c r="G2" s="611">
        <v>3939.23</v>
      </c>
      <c r="H2" s="1315">
        <v>44820</v>
      </c>
      <c r="I2" s="1951">
        <v>3683.26</v>
      </c>
      <c r="J2" s="1903">
        <v>44882</v>
      </c>
      <c r="K2" s="1935" t="s">
        <v>5062</v>
      </c>
      <c r="L2" s="166"/>
      <c r="M2"/>
      <c r="N2"/>
    </row>
    <row r="3" spans="1:14" ht="15">
      <c r="A3" s="1403">
        <v>44881</v>
      </c>
      <c r="B3" s="1403" t="s">
        <v>521</v>
      </c>
      <c r="C3" s="1403" t="s">
        <v>5006</v>
      </c>
      <c r="D3" s="1405" t="s">
        <v>5047</v>
      </c>
      <c r="E3" s="611">
        <v>-255.97</v>
      </c>
      <c r="F3" s="731">
        <v>0</v>
      </c>
      <c r="G3" s="611">
        <v>-255.97</v>
      </c>
      <c r="H3" s="1403">
        <v>44882</v>
      </c>
      <c r="I3" s="1953"/>
      <c r="J3" s="1905"/>
      <c r="K3" s="1947"/>
      <c r="L3" s="226"/>
      <c r="M3"/>
      <c r="N3"/>
    </row>
    <row r="4" spans="1:14" ht="15">
      <c r="A4" s="1403">
        <v>44888</v>
      </c>
      <c r="B4" s="1403" t="s">
        <v>521</v>
      </c>
      <c r="C4" s="1403" t="s">
        <v>5006</v>
      </c>
      <c r="D4" s="1405" t="s">
        <v>5048</v>
      </c>
      <c r="E4" s="611">
        <v>900.19</v>
      </c>
      <c r="F4" s="731">
        <v>0</v>
      </c>
      <c r="G4" s="611">
        <v>900.19</v>
      </c>
      <c r="H4" s="1403">
        <v>44889</v>
      </c>
      <c r="I4" s="611">
        <v>900.19</v>
      </c>
      <c r="J4" s="1394">
        <v>45000</v>
      </c>
      <c r="K4" s="1389" t="s">
        <v>544</v>
      </c>
      <c r="L4" s="226"/>
      <c r="M4"/>
      <c r="N4"/>
    </row>
    <row r="5" spans="1:14" ht="15">
      <c r="A5" s="1403">
        <v>44980</v>
      </c>
      <c r="B5" s="1403" t="s">
        <v>2644</v>
      </c>
      <c r="C5" s="1403" t="s">
        <v>5006</v>
      </c>
      <c r="D5" s="1405" t="s">
        <v>5049</v>
      </c>
      <c r="E5" s="611">
        <v>182.73</v>
      </c>
      <c r="F5" s="731">
        <v>38.369999999999997</v>
      </c>
      <c r="G5" s="611">
        <v>221.1</v>
      </c>
      <c r="H5" s="1403">
        <v>44981</v>
      </c>
      <c r="I5" s="1951">
        <v>1712.64</v>
      </c>
      <c r="J5" s="1918">
        <v>45000</v>
      </c>
      <c r="K5" s="1968" t="s">
        <v>5062</v>
      </c>
      <c r="L5" s="226"/>
    </row>
    <row r="6" spans="1:14" ht="15">
      <c r="A6" s="1403">
        <v>44981</v>
      </c>
      <c r="B6" s="1403" t="s">
        <v>2644</v>
      </c>
      <c r="C6" s="1403" t="s">
        <v>5006</v>
      </c>
      <c r="D6" s="1405" t="s">
        <v>5050</v>
      </c>
      <c r="E6" s="611">
        <v>1239.04</v>
      </c>
      <c r="F6" s="731">
        <v>260.2</v>
      </c>
      <c r="G6" s="611">
        <v>1499.24</v>
      </c>
      <c r="H6" s="1403">
        <v>44982</v>
      </c>
      <c r="I6" s="1952"/>
      <c r="J6" s="1919"/>
      <c r="K6" s="1962"/>
      <c r="L6" s="226"/>
    </row>
    <row r="7" spans="1:14" ht="15">
      <c r="A7" s="1403">
        <v>44987</v>
      </c>
      <c r="B7" s="1403" t="s">
        <v>2644</v>
      </c>
      <c r="C7" s="1403" t="s">
        <v>5006</v>
      </c>
      <c r="D7" s="1405" t="s">
        <v>5051</v>
      </c>
      <c r="E7" s="611">
        <v>-6.36</v>
      </c>
      <c r="F7" s="731">
        <v>-1.34</v>
      </c>
      <c r="G7" s="611">
        <v>-7.7</v>
      </c>
      <c r="H7" s="1403"/>
      <c r="I7" s="1953"/>
      <c r="J7" s="1920"/>
      <c r="K7" s="1957"/>
      <c r="L7" s="226"/>
    </row>
    <row r="8" spans="1:14" ht="15">
      <c r="A8" s="623">
        <v>45026</v>
      </c>
      <c r="B8" s="623" t="s">
        <v>2644</v>
      </c>
      <c r="C8" s="623" t="s">
        <v>5006</v>
      </c>
      <c r="D8" s="624" t="s">
        <v>5052</v>
      </c>
      <c r="E8" s="605">
        <v>-9.2200000000000006</v>
      </c>
      <c r="F8" s="732">
        <v>-1.94</v>
      </c>
      <c r="G8" s="605">
        <v>-11.16</v>
      </c>
      <c r="H8" s="623"/>
      <c r="I8" s="639"/>
      <c r="J8" s="1394"/>
      <c r="K8" s="1389"/>
      <c r="L8" s="226"/>
    </row>
    <row r="9" spans="1:14" ht="15">
      <c r="A9" s="623">
        <v>45070</v>
      </c>
      <c r="B9" s="623" t="s">
        <v>2644</v>
      </c>
      <c r="C9" s="623" t="s">
        <v>5006</v>
      </c>
      <c r="D9" s="624" t="s">
        <v>5181</v>
      </c>
      <c r="E9" s="605">
        <v>-19.559999999999999</v>
      </c>
      <c r="F9" s="732">
        <v>-4.1100000000000003</v>
      </c>
      <c r="G9" s="605">
        <v>-23.67</v>
      </c>
      <c r="H9" s="623"/>
      <c r="I9" s="639"/>
      <c r="J9" s="1394"/>
      <c r="K9" s="1389"/>
      <c r="L9" s="226"/>
    </row>
    <row r="10" spans="1:14" ht="15">
      <c r="A10" s="623">
        <v>45070</v>
      </c>
      <c r="B10" s="623" t="s">
        <v>2644</v>
      </c>
      <c r="C10" s="623" t="s">
        <v>5006</v>
      </c>
      <c r="D10" s="624" t="s">
        <v>5182</v>
      </c>
      <c r="E10" s="605">
        <v>1074.76</v>
      </c>
      <c r="F10" s="732">
        <v>225.7</v>
      </c>
      <c r="G10" s="605">
        <v>1300.46</v>
      </c>
      <c r="H10" s="623">
        <v>45071</v>
      </c>
      <c r="I10" s="639"/>
      <c r="J10" s="1394"/>
      <c r="K10" s="1389"/>
      <c r="L10" s="226"/>
    </row>
    <row r="11" spans="1:14" ht="15">
      <c r="A11" s="623"/>
      <c r="B11" s="623"/>
      <c r="C11" s="623"/>
      <c r="D11" s="624"/>
      <c r="E11" s="605"/>
      <c r="F11" s="732"/>
      <c r="G11" s="605"/>
      <c r="H11" s="623"/>
      <c r="I11" s="639"/>
      <c r="J11" s="1423"/>
      <c r="K11" s="1421"/>
      <c r="L11" s="226"/>
    </row>
    <row r="12" spans="1:14" ht="15">
      <c r="A12" s="623"/>
      <c r="B12" s="623"/>
      <c r="C12" s="623"/>
      <c r="D12" s="624"/>
      <c r="E12" s="605"/>
      <c r="F12" s="732"/>
      <c r="G12" s="605"/>
      <c r="H12" s="623"/>
      <c r="I12" s="639"/>
      <c r="J12" s="1423"/>
      <c r="K12" s="1421"/>
      <c r="L12" s="226"/>
    </row>
    <row r="13" spans="1:14" ht="15">
      <c r="A13" s="623"/>
      <c r="B13" s="623"/>
      <c r="C13" s="623"/>
      <c r="D13" s="624"/>
      <c r="E13" s="605"/>
      <c r="F13" s="732"/>
      <c r="G13" s="605"/>
      <c r="H13" s="623"/>
      <c r="I13" s="639"/>
      <c r="J13" s="1423"/>
      <c r="K13" s="1421"/>
      <c r="L13" s="226"/>
    </row>
    <row r="14" spans="1:14" ht="15">
      <c r="A14" s="623"/>
      <c r="B14" s="623"/>
      <c r="C14" s="623"/>
      <c r="D14" s="624"/>
      <c r="E14" s="605"/>
      <c r="F14" s="732"/>
      <c r="G14" s="605"/>
      <c r="H14" s="623"/>
      <c r="I14" s="639"/>
      <c r="J14" s="1423"/>
      <c r="K14" s="1421"/>
      <c r="L14" s="226"/>
    </row>
    <row r="15" spans="1:14" ht="15">
      <c r="A15" s="623"/>
      <c r="B15" s="623"/>
      <c r="C15" s="623"/>
      <c r="D15" s="624"/>
      <c r="E15" s="605"/>
      <c r="F15" s="732"/>
      <c r="G15" s="605"/>
      <c r="H15" s="623"/>
      <c r="I15" s="639"/>
      <c r="J15" s="1423"/>
      <c r="K15" s="1421"/>
      <c r="L15" s="226"/>
    </row>
    <row r="16" spans="1:14" ht="15">
      <c r="A16" s="623"/>
      <c r="B16" s="623"/>
      <c r="C16" s="623"/>
      <c r="D16" s="624"/>
      <c r="E16" s="605"/>
      <c r="F16" s="732"/>
      <c r="G16" s="605"/>
      <c r="H16" s="623"/>
      <c r="I16" s="639"/>
      <c r="J16" s="1423"/>
      <c r="K16" s="1421"/>
      <c r="L16" s="226"/>
    </row>
    <row r="17" spans="1:12" ht="15">
      <c r="A17" s="623"/>
      <c r="B17" s="623"/>
      <c r="C17" s="623"/>
      <c r="D17" s="624"/>
      <c r="E17" s="605"/>
      <c r="F17" s="732"/>
      <c r="G17" s="605"/>
      <c r="H17" s="623"/>
      <c r="I17" s="639"/>
      <c r="J17" s="1423"/>
      <c r="K17" s="1421"/>
      <c r="L17" s="226"/>
    </row>
    <row r="18" spans="1:12" ht="15">
      <c r="A18" s="623"/>
      <c r="B18" s="623"/>
      <c r="C18" s="623"/>
      <c r="D18" s="624"/>
      <c r="E18" s="605"/>
      <c r="F18" s="732"/>
      <c r="G18" s="605"/>
      <c r="H18" s="623"/>
      <c r="I18" s="639"/>
      <c r="J18" s="1423"/>
      <c r="K18" s="1421"/>
      <c r="L18" s="226"/>
    </row>
    <row r="19" spans="1:12" ht="15">
      <c r="A19" s="623"/>
      <c r="B19" s="623"/>
      <c r="C19" s="623"/>
      <c r="D19" s="624"/>
      <c r="E19" s="605"/>
      <c r="F19" s="732"/>
      <c r="G19" s="605"/>
      <c r="H19" s="623"/>
      <c r="I19" s="639"/>
      <c r="J19" s="1394"/>
      <c r="K19" s="1389"/>
      <c r="L19" s="226"/>
    </row>
    <row r="20" spans="1:12" ht="15">
      <c r="A20" s="623"/>
      <c r="B20" s="623"/>
      <c r="C20" s="623"/>
      <c r="D20" s="624"/>
      <c r="E20" s="605"/>
      <c r="F20" s="732"/>
      <c r="G20" s="605"/>
      <c r="H20" s="623"/>
      <c r="I20" s="639"/>
      <c r="J20" s="1394"/>
      <c r="K20" s="1389"/>
      <c r="L20" s="226"/>
    </row>
    <row r="21" spans="1:12" ht="15">
      <c r="A21" s="1394"/>
      <c r="B21" s="1394"/>
      <c r="C21" s="1394"/>
      <c r="D21" s="1395"/>
      <c r="E21" s="605"/>
      <c r="F21" s="732"/>
      <c r="G21" s="639"/>
      <c r="H21" s="1394"/>
      <c r="I21" s="639"/>
      <c r="J21" s="1394"/>
      <c r="K21" s="1389"/>
      <c r="L21" s="226"/>
    </row>
    <row r="22" spans="1:12" ht="15">
      <c r="A22" s="1394"/>
      <c r="B22" s="1394"/>
      <c r="C22" s="1394"/>
      <c r="D22" s="1395"/>
      <c r="E22" s="605"/>
      <c r="F22" s="732"/>
      <c r="G22" s="639"/>
      <c r="H22" s="1394"/>
      <c r="I22" s="639"/>
      <c r="J22" s="1394"/>
      <c r="K22" s="1389"/>
      <c r="L22" s="226"/>
    </row>
    <row r="23" spans="1:12" ht="15">
      <c r="A23" s="1395"/>
      <c r="B23" s="1395"/>
      <c r="C23" s="1395"/>
      <c r="D23" s="619"/>
      <c r="E23" s="619"/>
      <c r="F23" s="1144" t="s">
        <v>545</v>
      </c>
      <c r="G23" s="651">
        <f>SUM(G2:G22)-SUM(I2:I22)</f>
        <v>1265.6300000000001</v>
      </c>
      <c r="H23" s="634"/>
      <c r="I23" s="639"/>
      <c r="J23" s="1394"/>
      <c r="K23" s="1389"/>
      <c r="L23" s="226"/>
    </row>
    <row r="24" spans="1:12">
      <c r="K24" s="237"/>
    </row>
    <row r="25" spans="1:12">
      <c r="K25" s="237"/>
    </row>
    <row r="26" spans="1:12">
      <c r="K26" s="237"/>
    </row>
  </sheetData>
  <mergeCells count="6">
    <mergeCell ref="K2:K3"/>
    <mergeCell ref="J2:J3"/>
    <mergeCell ref="I2:I3"/>
    <mergeCell ref="I5:I7"/>
    <mergeCell ref="K5:K7"/>
    <mergeCell ref="J5:J7"/>
  </mergeCells>
  <phoneticPr fontId="15" type="noConversion"/>
  <hyperlinks>
    <hyperlink ref="F23" location="汇总!A1" display="剩余欠款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119</vt:i4>
      </vt:variant>
    </vt:vector>
  </HeadingPairs>
  <TitlesOfParts>
    <vt:vector size="119" baseType="lpstr">
      <vt:lpstr>二批汇总</vt:lpstr>
      <vt:lpstr>汇总</vt:lpstr>
      <vt:lpstr>SUPER PROXI S.L</vt:lpstr>
      <vt:lpstr>SO WANG ELECTRONICA S.L</vt:lpstr>
      <vt:lpstr>CASH HOGAR CANARIAS S.L</vt:lpstr>
      <vt:lpstr>EURO COMPLEMENTOS ASIA S.L</vt:lpstr>
      <vt:lpstr>NEW IMPORT HOUSE S.L</vt:lpstr>
      <vt:lpstr>NIPPON GLOBAL S.L</vt:lpstr>
      <vt:lpstr>GRAN FAMILIA 2016 S.L</vt:lpstr>
      <vt:lpstr>NEW SKYWAY S.L</vt:lpstr>
      <vt:lpstr>WE PHONE 2016 S.L</vt:lpstr>
      <vt:lpstr>ARBOL DE GINKGO S.L</vt:lpstr>
      <vt:lpstr>IBERMAYORISTA 2020 S.L</vt:lpstr>
      <vt:lpstr>ESON IMPORT EXPORT S.L</vt:lpstr>
      <vt:lpstr>FENGHUO COMERCIO S.L</vt:lpstr>
      <vt:lpstr>J&amp;C 超能</vt:lpstr>
      <vt:lpstr>SANSHENG TECNOLOGIA S.L</vt:lpstr>
      <vt:lpstr>IMPORTACION ORIENTAL 东宝贸易</vt:lpstr>
      <vt:lpstr>AUTOWEY168 S.L</vt:lpstr>
      <vt:lpstr>CHANGDA 2018 S.L</vt:lpstr>
      <vt:lpstr>WANGDA 2018 S.L</vt:lpstr>
      <vt:lpstr>TECCOVA 67-A S.L</vt:lpstr>
      <vt:lpstr>NUEVA &amp; EUROPA 2015 S.L</vt:lpstr>
      <vt:lpstr>AVIVO DREAMSKY S.L</vt:lpstr>
      <vt:lpstr>ANISOAR CLOUDS S.L</vt:lpstr>
      <vt:lpstr>FANGZHENG S.L</vt:lpstr>
      <vt:lpstr>AMERICA YUAN S.L.U</vt:lpstr>
      <vt:lpstr>MEC NET ELECTRONICS S.L</vt:lpstr>
      <vt:lpstr>HAO HAO 2015 </vt:lpstr>
      <vt:lpstr>ZHONGZHONG2022 S.L</vt:lpstr>
      <vt:lpstr>SHENGBAO S.L.U</vt:lpstr>
      <vt:lpstr>XINGFEI IMPORT S.L.U</vt:lpstr>
      <vt:lpstr>ASJEYU S.L.</vt:lpstr>
      <vt:lpstr>ROSA ROJO 2014 S.L</vt:lpstr>
      <vt:lpstr>LINDU TECNOLOGY SL</vt:lpstr>
      <vt:lpstr>COMERCIO IDEAL 2015 SL</vt:lpstr>
      <vt:lpstr>sevilla步步高 stock in sapin</vt:lpstr>
      <vt:lpstr>XINHE EUROPE</vt:lpstr>
      <vt:lpstr>TENG FEI 腾飞贸易</vt:lpstr>
      <vt:lpstr>UNIBLE FAMILIA S.L</vt:lpstr>
      <vt:lpstr>malaga联通</vt:lpstr>
      <vt:lpstr>EH HOME ANDALUCIA</vt:lpstr>
      <vt:lpstr>HONG DA CHINA S.L</vt:lpstr>
      <vt:lpstr>齐力</vt:lpstr>
      <vt:lpstr>ORIENTAL QIU S.L</vt:lpstr>
      <vt:lpstr>IUNTECH GALICIA S.L</vt:lpstr>
      <vt:lpstr>COMERCIO GRAM TIERRA</vt:lpstr>
      <vt:lpstr>MIDBOX MARKET S.L</vt:lpstr>
      <vt:lpstr>BAO LI DE S.L </vt:lpstr>
      <vt:lpstr>ALMA SIMON S.L</vt:lpstr>
      <vt:lpstr>XHC BRICO 2019 S.L</vt:lpstr>
      <vt:lpstr>GANGS1999 S.L</vt:lpstr>
      <vt:lpstr>CASA DEL SURESTE S.L</vt:lpstr>
      <vt:lpstr>YIMING WANG</vt:lpstr>
      <vt:lpstr>bilbao新世纪XIN SHI JI</vt:lpstr>
      <vt:lpstr>陈光福 SHU LING YANG</vt:lpstr>
      <vt:lpstr>YONHOO ASTUR C.B</vt:lpstr>
      <vt:lpstr>REY MARKET 2021 SL</vt:lpstr>
      <vt:lpstr>XIN OU IMPORT S.L </vt:lpstr>
      <vt:lpstr>FOLIA ERUDITA UNIPESSOAL LDA</vt:lpstr>
      <vt:lpstr>lisboa天和sky</vt:lpstr>
      <vt:lpstr>PEDIDOCOMUM （天和新）张弛</vt:lpstr>
      <vt:lpstr>小北京 DISTINTESTREIA LDA</vt:lpstr>
      <vt:lpstr>ORIGINAL&amp;EFEMERO LDA（葡萄牙）</vt:lpstr>
      <vt:lpstr>DEEP SMILE UNIPESSOAL LDA</vt:lpstr>
      <vt:lpstr>DOS HERMANAS STYLE SOL S.L</vt:lpstr>
      <vt:lpstr>MANAELECTRONICO S.L</vt:lpstr>
      <vt:lpstr>QIAN FENG 2011 S.L</vt:lpstr>
      <vt:lpstr>EVE MON CROIS S.L.</vt:lpstr>
      <vt:lpstr>HIPER MARKET IMPORT, S.L</vt:lpstr>
      <vt:lpstr>XIAODIE YE</vt:lpstr>
      <vt:lpstr>SU NING IMPORT Y EXPORT S.L</vt:lpstr>
      <vt:lpstr>SHIXIN</vt:lpstr>
      <vt:lpstr>DOKI 168 S.L</vt:lpstr>
      <vt:lpstr>HUANG JIA 88 S.L.U</vt:lpstr>
      <vt:lpstr>XINHONG 2019 S.L</vt:lpstr>
      <vt:lpstr>JR IMPORT CANARIAS 2022 S.L</vt:lpstr>
      <vt:lpstr>PHONEFANS S.L</vt:lpstr>
      <vt:lpstr>NUVEM FELIZ IMPORTACAO </vt:lpstr>
      <vt:lpstr>CHOLLOS EL BARATO S.L</vt:lpstr>
      <vt:lpstr>CASH KOLOSS S.L</vt:lpstr>
      <vt:lpstr>HISPANO TECNO GLOBAL S.L</vt:lpstr>
      <vt:lpstr>NUSINTE,SOCIEDAD LIMITADA</vt:lpstr>
      <vt:lpstr>MARKETING PRIORITY YAN S.L</vt:lpstr>
      <vt:lpstr>YCADRI 2010 S.L.U</vt:lpstr>
      <vt:lpstr>XIAOJUN WANG</vt:lpstr>
      <vt:lpstr>NEW BEST S.L</vt:lpstr>
      <vt:lpstr>10 TELECOM 3.0 S.L.U</vt:lpstr>
      <vt:lpstr>BEST LICENCIAS S.L</vt:lpstr>
      <vt:lpstr>长城</vt:lpstr>
      <vt:lpstr>RALFY IMPOEX S.L</vt:lpstr>
      <vt:lpstr>KASANA</vt:lpstr>
      <vt:lpstr>HIPER SON RAPINYA S.L</vt:lpstr>
      <vt:lpstr>CHENGXIN ZHANG</vt:lpstr>
      <vt:lpstr>LIHUA ZHANG</vt:lpstr>
      <vt:lpstr>CENTRO HOGAR SANTA PONSA</vt:lpstr>
      <vt:lpstr>KKVI</vt:lpstr>
      <vt:lpstr>NUEVO ALMACEN WAN</vt:lpstr>
      <vt:lpstr>HIPER AHORRO</vt:lpstr>
      <vt:lpstr>MERCAGRAN</vt:lpstr>
      <vt:lpstr>NUEVO JIUYUAN</vt:lpstr>
      <vt:lpstr>HIPER HOGAR POPULA</vt:lpstr>
      <vt:lpstr>HIPER ES XINES</vt:lpstr>
      <vt:lpstr>HIPER CAN VALERO</vt:lpstr>
      <vt:lpstr>HONG DA CHINA</vt:lpstr>
      <vt:lpstr>MADE IN CHINA 2022 S.L 米克</vt:lpstr>
      <vt:lpstr>HAO GUO WANG</vt:lpstr>
      <vt:lpstr>DECO FORTUNA MALLORCA S.L</vt:lpstr>
      <vt:lpstr>MERCA CASA BALEAR S.L</vt:lpstr>
      <vt:lpstr>CASH ANTORCHA S.L.U</vt:lpstr>
      <vt:lpstr>ALMACEN LAKESIDE HUI 陈氏</vt:lpstr>
      <vt:lpstr>BALEARIC MAX IMPORTACION S.L</vt:lpstr>
      <vt:lpstr>HODA SINGLE PERSON PC</vt:lpstr>
      <vt:lpstr>XU WAN LI HAIYANG</vt:lpstr>
      <vt:lpstr>WANG DEFENG</vt:lpstr>
      <vt:lpstr>MEGA CAXTON</vt:lpstr>
      <vt:lpstr>AMATEAM COMERCIAL 2016 S.L巴萨王帅</vt:lpstr>
      <vt:lpstr>GUO LONG</vt:lpstr>
      <vt:lpstr>XUNQI 讯奇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 PLUS_ HSIN</dc:creator>
  <cp:lastModifiedBy>admin</cp:lastModifiedBy>
  <cp:lastPrinted>2022-02-21T18:44:07Z</cp:lastPrinted>
  <dcterms:created xsi:type="dcterms:W3CDTF">2020-01-13T16:22:19Z</dcterms:created>
  <dcterms:modified xsi:type="dcterms:W3CDTF">2023-11-20T08:21:59Z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4E3D2E3FB86A4B20B6106226239BB661</vt:lpwstr>
  </property>
</Properties>
</file>