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00 工作文件\018 工资\"/>
    </mc:Choice>
  </mc:AlternateContent>
  <xr:revisionPtr revIDLastSave="0" documentId="13_ncr:1_{71255F54-EB0A-41EA-8F06-B18419906443}" xr6:coauthVersionLast="47" xr6:coauthVersionMax="47" xr10:uidLastSave="{00000000-0000-0000-0000-000000000000}"/>
  <bookViews>
    <workbookView xWindow="-28920" yWindow="-120" windowWidth="29040" windowHeight="15720" tabRatio="798" activeTab="1" xr2:uid="{00000000-000D-0000-FFFF-FFFF00000000}"/>
  </bookViews>
  <sheets>
    <sheet name="工资明细表" sheetId="1" r:id="rId1"/>
    <sheet name="离职人员薪资部分" sheetId="15" r:id="rId2"/>
    <sheet name="考勤表" sheetId="3" r:id="rId3"/>
    <sheet name="业绩明细表" sheetId="6" r:id="rId4"/>
    <sheet name="其他补贴表" sheetId="10" r:id="rId5"/>
    <sheet name="业务员专项补贴表" sheetId="13" r:id="rId6"/>
    <sheet name="补发工资表" sheetId="12" r:id="rId7"/>
    <sheet name="其他扣款表" sheetId="11" r:id="rId8"/>
  </sheets>
  <definedNames>
    <definedName name="_xlnm._FilterDatabase" localSheetId="0" hidden="1">工资明细表!$B$4:$AE$37</definedName>
    <definedName name="_xlnm._FilterDatabase" localSheetId="2" hidden="1">考勤表!$4:$4</definedName>
    <definedName name="_xlnm.Print_Area" localSheetId="1">离职人员薪资部分!$A$3:$AD$6</definedName>
  </definedNames>
  <calcPr calcId="181029" concurrentCalc="0"/>
</workbook>
</file>

<file path=xl/calcChain.xml><?xml version="1.0" encoding="utf-8"?>
<calcChain xmlns="http://schemas.openxmlformats.org/spreadsheetml/2006/main">
  <c r="E13" i="11" l="1"/>
  <c r="E7" i="11"/>
  <c r="E6" i="11"/>
  <c r="E12" i="12"/>
  <c r="L6" i="13"/>
  <c r="K6" i="13"/>
  <c r="J6" i="13"/>
  <c r="I6" i="13"/>
  <c r="H6" i="13"/>
  <c r="G6" i="13"/>
  <c r="F6" i="13"/>
  <c r="L5" i="13"/>
  <c r="L4" i="13"/>
  <c r="L3" i="13"/>
  <c r="H3" i="13"/>
  <c r="G3" i="13"/>
  <c r="F3" i="13"/>
  <c r="E20" i="10"/>
  <c r="H9" i="10"/>
  <c r="G9" i="10"/>
  <c r="E9" i="10"/>
  <c r="H8" i="10"/>
  <c r="G8" i="10"/>
  <c r="E8" i="10"/>
  <c r="H7" i="10"/>
  <c r="G7" i="10"/>
  <c r="E7" i="10"/>
  <c r="H6" i="10"/>
  <c r="G6" i="10"/>
  <c r="E6" i="10"/>
  <c r="H5" i="10"/>
  <c r="G5" i="10"/>
  <c r="E5" i="10"/>
  <c r="H4" i="10"/>
  <c r="G4" i="10"/>
  <c r="E4" i="10"/>
  <c r="H3" i="10"/>
  <c r="G3" i="10"/>
  <c r="E3" i="10"/>
  <c r="E10" i="6"/>
  <c r="V32" i="3"/>
  <c r="V31" i="3"/>
  <c r="M31" i="3"/>
  <c r="V30" i="3"/>
  <c r="V29" i="3"/>
  <c r="V28" i="3"/>
  <c r="V27" i="3"/>
  <c r="V26" i="3"/>
  <c r="V25" i="3"/>
  <c r="M25" i="3"/>
  <c r="V24" i="3"/>
  <c r="V23" i="3"/>
  <c r="V22" i="3"/>
  <c r="V21" i="3"/>
  <c r="V20" i="3"/>
  <c r="V19" i="3"/>
  <c r="V18" i="3"/>
  <c r="V17" i="3"/>
  <c r="M17" i="3"/>
  <c r="V16" i="3"/>
  <c r="V15" i="3"/>
  <c r="V14" i="3"/>
  <c r="V13" i="3"/>
  <c r="V12" i="3"/>
  <c r="M12" i="3"/>
  <c r="V11" i="3"/>
  <c r="V10" i="3"/>
  <c r="V9" i="3"/>
  <c r="M9" i="3"/>
  <c r="V8" i="3"/>
  <c r="V7" i="3"/>
  <c r="V6" i="3"/>
  <c r="V5" i="3"/>
  <c r="V4" i="3"/>
  <c r="R5" i="15"/>
  <c r="S5" i="15"/>
  <c r="T5" i="15"/>
  <c r="U5" i="15"/>
  <c r="V5" i="15"/>
  <c r="L5" i="15"/>
  <c r="M5" i="15"/>
  <c r="N5" i="15"/>
  <c r="O5" i="15"/>
  <c r="W5" i="15"/>
  <c r="Q5" i="15"/>
  <c r="Y5" i="15"/>
  <c r="Z5" i="15"/>
  <c r="AA5" i="15"/>
  <c r="AB5" i="15"/>
  <c r="AD5" i="15"/>
  <c r="V6" i="15"/>
  <c r="O6" i="15"/>
  <c r="W6" i="15"/>
  <c r="Y6" i="15"/>
  <c r="AA6" i="15"/>
  <c r="AB6" i="15"/>
  <c r="AD6" i="15"/>
  <c r="R7" i="15"/>
  <c r="S7" i="15"/>
  <c r="T7" i="15"/>
  <c r="U7" i="15"/>
  <c r="V7" i="15"/>
  <c r="L7" i="15"/>
  <c r="M7" i="15"/>
  <c r="N7" i="15"/>
  <c r="O7" i="15"/>
  <c r="W7" i="15"/>
  <c r="Q7" i="15"/>
  <c r="Y7" i="15"/>
  <c r="Z7" i="15"/>
  <c r="AA7" i="15"/>
  <c r="AB7" i="15"/>
  <c r="AD7" i="15"/>
  <c r="R8" i="15"/>
  <c r="S8" i="15"/>
  <c r="T8" i="15"/>
  <c r="U8" i="15"/>
  <c r="V8" i="15"/>
  <c r="L8" i="15"/>
  <c r="M8" i="15"/>
  <c r="N8" i="15"/>
  <c r="O8" i="15"/>
  <c r="W8" i="15"/>
  <c r="Q8" i="15"/>
  <c r="Y8" i="15"/>
  <c r="Z8" i="15"/>
  <c r="AA8" i="15"/>
  <c r="AB8" i="15"/>
  <c r="AD8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AF8" i="15"/>
  <c r="J8" i="15"/>
  <c r="F8" i="15"/>
  <c r="AF7" i="15"/>
  <c r="F7" i="15"/>
  <c r="AF6" i="15"/>
  <c r="Z6" i="15"/>
  <c r="U6" i="15"/>
  <c r="T6" i="15"/>
  <c r="S6" i="15"/>
  <c r="R6" i="15"/>
  <c r="Q6" i="15"/>
  <c r="N6" i="15"/>
  <c r="M6" i="15"/>
  <c r="L6" i="15"/>
  <c r="F6" i="15"/>
  <c r="AF5" i="15"/>
  <c r="F5" i="15"/>
  <c r="AF37" i="1"/>
  <c r="AD37" i="1"/>
  <c r="AC37" i="1"/>
  <c r="AB37" i="1"/>
  <c r="AA37" i="1"/>
  <c r="Z37" i="1"/>
  <c r="Y37" i="1"/>
  <c r="I37" i="1"/>
  <c r="X37" i="1"/>
  <c r="J37" i="1"/>
  <c r="W37" i="1"/>
  <c r="K37" i="1"/>
  <c r="V37" i="1"/>
  <c r="L37" i="1"/>
  <c r="U37" i="1"/>
  <c r="M37" i="1"/>
  <c r="T37" i="1"/>
  <c r="S37" i="1"/>
  <c r="R37" i="1"/>
  <c r="Q37" i="1"/>
  <c r="P37" i="1"/>
  <c r="O37" i="1"/>
  <c r="N37" i="1"/>
  <c r="H37" i="1"/>
  <c r="AF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AF35" i="1"/>
  <c r="AB35" i="1"/>
  <c r="AA35" i="1"/>
  <c r="Z35" i="1"/>
  <c r="Y35" i="1"/>
  <c r="W35" i="1"/>
  <c r="V35" i="1"/>
  <c r="U35" i="1"/>
  <c r="T35" i="1"/>
  <c r="S35" i="1"/>
  <c r="R35" i="1"/>
  <c r="AF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AF33" i="1"/>
  <c r="AD33" i="1"/>
  <c r="AB33" i="1"/>
  <c r="AA33" i="1"/>
  <c r="Z33" i="1"/>
  <c r="Y33" i="1"/>
  <c r="W33" i="1"/>
  <c r="V33" i="1"/>
  <c r="U33" i="1"/>
  <c r="T33" i="1"/>
  <c r="S33" i="1"/>
  <c r="R33" i="1"/>
  <c r="Q33" i="1"/>
  <c r="O33" i="1"/>
  <c r="M33" i="1"/>
  <c r="L33" i="1"/>
  <c r="F33" i="1"/>
  <c r="AF32" i="1"/>
  <c r="AD32" i="1"/>
  <c r="AB32" i="1"/>
  <c r="AA32" i="1"/>
  <c r="Z32" i="1"/>
  <c r="Y32" i="1"/>
  <c r="W32" i="1"/>
  <c r="V32" i="1"/>
  <c r="U32" i="1"/>
  <c r="T32" i="1"/>
  <c r="S32" i="1"/>
  <c r="R32" i="1"/>
  <c r="Q32" i="1"/>
  <c r="O32" i="1"/>
  <c r="M32" i="1"/>
  <c r="L32" i="1"/>
  <c r="F32" i="1"/>
  <c r="AF31" i="1"/>
  <c r="AD31" i="1"/>
  <c r="AB31" i="1"/>
  <c r="AA31" i="1"/>
  <c r="Z31" i="1"/>
  <c r="Y31" i="1"/>
  <c r="W31" i="1"/>
  <c r="V31" i="1"/>
  <c r="U31" i="1"/>
  <c r="T31" i="1"/>
  <c r="S31" i="1"/>
  <c r="R31" i="1"/>
  <c r="Q31" i="1"/>
  <c r="O31" i="1"/>
  <c r="M31" i="1"/>
  <c r="L31" i="1"/>
  <c r="F31" i="1"/>
  <c r="AF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F29" i="1"/>
  <c r="AD29" i="1"/>
  <c r="AB29" i="1"/>
  <c r="AA29" i="1"/>
  <c r="Z29" i="1"/>
  <c r="Y29" i="1"/>
  <c r="W29" i="1"/>
  <c r="V29" i="1"/>
  <c r="U29" i="1"/>
  <c r="T29" i="1"/>
  <c r="S29" i="1"/>
  <c r="R29" i="1"/>
  <c r="Q29" i="1"/>
  <c r="O29" i="1"/>
  <c r="M29" i="1"/>
  <c r="L29" i="1"/>
  <c r="F29" i="1"/>
  <c r="AF28" i="1"/>
  <c r="AD28" i="1"/>
  <c r="AB28" i="1"/>
  <c r="AA28" i="1"/>
  <c r="Z28" i="1"/>
  <c r="Y28" i="1"/>
  <c r="W28" i="1"/>
  <c r="V28" i="1"/>
  <c r="Q28" i="1"/>
  <c r="O28" i="1"/>
  <c r="M28" i="1"/>
  <c r="F28" i="1"/>
  <c r="AF27" i="1"/>
  <c r="AD27" i="1"/>
  <c r="AB27" i="1"/>
  <c r="AA27" i="1"/>
  <c r="Z27" i="1"/>
  <c r="Y27" i="1"/>
  <c r="W27" i="1"/>
  <c r="V27" i="1"/>
  <c r="U27" i="1"/>
  <c r="T27" i="1"/>
  <c r="S27" i="1"/>
  <c r="R27" i="1"/>
  <c r="Q27" i="1"/>
  <c r="O27" i="1"/>
  <c r="M27" i="1"/>
  <c r="L27" i="1"/>
  <c r="F27" i="1"/>
  <c r="AF26" i="1"/>
  <c r="AD26" i="1"/>
  <c r="AB26" i="1"/>
  <c r="AA26" i="1"/>
  <c r="Z26" i="1"/>
  <c r="Y26" i="1"/>
  <c r="W26" i="1"/>
  <c r="V26" i="1"/>
  <c r="U26" i="1"/>
  <c r="T26" i="1"/>
  <c r="S26" i="1"/>
  <c r="R26" i="1"/>
  <c r="Q26" i="1"/>
  <c r="O26" i="1"/>
  <c r="M26" i="1"/>
  <c r="L26" i="1"/>
  <c r="F26" i="1"/>
  <c r="AF25" i="1"/>
  <c r="AD25" i="1"/>
  <c r="AB25" i="1"/>
  <c r="AA25" i="1"/>
  <c r="Z25" i="1"/>
  <c r="Y25" i="1"/>
  <c r="W25" i="1"/>
  <c r="V25" i="1"/>
  <c r="U25" i="1"/>
  <c r="T25" i="1"/>
  <c r="S25" i="1"/>
  <c r="R25" i="1"/>
  <c r="Q25" i="1"/>
  <c r="O25" i="1"/>
  <c r="M25" i="1"/>
  <c r="L25" i="1"/>
  <c r="F25" i="1"/>
  <c r="AF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F23" i="1"/>
  <c r="AD23" i="1"/>
  <c r="AB23" i="1"/>
  <c r="AA23" i="1"/>
  <c r="Z23" i="1"/>
  <c r="Y23" i="1"/>
  <c r="W23" i="1"/>
  <c r="V23" i="1"/>
  <c r="U23" i="1"/>
  <c r="T23" i="1"/>
  <c r="S23" i="1"/>
  <c r="R23" i="1"/>
  <c r="Q23" i="1"/>
  <c r="O23" i="1"/>
  <c r="M23" i="1"/>
  <c r="L23" i="1"/>
  <c r="F23" i="1"/>
  <c r="AF22" i="1"/>
  <c r="AD22" i="1"/>
  <c r="AB22" i="1"/>
  <c r="AA22" i="1"/>
  <c r="Z22" i="1"/>
  <c r="Y22" i="1"/>
  <c r="W22" i="1"/>
  <c r="V22" i="1"/>
  <c r="U22" i="1"/>
  <c r="T22" i="1"/>
  <c r="S22" i="1"/>
  <c r="R22" i="1"/>
  <c r="Q22" i="1"/>
  <c r="O22" i="1"/>
  <c r="M22" i="1"/>
  <c r="L22" i="1"/>
  <c r="F22" i="1"/>
  <c r="AF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F20" i="1"/>
  <c r="AD20" i="1"/>
  <c r="AB20" i="1"/>
  <c r="AA20" i="1"/>
  <c r="Z20" i="1"/>
  <c r="Y20" i="1"/>
  <c r="W20" i="1"/>
  <c r="V20" i="1"/>
  <c r="U20" i="1"/>
  <c r="T20" i="1"/>
  <c r="S20" i="1"/>
  <c r="R20" i="1"/>
  <c r="Q20" i="1"/>
  <c r="O20" i="1"/>
  <c r="M20" i="1"/>
  <c r="L20" i="1"/>
  <c r="F20" i="1"/>
  <c r="AF19" i="1"/>
  <c r="AD19" i="1"/>
  <c r="AB19" i="1"/>
  <c r="AA19" i="1"/>
  <c r="Z19" i="1"/>
  <c r="Y19" i="1"/>
  <c r="W19" i="1"/>
  <c r="V19" i="1"/>
  <c r="U19" i="1"/>
  <c r="T19" i="1"/>
  <c r="S19" i="1"/>
  <c r="R19" i="1"/>
  <c r="Q19" i="1"/>
  <c r="O19" i="1"/>
  <c r="M19" i="1"/>
  <c r="L19" i="1"/>
  <c r="F19" i="1"/>
  <c r="AF18" i="1"/>
  <c r="AD18" i="1"/>
  <c r="AA18" i="1"/>
  <c r="Z18" i="1"/>
  <c r="Y18" i="1"/>
  <c r="W18" i="1"/>
  <c r="V18" i="1"/>
  <c r="U18" i="1"/>
  <c r="T18" i="1"/>
  <c r="S18" i="1"/>
  <c r="R18" i="1"/>
  <c r="Q18" i="1"/>
  <c r="O18" i="1"/>
  <c r="M18" i="1"/>
  <c r="L18" i="1"/>
  <c r="F18" i="1"/>
  <c r="AF17" i="1"/>
  <c r="AD17" i="1"/>
  <c r="AB17" i="1"/>
  <c r="AA17" i="1"/>
  <c r="Z17" i="1"/>
  <c r="Y17" i="1"/>
  <c r="W17" i="1"/>
  <c r="V17" i="1"/>
  <c r="U17" i="1"/>
  <c r="T17" i="1"/>
  <c r="S17" i="1"/>
  <c r="R17" i="1"/>
  <c r="Q17" i="1"/>
  <c r="O17" i="1"/>
  <c r="M17" i="1"/>
  <c r="L17" i="1"/>
  <c r="F17" i="1"/>
  <c r="AF16" i="1"/>
  <c r="AD16" i="1"/>
  <c r="AB16" i="1"/>
  <c r="AA16" i="1"/>
  <c r="Z16" i="1"/>
  <c r="Y16" i="1"/>
  <c r="W16" i="1"/>
  <c r="V16" i="1"/>
  <c r="U16" i="1"/>
  <c r="T16" i="1"/>
  <c r="S16" i="1"/>
  <c r="R16" i="1"/>
  <c r="Q16" i="1"/>
  <c r="O16" i="1"/>
  <c r="M16" i="1"/>
  <c r="L16" i="1"/>
  <c r="F16" i="1"/>
  <c r="AF15" i="1"/>
  <c r="AD15" i="1"/>
  <c r="AB15" i="1"/>
  <c r="AA15" i="1"/>
  <c r="Z15" i="1"/>
  <c r="Y15" i="1"/>
  <c r="W15" i="1"/>
  <c r="V15" i="1"/>
  <c r="U15" i="1"/>
  <c r="T15" i="1"/>
  <c r="S15" i="1"/>
  <c r="R15" i="1"/>
  <c r="Q15" i="1"/>
  <c r="O15" i="1"/>
  <c r="M15" i="1"/>
  <c r="L15" i="1"/>
  <c r="F15" i="1"/>
  <c r="AF14" i="1"/>
  <c r="AD14" i="1"/>
  <c r="AB14" i="1"/>
  <c r="AA14" i="1"/>
  <c r="Z14" i="1"/>
  <c r="Y14" i="1"/>
  <c r="W14" i="1"/>
  <c r="V14" i="1"/>
  <c r="U14" i="1"/>
  <c r="T14" i="1"/>
  <c r="S14" i="1"/>
  <c r="R14" i="1"/>
  <c r="Q14" i="1"/>
  <c r="O14" i="1"/>
  <c r="M14" i="1"/>
  <c r="L14" i="1"/>
  <c r="F14" i="1"/>
  <c r="AF13" i="1"/>
  <c r="AD13" i="1"/>
  <c r="AB13" i="1"/>
  <c r="AA13" i="1"/>
  <c r="Z13" i="1"/>
  <c r="Y13" i="1"/>
  <c r="W13" i="1"/>
  <c r="V13" i="1"/>
  <c r="U13" i="1"/>
  <c r="T13" i="1"/>
  <c r="S13" i="1"/>
  <c r="R13" i="1"/>
  <c r="Q13" i="1"/>
  <c r="O13" i="1"/>
  <c r="M13" i="1"/>
  <c r="L13" i="1"/>
  <c r="F13" i="1"/>
  <c r="AF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AF11" i="1"/>
  <c r="AD11" i="1"/>
  <c r="AB11" i="1"/>
  <c r="AA11" i="1"/>
  <c r="Z11" i="1"/>
  <c r="Y11" i="1"/>
  <c r="W11" i="1"/>
  <c r="V11" i="1"/>
  <c r="U11" i="1"/>
  <c r="T11" i="1"/>
  <c r="S11" i="1"/>
  <c r="R11" i="1"/>
  <c r="Q11" i="1"/>
  <c r="O11" i="1"/>
  <c r="M11" i="1"/>
  <c r="L11" i="1"/>
  <c r="F11" i="1"/>
  <c r="AF10" i="1"/>
  <c r="AD10" i="1"/>
  <c r="AB10" i="1"/>
  <c r="AA10" i="1"/>
  <c r="Z10" i="1"/>
  <c r="Y10" i="1"/>
  <c r="W10" i="1"/>
  <c r="V10" i="1"/>
  <c r="U10" i="1"/>
  <c r="T10" i="1"/>
  <c r="S10" i="1"/>
  <c r="R10" i="1"/>
  <c r="Q10" i="1"/>
  <c r="O10" i="1"/>
  <c r="M10" i="1"/>
  <c r="L10" i="1"/>
  <c r="F10" i="1"/>
  <c r="AF9" i="1"/>
  <c r="AD9" i="1"/>
  <c r="AB9" i="1"/>
  <c r="AA9" i="1"/>
  <c r="Z9" i="1"/>
  <c r="Y9" i="1"/>
  <c r="W9" i="1"/>
  <c r="V9" i="1"/>
  <c r="U9" i="1"/>
  <c r="T9" i="1"/>
  <c r="S9" i="1"/>
  <c r="R9" i="1"/>
  <c r="Q9" i="1"/>
  <c r="O9" i="1"/>
  <c r="M9" i="1"/>
  <c r="L9" i="1"/>
  <c r="F9" i="1"/>
  <c r="AF8" i="1"/>
  <c r="AD8" i="1"/>
  <c r="AB8" i="1"/>
  <c r="AA8" i="1"/>
  <c r="Z8" i="1"/>
  <c r="Y8" i="1"/>
  <c r="W8" i="1"/>
  <c r="V8" i="1"/>
  <c r="U8" i="1"/>
  <c r="T8" i="1"/>
  <c r="S8" i="1"/>
  <c r="R8" i="1"/>
  <c r="O8" i="1"/>
  <c r="M8" i="1"/>
  <c r="L8" i="1"/>
  <c r="F8" i="1"/>
  <c r="AF7" i="1"/>
  <c r="AD7" i="1"/>
  <c r="AB7" i="1"/>
  <c r="AA7" i="1"/>
  <c r="Z7" i="1"/>
  <c r="Y7" i="1"/>
  <c r="W7" i="1"/>
  <c r="V7" i="1"/>
  <c r="U7" i="1"/>
  <c r="T7" i="1"/>
  <c r="S7" i="1"/>
  <c r="R7" i="1"/>
  <c r="Q7" i="1"/>
  <c r="O7" i="1"/>
  <c r="M7" i="1"/>
  <c r="L7" i="1"/>
  <c r="F7" i="1"/>
  <c r="AF6" i="1"/>
  <c r="AD6" i="1"/>
  <c r="AB6" i="1"/>
  <c r="AA6" i="1"/>
  <c r="Z6" i="1"/>
  <c r="Y6" i="1"/>
  <c r="W6" i="1"/>
  <c r="V6" i="1"/>
  <c r="U6" i="1"/>
  <c r="T6" i="1"/>
  <c r="S6" i="1"/>
  <c r="R6" i="1"/>
  <c r="Q6" i="1"/>
  <c r="O6" i="1"/>
  <c r="M6" i="1"/>
  <c r="L6" i="1"/>
  <c r="F6" i="1"/>
  <c r="AF5" i="1"/>
  <c r="AD5" i="1"/>
  <c r="AB5" i="1"/>
  <c r="AA5" i="1"/>
  <c r="Z5" i="1"/>
  <c r="Y5" i="1"/>
  <c r="W5" i="1"/>
  <c r="V5" i="1"/>
  <c r="U5" i="1"/>
  <c r="T5" i="1"/>
  <c r="S5" i="1"/>
  <c r="R5" i="1"/>
  <c r="Q5" i="1"/>
  <c r="O5" i="1"/>
  <c r="M5" i="1"/>
  <c r="L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admin99</author>
  </authors>
  <commentList>
    <comment ref="R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销售、业务员业绩抽成</t>
        </r>
      </text>
    </comment>
    <comment ref="S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开票、其他临时性补贴</t>
        </r>
      </text>
    </comment>
    <comment ref="H7" authorId="0" shapeId="0" xr:uid="{00000000-0006-0000-0000-000003000000}">
      <text>
        <r>
          <rPr>
            <sz val="9"/>
            <rFont val="宋体"/>
            <family val="3"/>
            <charset val="134"/>
          </rPr>
          <t>9.1日提前转正，转正1800</t>
        </r>
      </text>
    </comment>
    <comment ref="Q8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加班较多，迟到不扣
</t>
        </r>
      </text>
    </comment>
    <comment ref="E20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8月在仓库
</t>
        </r>
      </text>
    </comment>
    <comment ref="C32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CHEN,QIAN
</t>
        </r>
      </text>
    </comment>
    <comment ref="J32" authorId="0" shapeId="0" xr:uid="{00000000-0006-0000-0000-000007000000}">
      <text>
        <r>
          <rPr>
            <sz val="9"/>
            <rFont val="宋体"/>
            <family val="3"/>
            <charset val="134"/>
          </rPr>
          <t>管培期，绩效达标即可拿底薪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admin99</author>
  </authors>
  <commentList>
    <comment ref="R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销售、业务员业绩抽成</t>
        </r>
      </text>
    </comment>
    <comment ref="S4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admin99:</t>
        </r>
        <r>
          <rPr>
            <sz val="9"/>
            <rFont val="宋体"/>
            <family val="3"/>
            <charset val="134"/>
          </rPr>
          <t xml:space="preserve">
开票、其他临时性补贴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admin99</author>
  </authors>
  <commentList>
    <comment ref="N5" authorId="0" shapeId="0" xr:uid="{00000000-0006-0000-0500-000001000000}">
      <text>
        <r>
          <rPr>
            <sz val="9"/>
            <rFont val="宋体"/>
            <family val="3"/>
            <charset val="134"/>
          </rPr>
          <t xml:space="preserve">特批，业绩达标，拜访数量默认超过120家
</t>
        </r>
      </text>
    </comment>
  </commentList>
</comments>
</file>

<file path=xl/sharedStrings.xml><?xml version="1.0" encoding="utf-8"?>
<sst xmlns="http://schemas.openxmlformats.org/spreadsheetml/2006/main" count="537" uniqueCount="211">
  <si>
    <t>制表日期：2023年10月9日</t>
  </si>
  <si>
    <t>基本信息</t>
  </si>
  <si>
    <t>考勤情况</t>
  </si>
  <si>
    <t>加项</t>
  </si>
  <si>
    <t>扣减项</t>
  </si>
  <si>
    <t>应发工资</t>
  </si>
  <si>
    <t>银行汇款（工资单）</t>
  </si>
  <si>
    <t>现金需要付款部分</t>
  </si>
  <si>
    <t>备注</t>
  </si>
  <si>
    <t>入职日期</t>
  </si>
  <si>
    <t>姓名</t>
  </si>
  <si>
    <t>部门</t>
  </si>
  <si>
    <t>职位</t>
  </si>
  <si>
    <t>司龄</t>
  </si>
  <si>
    <t>在职状态</t>
  </si>
  <si>
    <t>薪资标准</t>
  </si>
  <si>
    <t>满勤奖</t>
  </si>
  <si>
    <t>实际出勤天数</t>
  </si>
  <si>
    <t>考勤天数标准</t>
  </si>
  <si>
    <t>旷工天数</t>
  </si>
  <si>
    <t>事假天数</t>
  </si>
  <si>
    <t>未足月天数</t>
  </si>
  <si>
    <t>缺勤小计</t>
  </si>
  <si>
    <t>未打卡</t>
  </si>
  <si>
    <t>迟到/早退分钟</t>
  </si>
  <si>
    <t>业绩/抽成</t>
  </si>
  <si>
    <t>其他补贴</t>
  </si>
  <si>
    <t>业务员专项补贴</t>
  </si>
  <si>
    <t>补发工资</t>
  </si>
  <si>
    <t>加项小计</t>
  </si>
  <si>
    <t>考勤扣款</t>
  </si>
  <si>
    <t>未打卡扣款</t>
  </si>
  <si>
    <t>迟到扣款(60-U)*0.5</t>
  </si>
  <si>
    <t>其他扣款</t>
  </si>
  <si>
    <t>扣款小计</t>
  </si>
  <si>
    <t>办公室人员</t>
  </si>
  <si>
    <t>欧锡玉</t>
  </si>
  <si>
    <t>财务部</t>
  </si>
  <si>
    <t>财务</t>
  </si>
  <si>
    <t>在职</t>
  </si>
  <si>
    <t>齐战军</t>
  </si>
  <si>
    <t>出纳</t>
  </si>
  <si>
    <t>胡彪</t>
  </si>
  <si>
    <t>王梦梦</t>
  </si>
  <si>
    <t>综合管理部</t>
  </si>
  <si>
    <t>行政/人事</t>
  </si>
  <si>
    <t>徐嘉平</t>
  </si>
  <si>
    <t>文员/人事</t>
  </si>
  <si>
    <t>张爽</t>
  </si>
  <si>
    <t>冯慧</t>
  </si>
  <si>
    <t>办公室小计</t>
  </si>
  <si>
    <t>仓库人员</t>
  </si>
  <si>
    <t>王仁刚</t>
  </si>
  <si>
    <t>仓储物流部</t>
  </si>
  <si>
    <t>仓储组长</t>
  </si>
  <si>
    <t>张俊</t>
  </si>
  <si>
    <t>仓储副组长</t>
  </si>
  <si>
    <t>徐舟</t>
  </si>
  <si>
    <t>复核</t>
  </si>
  <si>
    <t>刘国章</t>
  </si>
  <si>
    <t>拣货</t>
  </si>
  <si>
    <t>刘海峰</t>
  </si>
  <si>
    <t>配货</t>
  </si>
  <si>
    <t>LOBOA MENDOZA BRAYAN</t>
  </si>
  <si>
    <t>工资以工资单金额为准</t>
  </si>
  <si>
    <t>刘俊</t>
  </si>
  <si>
    <t>高李杨</t>
  </si>
  <si>
    <t>货改+仓储</t>
  </si>
  <si>
    <t>货改仓储专员</t>
  </si>
  <si>
    <t>仓库小计</t>
  </si>
  <si>
    <t>货改人员</t>
  </si>
  <si>
    <t>梅佳策</t>
  </si>
  <si>
    <t>货改部</t>
  </si>
  <si>
    <t>货改专员</t>
  </si>
  <si>
    <t>董大蔚</t>
  </si>
  <si>
    <t>货改小计</t>
  </si>
  <si>
    <t>办公室销售人员</t>
  </si>
  <si>
    <t>黄子航</t>
  </si>
  <si>
    <t>大客户部</t>
  </si>
  <si>
    <t>经理</t>
  </si>
  <si>
    <t>陆夏小华</t>
  </si>
  <si>
    <t>大客户专员</t>
  </si>
  <si>
    <t>盛杰</t>
  </si>
  <si>
    <t>孙岩成</t>
  </si>
  <si>
    <t>林凯</t>
  </si>
  <si>
    <t>销售部</t>
  </si>
  <si>
    <t>PT业务经理</t>
  </si>
  <si>
    <t>办公室销售小计</t>
  </si>
  <si>
    <t>专职业务员</t>
  </si>
  <si>
    <t>姚雄</t>
  </si>
  <si>
    <t>ES专职</t>
  </si>
  <si>
    <t>陈小九</t>
  </si>
  <si>
    <t>吴鑫奇</t>
  </si>
  <si>
    <t>PT专职</t>
  </si>
  <si>
    <t>专职业务员小计</t>
  </si>
  <si>
    <t>CHEN,PINCHENG</t>
  </si>
  <si>
    <t>律师楼记账</t>
  </si>
  <si>
    <t>其他小计</t>
  </si>
  <si>
    <t>合计</t>
  </si>
  <si>
    <t>离职日期</t>
  </si>
  <si>
    <t>王宽</t>
  </si>
  <si>
    <t>离职</t>
  </si>
  <si>
    <t>金笑婧</t>
  </si>
  <si>
    <t>阮凯</t>
  </si>
  <si>
    <t>工资全部现金发放</t>
  </si>
  <si>
    <t>陈子龙</t>
  </si>
  <si>
    <r>
      <rPr>
        <b/>
        <sz val="9"/>
        <color theme="0"/>
        <rFont val="Microsoft YaHei UI"/>
        <family val="2"/>
        <charset val="134"/>
      </rPr>
      <t xml:space="preserve">迟到：R (Retraso), 早退：TI (Tiempo incumplido), 旷工：ASR (Ausencia sin Razón），事假：AP （Ausencia Personal)，
病假：AM (Ausencia Médico)，丧假：AF (Ausencia Funeral)，产假/陪产假，年休假：V (Vacaciones)                                                                                          </t>
    </r>
    <r>
      <rPr>
        <b/>
        <sz val="9"/>
        <color rgb="FFFFFF00"/>
        <rFont val="Microsoft YaHei UI"/>
        <family val="2"/>
        <charset val="134"/>
      </rPr>
      <t>日期/Fecha：2020-03-20</t>
    </r>
  </si>
  <si>
    <t>序号
Ref.</t>
  </si>
  <si>
    <t>考勤
工号
Código</t>
  </si>
  <si>
    <t>地区
Zona</t>
  </si>
  <si>
    <t>Nombre</t>
  </si>
  <si>
    <t>部门
Dpto.</t>
  </si>
  <si>
    <t>职务
Puesto</t>
  </si>
  <si>
    <t>入职时间
Fecha de alta</t>
  </si>
  <si>
    <t>是否在职</t>
  </si>
  <si>
    <t>迟到
R</t>
  </si>
  <si>
    <t>早退
TI</t>
  </si>
  <si>
    <t>未打卡
Sin ficha</t>
  </si>
  <si>
    <t>旷工
ASR</t>
  </si>
  <si>
    <t>事假
AP</t>
  </si>
  <si>
    <t>病假
AM</t>
  </si>
  <si>
    <t>丧假
AF</t>
  </si>
  <si>
    <t>产假
陪产假
maternidad
paternidad</t>
  </si>
  <si>
    <t>出差
viaje por trabajo</t>
  </si>
  <si>
    <t>实际出勤
Asistencia
Real</t>
  </si>
  <si>
    <t>加班</t>
  </si>
  <si>
    <t>备注
Comentarios</t>
  </si>
  <si>
    <t>平时
加班</t>
  </si>
  <si>
    <t>周末
加班</t>
  </si>
  <si>
    <t>西班牙</t>
  </si>
  <si>
    <t>文员人事</t>
  </si>
  <si>
    <t>加班1468分钟-迟到332分钟=1136</t>
  </si>
  <si>
    <t>2023-09-22号离职</t>
  </si>
  <si>
    <t xml:space="preserve">6个半小时未调休+16号加班8小时=14个半小时-4个小时迟到-调休27个半小时=-17小时
</t>
  </si>
  <si>
    <r>
      <rPr>
        <sz val="11"/>
        <rFont val="Microsoft YaHei UI"/>
        <family val="2"/>
        <charset val="134"/>
      </rPr>
      <t>18号下午半天请假
23号24号加班2天-调休1天4个半小时=</t>
    </r>
    <r>
      <rPr>
        <sz val="11"/>
        <color rgb="FFFF0000"/>
        <rFont val="Microsoft YaHei UI"/>
        <family val="2"/>
        <charset val="134"/>
      </rPr>
      <t>3个半小时未调休</t>
    </r>
  </si>
  <si>
    <t>16号30号加班两天未调休</t>
  </si>
  <si>
    <t>16号，23号，24号加班3天未调休</t>
  </si>
  <si>
    <t>8月份欠2天休息。
9月份欠2天休息。
共欠4天</t>
  </si>
  <si>
    <t>8月份欠1天休息。
9月份欠1天休息。
共欠2天。</t>
  </si>
  <si>
    <t>2023-09-05离职</t>
  </si>
  <si>
    <t>5天</t>
  </si>
  <si>
    <t>货改部+仓储</t>
  </si>
  <si>
    <t>18个小时</t>
  </si>
  <si>
    <t>21号24号加班6小时未调休</t>
  </si>
  <si>
    <t>仓库组长</t>
  </si>
  <si>
    <t>14小时</t>
  </si>
  <si>
    <t xml:space="preserve">
9月13号-9月30号请假回国
9号加班一天  10号加班半天</t>
  </si>
  <si>
    <t>仓库副组长</t>
  </si>
  <si>
    <t>18小时</t>
  </si>
  <si>
    <t>2小时加班按30欧元给加班费，另外16小时加班按基本工资计算，条目不变。</t>
  </si>
  <si>
    <t>32小时</t>
  </si>
  <si>
    <t>2小时加班按30欧元给加班费，另外30小时加班按基本工资计算，条目不变。</t>
  </si>
  <si>
    <t>4小时</t>
  </si>
  <si>
    <t>2小时加班按30欧元给加班费，另外2小时加班按基本工资计算，条目不变。</t>
  </si>
  <si>
    <t>12小时</t>
  </si>
  <si>
    <t>2小时加班按30欧元给加班费，另外10小时加班按基本工资计算，条目不变。</t>
  </si>
  <si>
    <t>2小时</t>
  </si>
  <si>
    <t>按基本工资计算，条目不变。</t>
  </si>
  <si>
    <t>2023-09-29离职</t>
  </si>
  <si>
    <t>3天</t>
  </si>
  <si>
    <t>2023-09-06离职</t>
  </si>
  <si>
    <t>2天4个半小时</t>
  </si>
  <si>
    <t>专职Barcelona</t>
  </si>
  <si>
    <t>满勤9天</t>
  </si>
  <si>
    <t>专职Madrid</t>
  </si>
  <si>
    <t>满勤26天</t>
  </si>
  <si>
    <t>葡萄牙</t>
  </si>
  <si>
    <t>业务经理</t>
  </si>
  <si>
    <r>
      <rPr>
        <sz val="11"/>
        <color rgb="FFFF0000"/>
        <rFont val="Microsoft YaHei UI"/>
        <family val="2"/>
        <charset val="134"/>
      </rPr>
      <t>8月补一天</t>
    </r>
    <r>
      <rPr>
        <sz val="11"/>
        <rFont val="Microsoft YaHei UI"/>
        <family val="2"/>
        <charset val="134"/>
      </rPr>
      <t>，2号，16号，17号加班=4天-调休4天2个半小时=-2个半小时</t>
    </r>
  </si>
  <si>
    <t>专职</t>
  </si>
  <si>
    <t>满勤23天</t>
  </si>
  <si>
    <t>业绩明细表</t>
  </si>
  <si>
    <t>序号</t>
  </si>
  <si>
    <t>岗位</t>
  </si>
  <si>
    <t>业绩明细</t>
  </si>
  <si>
    <t>金额</t>
  </si>
  <si>
    <t>仓库绩效</t>
  </si>
  <si>
    <t>补贴明细表</t>
  </si>
  <si>
    <t>补贴明细</t>
  </si>
  <si>
    <t>补贴金额</t>
  </si>
  <si>
    <t>加班天数</t>
  </si>
  <si>
    <t>加班补贴</t>
  </si>
  <si>
    <t>19号加班打Palette意大利调货2小时30欧元特殊加班费</t>
  </si>
  <si>
    <t>业务员专项补贴明细表</t>
  </si>
  <si>
    <t>葡萄牙专职</t>
  </si>
  <si>
    <t>区域</t>
  </si>
  <si>
    <t>职级</t>
  </si>
  <si>
    <t>出勤</t>
  </si>
  <si>
    <t>饭补</t>
  </si>
  <si>
    <t>油补</t>
  </si>
  <si>
    <t>住宿</t>
  </si>
  <si>
    <t>车损</t>
  </si>
  <si>
    <t>额外油补</t>
  </si>
  <si>
    <t>鼓励基金</t>
  </si>
  <si>
    <t>达标情况</t>
  </si>
  <si>
    <t>拜访数量</t>
  </si>
  <si>
    <t>超500单据数量</t>
  </si>
  <si>
    <t>/</t>
  </si>
  <si>
    <t>中级业务员</t>
  </si>
  <si>
    <t>达标</t>
  </si>
  <si>
    <t>管培期</t>
  </si>
  <si>
    <t>西班牙专职</t>
  </si>
  <si>
    <t>补发工资明细表</t>
  </si>
  <si>
    <t>其他扣款汇总表</t>
  </si>
  <si>
    <t>扣款原因</t>
  </si>
  <si>
    <t>扣款金额</t>
  </si>
  <si>
    <t>公车私用油费</t>
  </si>
  <si>
    <t>仓库主管</t>
  </si>
  <si>
    <t>9月13号-9月30号 保险费自付</t>
  </si>
  <si>
    <t>漏抓300欧元的货值，扣5%。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</si>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</sst>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8" formatCode="0.00_ "/>
    <numFmt numFmtId="179" formatCode="0.00_);[Red]\(0.00\)"/>
    <numFmt numFmtId="180" formatCode="yyyy\-mm\-dd;@"/>
    <numFmt numFmtId="181" formatCode="yyyy/mm/dd"/>
    <numFmt numFmtId="182" formatCode="yyyy/m/d;@"/>
    <numFmt numFmtId="183" formatCode="0.000_ "/>
    <numFmt numFmtId="184" formatCode="#,##0.00_ "/>
  </numFmts>
  <fonts count="52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6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Microsoft YaHei UI"/>
      <family val="2"/>
      <charset val="134"/>
    </font>
    <font>
      <b/>
      <sz val="9"/>
      <color rgb="FF9C4906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rgb="FF9C4906"/>
      <name val="Microsoft YaHei UI"/>
      <family val="2"/>
      <charset val="134"/>
    </font>
    <font>
      <b/>
      <sz val="11"/>
      <color rgb="FF9C4906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C00000"/>
      <name val="Microsoft YaHei UI"/>
      <family val="2"/>
      <charset val="134"/>
    </font>
    <font>
      <sz val="14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Verdana"/>
      <family val="2"/>
    </font>
    <font>
      <sz val="12"/>
      <name val="宋体"/>
      <family val="3"/>
      <charset val="134"/>
    </font>
    <font>
      <b/>
      <sz val="9"/>
      <color rgb="FFFFFF00"/>
      <name val="Microsoft YaHei UI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>
      <alignment vertical="center"/>
    </xf>
    <xf numFmtId="0" fontId="44" fillId="0" borderId="0"/>
    <xf numFmtId="178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/>
    <xf numFmtId="0" fontId="45" fillId="0" borderId="0">
      <alignment vertical="center"/>
    </xf>
  </cellStyleXfs>
  <cellXfs count="2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>
      <alignment horizontal="center" vertical="center" wrapText="1"/>
    </xf>
    <xf numFmtId="178" fontId="7" fillId="0" borderId="2" xfId="0" applyNumberFormat="1" applyFont="1" applyBorder="1" applyAlignment="1" applyProtection="1">
      <alignment horizontal="center" vertical="center" shrinkToFit="1"/>
      <protection locked="0"/>
    </xf>
    <xf numFmtId="178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/>
    </xf>
    <xf numFmtId="43" fontId="8" fillId="0" borderId="0" xfId="0" applyNumberFormat="1" applyFont="1">
      <alignment vertical="center"/>
    </xf>
    <xf numFmtId="43" fontId="9" fillId="0" borderId="0" xfId="0" applyNumberFormat="1" applyFont="1">
      <alignment vertical="center"/>
    </xf>
    <xf numFmtId="4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 shrinkToFit="1"/>
    </xf>
    <xf numFmtId="43" fontId="13" fillId="0" borderId="1" xfId="0" applyNumberFormat="1" applyFont="1" applyBorder="1" applyAlignment="1">
      <alignment horizontal="center" vertical="center" shrinkToFit="1"/>
    </xf>
    <xf numFmtId="43" fontId="11" fillId="0" borderId="1" xfId="0" applyNumberFormat="1" applyFont="1" applyBorder="1">
      <alignment vertical="center"/>
    </xf>
    <xf numFmtId="43" fontId="0" fillId="0" borderId="0" xfId="0" applyNumberFormat="1">
      <alignment vertical="center"/>
    </xf>
    <xf numFmtId="43" fontId="14" fillId="0" borderId="0" xfId="0" applyNumberFormat="1" applyFont="1">
      <alignment vertical="center"/>
    </xf>
    <xf numFmtId="0" fontId="8" fillId="0" borderId="1" xfId="0" applyFont="1" applyBorder="1" applyAlignment="1">
      <alignment horizontal="center" vertical="center"/>
    </xf>
    <xf numFmtId="43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178" fontId="17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78" fontId="5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 wrapText="1"/>
    </xf>
    <xf numFmtId="180" fontId="23" fillId="4" borderId="14" xfId="0" applyNumberFormat="1" applyFont="1" applyFill="1" applyBorder="1" applyAlignment="1">
      <alignment horizontal="center" vertical="center"/>
    </xf>
    <xf numFmtId="180" fontId="23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 wrapText="1"/>
    </xf>
    <xf numFmtId="180" fontId="25" fillId="4" borderId="14" xfId="0" applyNumberFormat="1" applyFont="1" applyFill="1" applyBorder="1" applyAlignment="1">
      <alignment horizontal="center" vertical="center"/>
    </xf>
    <xf numFmtId="180" fontId="25" fillId="4" borderId="1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 wrapText="1"/>
    </xf>
    <xf numFmtId="180" fontId="23" fillId="4" borderId="16" xfId="0" applyNumberFormat="1" applyFont="1" applyFill="1" applyBorder="1" applyAlignment="1">
      <alignment horizontal="center" vertical="center"/>
    </xf>
    <xf numFmtId="0" fontId="26" fillId="4" borderId="15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180" fontId="23" fillId="5" borderId="14" xfId="0" applyNumberFormat="1" applyFont="1" applyFill="1" applyBorder="1" applyAlignment="1">
      <alignment horizontal="center" vertical="center"/>
    </xf>
    <xf numFmtId="180" fontId="23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1" fillId="3" borderId="1" xfId="5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8" fillId="6" borderId="2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58" fontId="19" fillId="0" borderId="0" xfId="0" applyNumberFormat="1" applyFont="1">
      <alignment vertical="center"/>
    </xf>
    <xf numFmtId="0" fontId="29" fillId="6" borderId="1" xfId="0" applyFont="1" applyFill="1" applyBorder="1" applyAlignment="1">
      <alignment horizontal="center" vertical="center"/>
    </xf>
    <xf numFmtId="178" fontId="30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0" borderId="0" xfId="0" applyNumberFormat="1">
      <alignment vertical="center"/>
    </xf>
    <xf numFmtId="0" fontId="31" fillId="0" borderId="0" xfId="0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30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8" fontId="33" fillId="0" borderId="6" xfId="0" applyNumberFormat="1" applyFont="1" applyBorder="1" applyProtection="1">
      <alignment vertical="center"/>
      <protection locked="0"/>
    </xf>
    <xf numFmtId="178" fontId="33" fillId="0" borderId="1" xfId="0" applyNumberFormat="1" applyFont="1" applyBorder="1" applyProtection="1">
      <alignment vertical="center"/>
      <protection locked="0"/>
    </xf>
    <xf numFmtId="178" fontId="33" fillId="0" borderId="1" xfId="0" applyNumberFormat="1" applyFont="1" applyBorder="1" applyAlignment="1">
      <alignment horizontal="center" vertical="center"/>
    </xf>
    <xf numFmtId="181" fontId="33" fillId="8" borderId="12" xfId="0" applyNumberFormat="1" applyFont="1" applyFill="1" applyBorder="1" applyAlignment="1" applyProtection="1">
      <alignment horizontal="center" vertical="center" shrinkToFit="1"/>
      <protection locked="0"/>
    </xf>
    <xf numFmtId="182" fontId="33" fillId="8" borderId="12" xfId="0" applyNumberFormat="1" applyFont="1" applyFill="1" applyBorder="1" applyAlignment="1" applyProtection="1">
      <alignment horizontal="center" vertical="center" shrinkToFit="1"/>
      <protection locked="0"/>
    </xf>
    <xf numFmtId="178" fontId="34" fillId="8" borderId="13" xfId="0" applyNumberFormat="1" applyFont="1" applyFill="1" applyBorder="1" applyAlignment="1">
      <alignment horizontal="center" vertical="center" wrapText="1"/>
    </xf>
    <xf numFmtId="178" fontId="34" fillId="8" borderId="1" xfId="0" applyNumberFormat="1" applyFont="1" applyFill="1" applyBorder="1" applyAlignment="1">
      <alignment horizontal="center" vertical="center" wrapText="1"/>
    </xf>
    <xf numFmtId="182" fontId="7" fillId="0" borderId="6" xfId="4" applyNumberFormat="1" applyFont="1" applyBorder="1" applyAlignment="1" applyProtection="1">
      <alignment horizontal="center" vertical="center" shrinkToFit="1"/>
      <protection locked="0"/>
    </xf>
    <xf numFmtId="182" fontId="7" fillId="0" borderId="1" xfId="4" applyNumberFormat="1" applyFont="1" applyBorder="1" applyAlignment="1" applyProtection="1">
      <alignment horizontal="center" vertical="center" shrinkToFit="1"/>
      <protection locked="0"/>
    </xf>
    <xf numFmtId="182" fontId="35" fillId="0" borderId="1" xfId="4" applyNumberFormat="1" applyFont="1" applyBorder="1" applyAlignment="1" applyProtection="1">
      <alignment horizontal="center" vertical="center" shrinkToFit="1"/>
      <protection locked="0"/>
    </xf>
    <xf numFmtId="178" fontId="36" fillId="0" borderId="1" xfId="0" applyNumberFormat="1" applyFont="1" applyBorder="1" applyAlignment="1">
      <alignment horizontal="center" vertical="center"/>
    </xf>
    <xf numFmtId="178" fontId="37" fillId="0" borderId="1" xfId="0" applyNumberFormat="1" applyFont="1" applyBorder="1" applyAlignment="1">
      <alignment horizontal="center" vertical="center"/>
    </xf>
    <xf numFmtId="178" fontId="33" fillId="9" borderId="13" xfId="0" applyNumberFormat="1" applyFont="1" applyFill="1" applyBorder="1" applyAlignment="1">
      <alignment horizontal="center" vertical="center"/>
    </xf>
    <xf numFmtId="178" fontId="38" fillId="0" borderId="0" xfId="0" applyNumberFormat="1" applyFont="1" applyAlignment="1">
      <alignment horizontal="center" vertical="center"/>
    </xf>
    <xf numFmtId="183" fontId="33" fillId="0" borderId="1" xfId="0" applyNumberFormat="1" applyFont="1" applyBorder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83" fontId="6" fillId="0" borderId="1" xfId="0" applyNumberFormat="1" applyFont="1" applyBorder="1" applyAlignment="1">
      <alignment horizontal="center" vertical="center" shrinkToFit="1"/>
    </xf>
    <xf numFmtId="178" fontId="0" fillId="0" borderId="4" xfId="0" applyNumberFormat="1" applyBorder="1" applyAlignment="1">
      <alignment horizontal="center" vertical="center"/>
    </xf>
    <xf numFmtId="183" fontId="37" fillId="0" borderId="1" xfId="0" applyNumberFormat="1" applyFont="1" applyBorder="1" applyAlignment="1">
      <alignment horizontal="center" vertical="center"/>
    </xf>
    <xf numFmtId="178" fontId="39" fillId="0" borderId="0" xfId="0" applyNumberFormat="1" applyFont="1" applyAlignment="1">
      <alignment horizontal="center" vertical="center"/>
    </xf>
    <xf numFmtId="183" fontId="33" fillId="0" borderId="4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 wrapText="1"/>
    </xf>
    <xf numFmtId="178" fontId="33" fillId="9" borderId="1" xfId="0" applyNumberFormat="1" applyFont="1" applyFill="1" applyBorder="1" applyAlignment="1">
      <alignment horizontal="center" vertical="center"/>
    </xf>
    <xf numFmtId="178" fontId="40" fillId="0" borderId="0" xfId="0" applyNumberFormat="1" applyFont="1">
      <alignment vertical="center"/>
    </xf>
    <xf numFmtId="182" fontId="14" fillId="0" borderId="0" xfId="0" applyNumberFormat="1" applyFont="1" applyProtection="1">
      <alignment vertical="center"/>
      <protection locked="0"/>
    </xf>
    <xf numFmtId="178" fontId="14" fillId="0" borderId="0" xfId="0" applyNumberFormat="1" applyFont="1">
      <alignment vertical="center"/>
    </xf>
    <xf numFmtId="178" fontId="41" fillId="0" borderId="0" xfId="0" applyNumberFormat="1" applyFont="1">
      <alignment vertical="center"/>
    </xf>
    <xf numFmtId="178" fontId="41" fillId="0" borderId="0" xfId="0" applyNumberFormat="1" applyFont="1" applyAlignment="1">
      <alignment horizontal="center" vertical="center"/>
    </xf>
    <xf numFmtId="183" fontId="41" fillId="0" borderId="0" xfId="0" applyNumberFormat="1" applyFont="1">
      <alignment vertical="center"/>
    </xf>
    <xf numFmtId="183" fontId="14" fillId="0" borderId="0" xfId="0" applyNumberFormat="1" applyFont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7" fillId="0" borderId="1" xfId="0" applyNumberFormat="1" applyFont="1" applyBorder="1" applyAlignment="1" applyProtection="1">
      <alignment horizontal="center" vertical="center" wrapText="1" shrinkToFit="1"/>
      <protection locked="0"/>
    </xf>
    <xf numFmtId="178" fontId="33" fillId="10" borderId="1" xfId="0" applyNumberFormat="1" applyFont="1" applyFill="1" applyBorder="1" applyAlignment="1">
      <alignment horizontal="center" vertical="center"/>
    </xf>
    <xf numFmtId="182" fontId="7" fillId="0" borderId="5" xfId="4" applyNumberFormat="1" applyFont="1" applyBorder="1" applyAlignment="1" applyProtection="1">
      <alignment horizontal="center" vertical="center" shrinkToFit="1"/>
      <protection locked="0"/>
    </xf>
    <xf numFmtId="182" fontId="7" fillId="0" borderId="12" xfId="4" applyNumberFormat="1" applyFont="1" applyBorder="1" applyAlignment="1" applyProtection="1">
      <alignment horizontal="center" vertical="center" shrinkToFit="1"/>
      <protection locked="0"/>
    </xf>
    <xf numFmtId="178" fontId="7" fillId="0" borderId="3" xfId="0" applyNumberFormat="1" applyFont="1" applyBorder="1" applyAlignment="1" applyProtection="1">
      <alignment horizontal="center" vertical="center" shrinkToFit="1"/>
      <protection locked="0"/>
    </xf>
    <xf numFmtId="178" fontId="6" fillId="0" borderId="13" xfId="0" applyNumberFormat="1" applyFont="1" applyBorder="1" applyAlignment="1">
      <alignment horizontal="center" vertical="center"/>
    </xf>
    <xf numFmtId="178" fontId="7" fillId="0" borderId="8" xfId="0" applyNumberFormat="1" applyFont="1" applyBorder="1" applyAlignment="1" applyProtection="1">
      <alignment horizontal="center" vertical="center" shrinkToFit="1"/>
      <protection locked="0"/>
    </xf>
    <xf numFmtId="178" fontId="33" fillId="11" borderId="1" xfId="0" applyNumberFormat="1" applyFont="1" applyFill="1" applyBorder="1" applyAlignment="1">
      <alignment horizontal="center" vertical="center"/>
    </xf>
    <xf numFmtId="178" fontId="42" fillId="12" borderId="13" xfId="0" applyNumberFormat="1" applyFont="1" applyFill="1" applyBorder="1" applyAlignment="1">
      <alignment horizontal="center" vertical="center" textRotation="255"/>
    </xf>
    <xf numFmtId="0" fontId="40" fillId="0" borderId="1" xfId="0" applyFont="1" applyBorder="1" applyAlignment="1">
      <alignment horizontal="center" vertical="center" wrapText="1"/>
    </xf>
    <xf numFmtId="178" fontId="33" fillId="12" borderId="1" xfId="0" applyNumberFormat="1" applyFont="1" applyFill="1" applyBorder="1" applyAlignment="1">
      <alignment horizontal="center" vertical="center"/>
    </xf>
    <xf numFmtId="178" fontId="40" fillId="8" borderId="1" xfId="0" applyNumberFormat="1" applyFont="1" applyFill="1" applyBorder="1">
      <alignment vertical="center"/>
    </xf>
    <xf numFmtId="178" fontId="33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0" fontId="40" fillId="0" borderId="4" xfId="0" applyFont="1" applyBorder="1" applyAlignment="1">
      <alignment vertical="center" wrapText="1"/>
    </xf>
    <xf numFmtId="0" fontId="40" fillId="0" borderId="4" xfId="0" applyFont="1" applyBorder="1" applyAlignment="1">
      <alignment horizontal="center" vertical="center" wrapText="1"/>
    </xf>
    <xf numFmtId="178" fontId="6" fillId="0" borderId="4" xfId="0" applyNumberFormat="1" applyFont="1" applyBorder="1" applyAlignment="1">
      <alignment horizontal="center" vertical="center" wrapText="1"/>
    </xf>
    <xf numFmtId="184" fontId="41" fillId="0" borderId="4" xfId="0" applyNumberFormat="1" applyFont="1" applyBorder="1" applyAlignment="1">
      <alignment vertical="center" wrapText="1"/>
    </xf>
    <xf numFmtId="178" fontId="40" fillId="0" borderId="4" xfId="0" applyNumberFormat="1" applyFont="1" applyBorder="1" applyAlignment="1">
      <alignment horizontal="center" vertical="center"/>
    </xf>
    <xf numFmtId="182" fontId="32" fillId="0" borderId="0" xfId="0" applyNumberFormat="1" applyFont="1" applyAlignment="1" applyProtection="1">
      <alignment horizontal="center" vertical="center"/>
      <protection locked="0"/>
    </xf>
    <xf numFmtId="178" fontId="32" fillId="0" borderId="0" xfId="0" applyNumberFormat="1" applyFont="1" applyAlignment="1" applyProtection="1">
      <alignment horizontal="center" vertical="center"/>
      <protection locked="0"/>
    </xf>
    <xf numFmtId="183" fontId="32" fillId="0" borderId="0" xfId="0" applyNumberFormat="1" applyFont="1" applyAlignment="1" applyProtection="1">
      <alignment horizontal="center" vertical="center"/>
      <protection locked="0"/>
    </xf>
    <xf numFmtId="182" fontId="33" fillId="0" borderId="1" xfId="0" applyNumberFormat="1" applyFont="1" applyBorder="1" applyAlignment="1">
      <alignment horizontal="center" vertical="center"/>
    </xf>
    <xf numFmtId="183" fontId="33" fillId="0" borderId="1" xfId="0" applyNumberFormat="1" applyFont="1" applyBorder="1" applyAlignment="1">
      <alignment horizontal="center" vertical="center"/>
    </xf>
    <xf numFmtId="182" fontId="33" fillId="0" borderId="4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178" fontId="42" fillId="9" borderId="4" xfId="0" applyNumberFormat="1" applyFont="1" applyFill="1" applyBorder="1" applyAlignment="1">
      <alignment horizontal="center" vertical="center"/>
    </xf>
    <xf numFmtId="178" fontId="42" fillId="9" borderId="5" xfId="0" applyNumberFormat="1" applyFont="1" applyFill="1" applyBorder="1" applyAlignment="1">
      <alignment horizontal="center" vertical="center"/>
    </xf>
    <xf numFmtId="178" fontId="42" fillId="9" borderId="6" xfId="0" applyNumberFormat="1" applyFont="1" applyFill="1" applyBorder="1" applyAlignment="1">
      <alignment horizontal="center" vertical="center"/>
    </xf>
    <xf numFmtId="178" fontId="42" fillId="10" borderId="4" xfId="0" applyNumberFormat="1" applyFont="1" applyFill="1" applyBorder="1" applyAlignment="1">
      <alignment horizontal="center" vertical="center"/>
    </xf>
    <xf numFmtId="178" fontId="42" fillId="10" borderId="5" xfId="0" applyNumberFormat="1" applyFont="1" applyFill="1" applyBorder="1" applyAlignment="1">
      <alignment horizontal="center" vertical="center"/>
    </xf>
    <xf numFmtId="178" fontId="42" fillId="10" borderId="6" xfId="0" applyNumberFormat="1" applyFont="1" applyFill="1" applyBorder="1" applyAlignment="1">
      <alignment horizontal="center" vertical="center"/>
    </xf>
    <xf numFmtId="178" fontId="42" fillId="11" borderId="4" xfId="0" applyNumberFormat="1" applyFont="1" applyFill="1" applyBorder="1" applyAlignment="1">
      <alignment horizontal="center" vertical="center"/>
    </xf>
    <xf numFmtId="178" fontId="42" fillId="11" borderId="5" xfId="0" applyNumberFormat="1" applyFont="1" applyFill="1" applyBorder="1" applyAlignment="1">
      <alignment horizontal="center" vertical="center"/>
    </xf>
    <xf numFmtId="178" fontId="42" fillId="11" borderId="6" xfId="0" applyNumberFormat="1" applyFont="1" applyFill="1" applyBorder="1" applyAlignment="1">
      <alignment horizontal="center" vertical="center"/>
    </xf>
    <xf numFmtId="178" fontId="42" fillId="12" borderId="4" xfId="0" applyNumberFormat="1" applyFont="1" applyFill="1" applyBorder="1" applyAlignment="1">
      <alignment horizontal="center" vertical="center"/>
    </xf>
    <xf numFmtId="178" fontId="42" fillId="12" borderId="5" xfId="0" applyNumberFormat="1" applyFont="1" applyFill="1" applyBorder="1" applyAlignment="1">
      <alignment horizontal="center" vertical="center"/>
    </xf>
    <xf numFmtId="178" fontId="43" fillId="8" borderId="5" xfId="0" applyNumberFormat="1" applyFont="1" applyFill="1" applyBorder="1" applyAlignment="1" applyProtection="1">
      <alignment horizontal="center" vertical="center"/>
      <protection locked="0"/>
    </xf>
    <xf numFmtId="178" fontId="43" fillId="8" borderId="6" xfId="0" applyNumberFormat="1" applyFont="1" applyFill="1" applyBorder="1" applyAlignment="1" applyProtection="1">
      <alignment horizontal="center" vertical="center"/>
      <protection locked="0"/>
    </xf>
    <xf numFmtId="178" fontId="42" fillId="9" borderId="2" xfId="0" applyNumberFormat="1" applyFont="1" applyFill="1" applyBorder="1" applyAlignment="1">
      <alignment horizontal="center" vertical="center" textRotation="255"/>
    </xf>
    <xf numFmtId="178" fontId="42" fillId="9" borderId="3" xfId="0" applyNumberFormat="1" applyFont="1" applyFill="1" applyBorder="1" applyAlignment="1">
      <alignment horizontal="center" vertical="center" textRotation="255"/>
    </xf>
    <xf numFmtId="178" fontId="42" fillId="9" borderId="13" xfId="0" applyNumberFormat="1" applyFont="1" applyFill="1" applyBorder="1" applyAlignment="1">
      <alignment horizontal="center" vertical="center" textRotation="255"/>
    </xf>
    <xf numFmtId="178" fontId="42" fillId="10" borderId="1" xfId="0" applyNumberFormat="1" applyFont="1" applyFill="1" applyBorder="1" applyAlignment="1">
      <alignment horizontal="center" vertical="center" textRotation="255"/>
    </xf>
    <xf numFmtId="178" fontId="42" fillId="10" borderId="18" xfId="0" applyNumberFormat="1" applyFont="1" applyFill="1" applyBorder="1" applyAlignment="1">
      <alignment horizontal="center" vertical="center" textRotation="255"/>
    </xf>
    <xf numFmtId="178" fontId="42" fillId="11" borderId="3" xfId="0" applyNumberFormat="1" applyFont="1" applyFill="1" applyBorder="1" applyAlignment="1">
      <alignment horizontal="center" vertical="center" textRotation="255"/>
    </xf>
    <xf numFmtId="183" fontId="34" fillId="0" borderId="1" xfId="0" applyNumberFormat="1" applyFont="1" applyBorder="1" applyAlignment="1">
      <alignment horizontal="center" vertical="center" wrapText="1"/>
    </xf>
    <xf numFmtId="183" fontId="34" fillId="7" borderId="1" xfId="0" applyNumberFormat="1" applyFont="1" applyFill="1" applyBorder="1" applyAlignment="1">
      <alignment vertical="center" wrapText="1"/>
    </xf>
    <xf numFmtId="183" fontId="34" fillId="7" borderId="1" xfId="0" applyNumberFormat="1" applyFont="1" applyFill="1" applyBorder="1" applyAlignment="1">
      <alignment horizontal="center" vertical="center" wrapText="1"/>
    </xf>
    <xf numFmtId="178" fontId="34" fillId="0" borderId="4" xfId="0" applyNumberFormat="1" applyFont="1" applyBorder="1" applyAlignment="1">
      <alignment horizontal="center" vertical="center" wrapText="1"/>
    </xf>
    <xf numFmtId="178" fontId="34" fillId="7" borderId="4" xfId="0" applyNumberFormat="1" applyFont="1" applyFill="1" applyBorder="1" applyAlignment="1">
      <alignment horizontal="center" vertical="center" wrapText="1"/>
    </xf>
    <xf numFmtId="0" fontId="21" fillId="2" borderId="4" xfId="5" applyFont="1" applyFill="1" applyBorder="1" applyAlignment="1">
      <alignment horizontal="left" vertical="center" wrapText="1"/>
    </xf>
    <xf numFmtId="0" fontId="21" fillId="2" borderId="5" xfId="5" applyFont="1" applyFill="1" applyBorder="1" applyAlignment="1">
      <alignment horizontal="left" vertical="center" wrapText="1"/>
    </xf>
    <xf numFmtId="0" fontId="21" fillId="2" borderId="5" xfId="5" applyFont="1" applyFill="1" applyBorder="1" applyAlignment="1">
      <alignment horizontal="center" vertical="center" wrapText="1"/>
    </xf>
    <xf numFmtId="0" fontId="21" fillId="2" borderId="6" xfId="5" applyFont="1" applyFill="1" applyBorder="1" applyAlignment="1">
      <alignment horizontal="center" vertical="center" wrapText="1"/>
    </xf>
    <xf numFmtId="0" fontId="21" fillId="3" borderId="4" xfId="5" applyFont="1" applyFill="1" applyBorder="1" applyAlignment="1">
      <alignment horizontal="center" vertical="center" wrapText="1"/>
    </xf>
    <xf numFmtId="0" fontId="21" fillId="3" borderId="6" xfId="5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center" vertical="center" wrapText="1"/>
    </xf>
    <xf numFmtId="0" fontId="21" fillId="3" borderId="13" xfId="5" applyFont="1" applyFill="1" applyBorder="1" applyAlignment="1">
      <alignment horizontal="center" vertical="center" wrapText="1"/>
    </xf>
    <xf numFmtId="49" fontId="21" fillId="3" borderId="2" xfId="5" applyNumberFormat="1" applyFont="1" applyFill="1" applyBorder="1" applyAlignment="1">
      <alignment horizontal="center" vertical="center" wrapText="1"/>
    </xf>
    <xf numFmtId="49" fontId="21" fillId="3" borderId="13" xfId="5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78" fontId="4" fillId="0" borderId="0" xfId="0" applyNumberFormat="1" applyFont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3" fontId="11" fillId="0" borderId="4" xfId="0" applyNumberFormat="1" applyFont="1" applyBorder="1" applyAlignment="1">
      <alignment horizontal="center" vertical="center"/>
    </xf>
    <xf numFmtId="43" fontId="11" fillId="0" borderId="5" xfId="0" applyNumberFormat="1" applyFont="1" applyBorder="1" applyAlignment="1">
      <alignment horizontal="center" vertical="center"/>
    </xf>
    <xf numFmtId="43" fontId="11" fillId="0" borderId="6" xfId="0" applyNumberFormat="1" applyFont="1" applyBorder="1" applyAlignment="1">
      <alignment horizontal="center" vertical="center"/>
    </xf>
    <xf numFmtId="43" fontId="9" fillId="0" borderId="2" xfId="0" applyNumberFormat="1" applyFont="1" applyBorder="1" applyAlignment="1">
      <alignment horizontal="center" vertical="center"/>
    </xf>
    <xf numFmtId="43" fontId="9" fillId="0" borderId="3" xfId="0" applyNumberFormat="1" applyFont="1" applyBorder="1" applyAlignment="1">
      <alignment horizontal="center" vertical="center"/>
    </xf>
    <xf numFmtId="43" fontId="15" fillId="0" borderId="7" xfId="0" applyNumberFormat="1" applyFont="1" applyBorder="1" applyAlignment="1">
      <alignment horizontal="center" vertical="center"/>
    </xf>
    <xf numFmtId="43" fontId="15" fillId="0" borderId="8" xfId="0" applyNumberFormat="1" applyFont="1" applyBorder="1" applyAlignment="1">
      <alignment horizontal="center" vertical="center"/>
    </xf>
    <xf numFmtId="43" fontId="15" fillId="0" borderId="11" xfId="0" applyNumberFormat="1" applyFont="1" applyBorder="1" applyAlignment="1">
      <alignment horizontal="center" vertical="center"/>
    </xf>
    <xf numFmtId="43" fontId="15" fillId="0" borderId="9" xfId="0" applyNumberFormat="1" applyFont="1" applyBorder="1" applyAlignment="1">
      <alignment horizontal="center" vertical="center"/>
    </xf>
    <xf numFmtId="43" fontId="15" fillId="0" borderId="10" xfId="0" applyNumberFormat="1" applyFont="1" applyBorder="1" applyAlignment="1">
      <alignment horizontal="center" vertical="center"/>
    </xf>
    <xf numFmtId="43" fontId="15" fillId="0" borderId="12" xfId="0" applyNumberFormat="1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50" fillId="0" borderId="1" xfId="0" applyNumberFormat="1" applyFont="1" applyBorder="1" applyAlignment="1" applyProtection="1">
      <alignment horizontal="center" vertical="center" shrinkToFit="1"/>
      <protection locked="0"/>
    </xf>
    <xf numFmtId="183" fontId="37" fillId="0" borderId="1" xfId="0" applyNumberFormat="1" applyFont="1" applyBorder="1" applyAlignment="1">
      <alignment horizontal="center" vertical="center" shrinkToFit="1"/>
    </xf>
  </cellXfs>
  <cellStyles count="7">
    <cellStyle name="Comma_SALARYBJ" xfId="2" xr:uid="{00000000-0005-0000-0000-000032000000}"/>
    <cellStyle name="常规" xfId="0" builtinId="0"/>
    <cellStyle name="常规 11" xfId="3" xr:uid="{00000000-0005-0000-0000-000033000000}"/>
    <cellStyle name="常规 2" xfId="6" xr:uid="{00000000-0005-0000-0000-000037000000}"/>
    <cellStyle name="常规 4" xfId="5" xr:uid="{00000000-0005-0000-0000-000036000000}"/>
    <cellStyle name="常规_工资表格式" xfId="4" xr:uid="{00000000-0005-0000-0000-000034000000}"/>
    <cellStyle name="普通" xfId="1" xr:uid="{00000000-0005-0000-0000-000031000000}"/>
  </cellStyles>
  <dxfs count="196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fill>
        <patternFill patternType="solid"/>
      </fill>
    </dxf>
    <dxf>
      <fill>
        <patternFill patternType="solid"/>
      </fill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rgb="FFFFFFFF"/>
          </stop>
          <stop position="1">
            <color theme="4"/>
          </stop>
        </gradientFill>
      </fill>
    </dxf>
    <dxf>
      <fill>
        <patternFill patternType="solid"/>
      </fill>
    </dxf>
    <dxf>
      <font>
        <b/>
        <i val="0"/>
        <color rgb="FFFF0000"/>
      </font>
      <fill>
        <patternFill patternType="solid"/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99CC00"/>
      <color rgb="FF00B0F0"/>
      <color rgb="FF92D050"/>
      <color rgb="FFFFC000"/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</xdr:colOff>
      <xdr:row>35</xdr:row>
      <xdr:rowOff>8890</xdr:rowOff>
    </xdr:from>
    <xdr:to>
      <xdr:col>9</xdr:col>
      <xdr:colOff>456565</xdr:colOff>
      <xdr:row>48</xdr:row>
      <xdr:rowOff>56515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" y="12334240"/>
          <a:ext cx="7324725" cy="2400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2</xdr:row>
      <xdr:rowOff>64135</xdr:rowOff>
    </xdr:from>
    <xdr:to>
      <xdr:col>24</xdr:col>
      <xdr:colOff>320675</xdr:colOff>
      <xdr:row>11</xdr:row>
      <xdr:rowOff>264160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4790" y="749935"/>
          <a:ext cx="5273675" cy="2590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104775</xdr:colOff>
      <xdr:row>30</xdr:row>
      <xdr:rowOff>238125</xdr:rowOff>
    </xdr:from>
    <xdr:to>
      <xdr:col>25</xdr:col>
      <xdr:colOff>57150</xdr:colOff>
      <xdr:row>48</xdr:row>
      <xdr:rowOff>212725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1965" y="9829165"/>
          <a:ext cx="5438775" cy="614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219075</xdr:colOff>
      <xdr:row>14</xdr:row>
      <xdr:rowOff>47625</xdr:rowOff>
    </xdr:from>
    <xdr:to>
      <xdr:col>24</xdr:col>
      <xdr:colOff>428625</xdr:colOff>
      <xdr:row>30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6265" y="4152265"/>
          <a:ext cx="5010150" cy="5505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4"/>
  <sheetViews>
    <sheetView workbookViewId="0">
      <pane xSplit="8" ySplit="4" topLeftCell="V17" activePane="bottomRight" state="frozen"/>
      <selection pane="topRight"/>
      <selection pane="bottomLeft"/>
      <selection pane="bottomRight" activeCell="AC18" sqref="AC18"/>
    </sheetView>
  </sheetViews>
  <sheetFormatPr defaultColWidth="9" defaultRowHeight="14.4" x14ac:dyDescent="0.25"/>
  <cols>
    <col min="1" max="1" width="3.88671875" style="90" customWidth="1"/>
    <col min="2" max="2" width="11.33203125" style="121" customWidth="1"/>
    <col min="3" max="3" width="9.77734375" style="122" customWidth="1"/>
    <col min="4" max="4" width="9" style="122" customWidth="1"/>
    <col min="5" max="5" width="11.44140625" style="122" customWidth="1"/>
    <col min="6" max="6" width="8.88671875" style="122" customWidth="1"/>
    <col min="7" max="7" width="9" style="122" customWidth="1"/>
    <col min="8" max="8" width="11.109375" style="123" customWidth="1"/>
    <col min="9" max="9" width="9.44140625" style="123" customWidth="1"/>
    <col min="10" max="10" width="9.44140625" style="124" customWidth="1"/>
    <col min="11" max="11" width="8.6640625" style="122" customWidth="1"/>
    <col min="12" max="15" width="9" style="122" customWidth="1"/>
    <col min="16" max="16" width="9.21875" style="122" customWidth="1"/>
    <col min="17" max="17" width="9.88671875" style="122" customWidth="1"/>
    <col min="18" max="18" width="9.6640625" style="122" customWidth="1"/>
    <col min="19" max="21" width="9" style="122" customWidth="1"/>
    <col min="22" max="22" width="11.44140625" style="122" customWidth="1"/>
    <col min="23" max="23" width="10.33203125" style="122" customWidth="1"/>
    <col min="24" max="24" width="9.6640625" style="122" customWidth="1"/>
    <col min="25" max="25" width="10.33203125" style="122" customWidth="1"/>
    <col min="26" max="26" width="9.109375" style="122" customWidth="1"/>
    <col min="27" max="27" width="11.44140625" style="122" customWidth="1"/>
    <col min="28" max="28" width="12.6640625" style="125" customWidth="1"/>
    <col min="29" max="29" width="13.44140625" style="125" customWidth="1"/>
    <col min="30" max="30" width="16.109375" style="126" customWidth="1"/>
    <col min="31" max="31" width="43.77734375" style="88" customWidth="1"/>
    <col min="32" max="32" width="10.33203125" style="111"/>
    <col min="33" max="16384" width="9" style="90"/>
  </cols>
  <sheetData>
    <row r="1" spans="1:32" s="87" customFormat="1" ht="36.9" customHeight="1" x14ac:dyDescent="0.25">
      <c r="A1" s="127"/>
      <c r="B1" s="149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1"/>
      <c r="AC1" s="151"/>
      <c r="AD1" s="151"/>
      <c r="AF1" s="109"/>
    </row>
    <row r="2" spans="1:32" s="88" customFormat="1" ht="18" customHeight="1" x14ac:dyDescent="0.25">
      <c r="A2" s="128"/>
      <c r="B2" s="96" t="s">
        <v>0</v>
      </c>
      <c r="C2" s="97"/>
      <c r="D2" s="97"/>
      <c r="E2" s="97"/>
      <c r="F2" s="97"/>
      <c r="G2" s="97"/>
      <c r="H2" s="152">
        <v>45199</v>
      </c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153"/>
      <c r="AD2" s="153"/>
      <c r="AE2" s="154"/>
      <c r="AF2" s="111"/>
    </row>
    <row r="3" spans="1:32" s="88" customFormat="1" ht="18" customHeight="1" x14ac:dyDescent="0.25">
      <c r="A3" s="128"/>
      <c r="B3" s="96" t="s">
        <v>1</v>
      </c>
      <c r="C3" s="97"/>
      <c r="D3" s="97"/>
      <c r="E3" s="97"/>
      <c r="F3" s="97"/>
      <c r="G3" s="97"/>
      <c r="H3" s="98"/>
      <c r="I3" s="98"/>
      <c r="J3" s="98"/>
      <c r="K3" s="155" t="s">
        <v>2</v>
      </c>
      <c r="L3" s="155"/>
      <c r="M3" s="155"/>
      <c r="N3" s="155"/>
      <c r="O3" s="155"/>
      <c r="P3" s="155"/>
      <c r="Q3" s="155"/>
      <c r="R3" s="155" t="s">
        <v>3</v>
      </c>
      <c r="S3" s="155"/>
      <c r="T3" s="155"/>
      <c r="U3" s="155"/>
      <c r="V3" s="155"/>
      <c r="W3" s="155" t="s">
        <v>4</v>
      </c>
      <c r="X3" s="155"/>
      <c r="Y3" s="155"/>
      <c r="Z3" s="155"/>
      <c r="AA3" s="155"/>
      <c r="AB3" s="175" t="s">
        <v>5</v>
      </c>
      <c r="AC3" s="175" t="s">
        <v>6</v>
      </c>
      <c r="AD3" s="175" t="s">
        <v>7</v>
      </c>
      <c r="AE3" s="178" t="s">
        <v>8</v>
      </c>
      <c r="AF3" s="111"/>
    </row>
    <row r="4" spans="1:32" s="89" customFormat="1" ht="43.95" customHeight="1" x14ac:dyDescent="0.25">
      <c r="A4" s="129"/>
      <c r="B4" s="100" t="s">
        <v>9</v>
      </c>
      <c r="C4" s="100" t="s">
        <v>10</v>
      </c>
      <c r="D4" s="101" t="s">
        <v>11</v>
      </c>
      <c r="E4" s="101" t="s">
        <v>12</v>
      </c>
      <c r="F4" s="101" t="s">
        <v>13</v>
      </c>
      <c r="G4" s="101" t="s">
        <v>14</v>
      </c>
      <c r="H4" s="102" t="s">
        <v>15</v>
      </c>
      <c r="I4" s="102" t="s">
        <v>16</v>
      </c>
      <c r="J4" s="102" t="s">
        <v>17</v>
      </c>
      <c r="K4" s="102" t="s">
        <v>18</v>
      </c>
      <c r="L4" s="102" t="s">
        <v>19</v>
      </c>
      <c r="M4" s="102" t="s">
        <v>20</v>
      </c>
      <c r="N4" s="102" t="s">
        <v>21</v>
      </c>
      <c r="O4" s="101" t="s">
        <v>22</v>
      </c>
      <c r="P4" s="101" t="s">
        <v>23</v>
      </c>
      <c r="Q4" s="101" t="s">
        <v>24</v>
      </c>
      <c r="R4" s="101" t="s">
        <v>25</v>
      </c>
      <c r="S4" s="101" t="s">
        <v>26</v>
      </c>
      <c r="T4" s="101" t="s">
        <v>27</v>
      </c>
      <c r="U4" s="101" t="s">
        <v>28</v>
      </c>
      <c r="V4" s="101" t="s">
        <v>29</v>
      </c>
      <c r="W4" s="101" t="s">
        <v>30</v>
      </c>
      <c r="X4" s="101" t="s">
        <v>31</v>
      </c>
      <c r="Y4" s="101" t="s">
        <v>32</v>
      </c>
      <c r="Z4" s="101" t="s">
        <v>33</v>
      </c>
      <c r="AA4" s="101" t="s">
        <v>34</v>
      </c>
      <c r="AB4" s="176"/>
      <c r="AC4" s="176"/>
      <c r="AD4" s="177"/>
      <c r="AE4" s="179"/>
      <c r="AF4" s="112"/>
    </row>
    <row r="5" spans="1:32" ht="28.2" customHeight="1" x14ac:dyDescent="0.25">
      <c r="A5" s="169" t="s">
        <v>35</v>
      </c>
      <c r="B5" s="104">
        <v>44795</v>
      </c>
      <c r="C5" s="11" t="s">
        <v>36</v>
      </c>
      <c r="D5" s="9" t="s">
        <v>37</v>
      </c>
      <c r="E5" s="9" t="s">
        <v>38</v>
      </c>
      <c r="F5" s="9">
        <f t="shared" ref="F5:F11" si="0">(DATE(YEAR($H$2),MONTH($H$2)+1,0)-B5)/365</f>
        <v>1.1068493150684899</v>
      </c>
      <c r="G5" s="9" t="s">
        <v>39</v>
      </c>
      <c r="H5" s="98">
        <v>2100</v>
      </c>
      <c r="I5" s="9">
        <v>50</v>
      </c>
      <c r="J5" s="9"/>
      <c r="K5" s="9">
        <v>30</v>
      </c>
      <c r="L5" s="9">
        <f>VLOOKUP(C5,考勤表!D:L,9,0)</f>
        <v>0</v>
      </c>
      <c r="M5" s="9">
        <f>VLOOKUP(C5,考勤表!D:M,10,0)</f>
        <v>0</v>
      </c>
      <c r="N5" s="9"/>
      <c r="O5" s="9">
        <f t="shared" ref="O5:O11" si="1">SUM(L5:N5)</f>
        <v>0</v>
      </c>
      <c r="P5" s="9">
        <v>0</v>
      </c>
      <c r="Q5" s="9">
        <f>VLOOKUP(C5,考勤表!D:I,6,0)</f>
        <v>0</v>
      </c>
      <c r="R5" s="9">
        <f>SUMIF(业绩明细表!$B:$B,$C5,业绩明细表!$E:$E)</f>
        <v>0</v>
      </c>
      <c r="S5" s="9">
        <f>SUMIF(其他补贴表!$B:$B,$C5,其他补贴表!$E:$E)</f>
        <v>0</v>
      </c>
      <c r="T5" s="9">
        <f>SUMIF(业务员专项补贴表!$C:$C,$C5,业务员专项补贴表!$L:$L)</f>
        <v>0</v>
      </c>
      <c r="U5" s="9">
        <f>SUMIF(补发工资表!$B:$B,$C5,补发工资表!$E:$E)</f>
        <v>0</v>
      </c>
      <c r="V5" s="9">
        <f t="shared" ref="V5:V11" si="2">SUM(R5:U5)</f>
        <v>0</v>
      </c>
      <c r="W5" s="9">
        <f t="shared" ref="W5:W11" si="3">H5/K5*O5</f>
        <v>0</v>
      </c>
      <c r="X5" s="9">
        <v>0</v>
      </c>
      <c r="Y5" s="9">
        <f t="shared" ref="Y5:Y11" si="4">IF(Q5&gt;60,(Q5-60)*0.5,0)</f>
        <v>0</v>
      </c>
      <c r="Z5" s="9">
        <f>SUMIF(其他扣款表!$B:$B,$C5,其他扣款表!$E:$E)</f>
        <v>0</v>
      </c>
      <c r="AA5" s="9">
        <f t="shared" ref="AA5:AA11" si="5">SUM(W5:Z5)</f>
        <v>0</v>
      </c>
      <c r="AB5" s="110">
        <f>H5+I5+V5-AA5</f>
        <v>2150</v>
      </c>
      <c r="AC5" s="110">
        <v>1214.01</v>
      </c>
      <c r="AD5" s="113">
        <f t="shared" ref="AD5:AD11" si="6">AB5-AC5</f>
        <v>935.99</v>
      </c>
      <c r="AE5" s="114"/>
      <c r="AF5" s="111" t="str">
        <f>VLOOKUP(C5,考勤表!D:D,1,0)</f>
        <v>欧锡玉</v>
      </c>
    </row>
    <row r="6" spans="1:32" ht="28.2" customHeight="1" x14ac:dyDescent="0.25">
      <c r="A6" s="170"/>
      <c r="B6" s="104">
        <v>44566</v>
      </c>
      <c r="C6" s="11" t="s">
        <v>40</v>
      </c>
      <c r="D6" s="9" t="s">
        <v>37</v>
      </c>
      <c r="E6" s="9" t="s">
        <v>41</v>
      </c>
      <c r="F6" s="9">
        <f t="shared" si="0"/>
        <v>1.7342465753424701</v>
      </c>
      <c r="G6" s="9" t="s">
        <v>39</v>
      </c>
      <c r="H6" s="98">
        <v>1800</v>
      </c>
      <c r="I6" s="9">
        <v>0</v>
      </c>
      <c r="J6" s="9"/>
      <c r="K6" s="9">
        <v>30</v>
      </c>
      <c r="L6" s="9">
        <f>VLOOKUP(C6,考勤表!D:L,9,0)</f>
        <v>0</v>
      </c>
      <c r="M6" s="9">
        <f>VLOOKUP(C6,考勤表!D:M,10,0)</f>
        <v>0.29166666666666702</v>
      </c>
      <c r="N6" s="9"/>
      <c r="O6" s="9">
        <f t="shared" si="1"/>
        <v>0.29166666666666702</v>
      </c>
      <c r="P6" s="9">
        <v>0</v>
      </c>
      <c r="Q6" s="9">
        <f>VLOOKUP(C6,考勤表!D:I,6,0)</f>
        <v>40</v>
      </c>
      <c r="R6" s="9">
        <f>SUMIF(业绩明细表!$B:$B,$C6,业绩明细表!$E:$E)</f>
        <v>0</v>
      </c>
      <c r="S6" s="9">
        <f>SUMIF(其他补贴表!$B:$B,$C6,其他补贴表!$E:$E)</f>
        <v>0</v>
      </c>
      <c r="T6" s="9">
        <f>SUMIF(业务员专项补贴表!$C:$C,$C6,业务员专项补贴表!$L:$L)</f>
        <v>0</v>
      </c>
      <c r="U6" s="9">
        <f>SUMIF(补发工资表!$B:$B,$C6,补发工资表!$E:$E)</f>
        <v>0</v>
      </c>
      <c r="V6" s="9">
        <f t="shared" si="2"/>
        <v>0</v>
      </c>
      <c r="W6" s="9">
        <f t="shared" si="3"/>
        <v>17.5</v>
      </c>
      <c r="X6" s="9">
        <v>0</v>
      </c>
      <c r="Y6" s="9">
        <f t="shared" si="4"/>
        <v>0</v>
      </c>
      <c r="Z6" s="9">
        <f>SUMIF(其他扣款表!$B:$B,$C6,其他扣款表!$E:$E)</f>
        <v>0</v>
      </c>
      <c r="AA6" s="9">
        <f t="shared" si="5"/>
        <v>17.5</v>
      </c>
      <c r="AB6" s="110">
        <f t="shared" ref="AB6:AB11" si="7">H6+I6+V6-AA6</f>
        <v>1782.5</v>
      </c>
      <c r="AC6" s="110">
        <v>1214.01</v>
      </c>
      <c r="AD6" s="113">
        <f t="shared" si="6"/>
        <v>568.49</v>
      </c>
      <c r="AE6" s="114"/>
      <c r="AF6" s="111" t="str">
        <f>VLOOKUP(C6,考勤表!D:D,1,0)</f>
        <v>齐战军</v>
      </c>
    </row>
    <row r="7" spans="1:32" ht="28.2" customHeight="1" x14ac:dyDescent="0.25">
      <c r="A7" s="170"/>
      <c r="B7" s="104">
        <v>45121</v>
      </c>
      <c r="C7" s="11" t="s">
        <v>42</v>
      </c>
      <c r="D7" s="9" t="s">
        <v>37</v>
      </c>
      <c r="E7" s="9" t="s">
        <v>38</v>
      </c>
      <c r="F7" s="9">
        <f t="shared" si="0"/>
        <v>0.21369863013698601</v>
      </c>
      <c r="G7" s="9" t="s">
        <v>39</v>
      </c>
      <c r="H7" s="98">
        <v>1800</v>
      </c>
      <c r="I7" s="9">
        <v>50</v>
      </c>
      <c r="J7" s="9"/>
      <c r="K7" s="9">
        <v>30</v>
      </c>
      <c r="L7" s="9">
        <f>VLOOKUP(C7,考勤表!D:L,9,0)</f>
        <v>0</v>
      </c>
      <c r="M7" s="9">
        <f>VLOOKUP(C7,考勤表!D:M,10,0)</f>
        <v>0</v>
      </c>
      <c r="N7" s="9"/>
      <c r="O7" s="9">
        <f t="shared" si="1"/>
        <v>0</v>
      </c>
      <c r="P7" s="9">
        <v>0</v>
      </c>
      <c r="Q7" s="9">
        <f>VLOOKUP(C7,考勤表!D:I,6,0)</f>
        <v>0</v>
      </c>
      <c r="R7" s="9">
        <f>SUMIF(业绩明细表!$B:$B,$C7,业绩明细表!$E:$E)</f>
        <v>0</v>
      </c>
      <c r="S7" s="9">
        <f>SUMIF(其他补贴表!$B:$B,$C7,其他补贴表!$E:$E)</f>
        <v>0</v>
      </c>
      <c r="T7" s="9">
        <f>SUMIF(业务员专项补贴表!$C:$C,$C7,业务员专项补贴表!$L:$L)</f>
        <v>0</v>
      </c>
      <c r="U7" s="9">
        <f>SUMIF(补发工资表!$B:$B,$C7,补发工资表!$E:$E)</f>
        <v>0</v>
      </c>
      <c r="V7" s="9">
        <f t="shared" si="2"/>
        <v>0</v>
      </c>
      <c r="W7" s="9">
        <f t="shared" si="3"/>
        <v>0</v>
      </c>
      <c r="X7" s="9">
        <v>0</v>
      </c>
      <c r="Y7" s="9">
        <f t="shared" si="4"/>
        <v>0</v>
      </c>
      <c r="Z7" s="9">
        <f>SUMIF(其他扣款表!$B:$B,$C7,其他扣款表!$E:$E)</f>
        <v>0</v>
      </c>
      <c r="AA7" s="9">
        <f t="shared" si="5"/>
        <v>0</v>
      </c>
      <c r="AB7" s="110">
        <f t="shared" si="7"/>
        <v>1850</v>
      </c>
      <c r="AC7" s="110">
        <v>1210.43</v>
      </c>
      <c r="AD7" s="113">
        <f t="shared" si="6"/>
        <v>639.57000000000005</v>
      </c>
      <c r="AE7" s="114"/>
      <c r="AF7" s="111" t="str">
        <f>VLOOKUP(C7,考勤表!D:D,1,0)</f>
        <v>胡彪</v>
      </c>
    </row>
    <row r="8" spans="1:32" ht="28.2" customHeight="1" x14ac:dyDescent="0.25">
      <c r="A8" s="170"/>
      <c r="B8" s="104">
        <v>44753</v>
      </c>
      <c r="C8" s="11" t="s">
        <v>43</v>
      </c>
      <c r="D8" s="9" t="s">
        <v>44</v>
      </c>
      <c r="E8" s="9" t="s">
        <v>45</v>
      </c>
      <c r="F8" s="9">
        <f t="shared" si="0"/>
        <v>1.2219178082191799</v>
      </c>
      <c r="G8" s="9" t="s">
        <v>39</v>
      </c>
      <c r="H8" s="98">
        <v>1700</v>
      </c>
      <c r="I8" s="9">
        <v>50</v>
      </c>
      <c r="J8" s="9"/>
      <c r="K8" s="9">
        <v>30</v>
      </c>
      <c r="L8" s="9">
        <f>VLOOKUP(C8,考勤表!D:L,9,0)</f>
        <v>0</v>
      </c>
      <c r="M8" s="9">
        <f>VLOOKUP(C8,考勤表!D:M,10,0)</f>
        <v>0</v>
      </c>
      <c r="N8" s="9"/>
      <c r="O8" s="9">
        <f t="shared" si="1"/>
        <v>0</v>
      </c>
      <c r="P8" s="9">
        <v>0</v>
      </c>
      <c r="Q8" s="9">
        <v>0</v>
      </c>
      <c r="R8" s="9">
        <f>SUMIF(业绩明细表!$B:$B,$C8,业绩明细表!$E:$E)</f>
        <v>0</v>
      </c>
      <c r="S8" s="9">
        <f>SUMIF(其他补贴表!$B:$B,$C8,其他补贴表!$E:$E)</f>
        <v>0</v>
      </c>
      <c r="T8" s="9">
        <f>SUMIF(业务员专项补贴表!$C:$C,$C8,业务员专项补贴表!$L:$L)</f>
        <v>0</v>
      </c>
      <c r="U8" s="9">
        <f>SUMIF(补发工资表!$B:$B,$C8,补发工资表!$E:$E)</f>
        <v>0</v>
      </c>
      <c r="V8" s="9">
        <f t="shared" si="2"/>
        <v>0</v>
      </c>
      <c r="W8" s="9">
        <f t="shared" si="3"/>
        <v>0</v>
      </c>
      <c r="X8" s="9">
        <v>0</v>
      </c>
      <c r="Y8" s="9">
        <f t="shared" si="4"/>
        <v>0</v>
      </c>
      <c r="Z8" s="9">
        <f>SUMIF(其他扣款表!$B:$B,$C8,其他扣款表!$E:$E)</f>
        <v>0</v>
      </c>
      <c r="AA8" s="9">
        <f t="shared" si="5"/>
        <v>0</v>
      </c>
      <c r="AB8" s="110">
        <f t="shared" si="7"/>
        <v>1750</v>
      </c>
      <c r="AC8" s="110">
        <v>945.66</v>
      </c>
      <c r="AD8" s="113">
        <f t="shared" si="6"/>
        <v>804.34</v>
      </c>
      <c r="AE8" s="114"/>
      <c r="AF8" s="111" t="str">
        <f>VLOOKUP(C8,考勤表!D:D,1,0)</f>
        <v>王梦梦</v>
      </c>
    </row>
    <row r="9" spans="1:32" ht="28.2" customHeight="1" x14ac:dyDescent="0.25">
      <c r="A9" s="170"/>
      <c r="B9" s="104">
        <v>44935</v>
      </c>
      <c r="C9" s="11" t="s">
        <v>46</v>
      </c>
      <c r="D9" s="9" t="s">
        <v>44</v>
      </c>
      <c r="E9" s="9" t="s">
        <v>47</v>
      </c>
      <c r="F9" s="9">
        <f t="shared" si="0"/>
        <v>0.72328767123287696</v>
      </c>
      <c r="G9" s="9" t="s">
        <v>39</v>
      </c>
      <c r="H9" s="98">
        <v>1700</v>
      </c>
      <c r="I9" s="9">
        <v>50</v>
      </c>
      <c r="J9" s="9"/>
      <c r="K9" s="9">
        <v>30</v>
      </c>
      <c r="L9" s="9">
        <f>VLOOKUP(C9,考勤表!D:L,9,0)</f>
        <v>0</v>
      </c>
      <c r="M9" s="9">
        <f>VLOOKUP(C9,考勤表!D:M,10,0)</f>
        <v>0</v>
      </c>
      <c r="N9" s="9"/>
      <c r="O9" s="9">
        <f t="shared" si="1"/>
        <v>0</v>
      </c>
      <c r="P9" s="9">
        <v>0</v>
      </c>
      <c r="Q9" s="9">
        <f>VLOOKUP(C9,考勤表!D:I,6,0)</f>
        <v>0</v>
      </c>
      <c r="R9" s="9">
        <f>SUMIF(业绩明细表!$B:$B,$C9,业绩明细表!$E:$E)</f>
        <v>0</v>
      </c>
      <c r="S9" s="9">
        <f>SUMIF(其他补贴表!$B:$B,$C9,其他补贴表!$E:$E)</f>
        <v>0</v>
      </c>
      <c r="T9" s="9">
        <f>SUMIF(业务员专项补贴表!$C:$C,$C9,业务员专项补贴表!$L:$L)</f>
        <v>0</v>
      </c>
      <c r="U9" s="9">
        <f>SUMIF(补发工资表!$B:$B,$C9,补发工资表!$E:$E)</f>
        <v>0</v>
      </c>
      <c r="V9" s="9">
        <f t="shared" si="2"/>
        <v>0</v>
      </c>
      <c r="W9" s="9">
        <f t="shared" si="3"/>
        <v>0</v>
      </c>
      <c r="X9" s="9">
        <v>0</v>
      </c>
      <c r="Y9" s="9">
        <f t="shared" si="4"/>
        <v>0</v>
      </c>
      <c r="Z9" s="9">
        <f>SUMIF(其他扣款表!$B:$B,$C9,其他扣款表!$E:$E)</f>
        <v>0</v>
      </c>
      <c r="AA9" s="9">
        <f t="shared" si="5"/>
        <v>0</v>
      </c>
      <c r="AB9" s="110">
        <f t="shared" si="7"/>
        <v>1750</v>
      </c>
      <c r="AC9" s="110">
        <v>639.42999999999995</v>
      </c>
      <c r="AD9" s="113">
        <f t="shared" si="6"/>
        <v>1110.57</v>
      </c>
      <c r="AE9" s="114"/>
      <c r="AF9" s="111" t="str">
        <f>VLOOKUP(C9,考勤表!D:D,1,0)</f>
        <v>徐嘉平</v>
      </c>
    </row>
    <row r="10" spans="1:32" ht="28.2" customHeight="1" x14ac:dyDescent="0.25">
      <c r="A10" s="170"/>
      <c r="B10" s="104">
        <v>44671</v>
      </c>
      <c r="C10" s="11" t="s">
        <v>48</v>
      </c>
      <c r="D10" s="9" t="s">
        <v>44</v>
      </c>
      <c r="E10" s="9" t="s">
        <v>47</v>
      </c>
      <c r="F10" s="9">
        <f t="shared" si="0"/>
        <v>1.4465753424657499</v>
      </c>
      <c r="G10" s="9" t="s">
        <v>39</v>
      </c>
      <c r="H10" s="98">
        <v>1500</v>
      </c>
      <c r="I10" s="9">
        <v>0</v>
      </c>
      <c r="J10" s="9"/>
      <c r="K10" s="9">
        <v>30</v>
      </c>
      <c r="L10" s="9">
        <f>VLOOKUP(C10,考勤表!D:L,9,0)</f>
        <v>0</v>
      </c>
      <c r="M10" s="9">
        <f>VLOOKUP(C10,考勤表!D:M,10,0)</f>
        <v>2</v>
      </c>
      <c r="N10" s="9"/>
      <c r="O10" s="9">
        <f t="shared" si="1"/>
        <v>2</v>
      </c>
      <c r="P10" s="9">
        <v>0</v>
      </c>
      <c r="Q10" s="9">
        <f>VLOOKUP(C10,考勤表!D:I,6,0)</f>
        <v>6</v>
      </c>
      <c r="R10" s="9">
        <f>SUMIF(业绩明细表!$B:$B,$C10,业绩明细表!$E:$E)</f>
        <v>0</v>
      </c>
      <c r="S10" s="9">
        <f>SUMIF(其他补贴表!$B:$B,$C10,其他补贴表!$E:$E)</f>
        <v>0</v>
      </c>
      <c r="T10" s="9">
        <f>SUMIF(业务员专项补贴表!$C:$C,$C10,业务员专项补贴表!$L:$L)</f>
        <v>0</v>
      </c>
      <c r="U10" s="9">
        <f>SUMIF(补发工资表!$B:$B,$C10,补发工资表!$E:$E)</f>
        <v>0</v>
      </c>
      <c r="V10" s="9">
        <f t="shared" si="2"/>
        <v>0</v>
      </c>
      <c r="W10" s="9">
        <f t="shared" si="3"/>
        <v>100</v>
      </c>
      <c r="X10" s="9">
        <v>0</v>
      </c>
      <c r="Y10" s="9">
        <f t="shared" si="4"/>
        <v>0</v>
      </c>
      <c r="Z10" s="9">
        <f>SUMIF(其他扣款表!$B:$B,$C10,其他扣款表!$E:$E)</f>
        <v>0</v>
      </c>
      <c r="AA10" s="9">
        <f t="shared" si="5"/>
        <v>100</v>
      </c>
      <c r="AB10" s="110">
        <f t="shared" si="7"/>
        <v>1400</v>
      </c>
      <c r="AC10" s="110">
        <v>945.66</v>
      </c>
      <c r="AD10" s="113">
        <f t="shared" si="6"/>
        <v>454.34</v>
      </c>
      <c r="AE10" s="114"/>
      <c r="AF10" s="111" t="str">
        <f>VLOOKUP(C10,考勤表!D:D,1,0)</f>
        <v>张爽</v>
      </c>
    </row>
    <row r="11" spans="1:32" ht="28.2" customHeight="1" x14ac:dyDescent="0.25">
      <c r="A11" s="171"/>
      <c r="B11" s="104">
        <v>45126</v>
      </c>
      <c r="C11" s="11" t="s">
        <v>49</v>
      </c>
      <c r="D11" s="9" t="s">
        <v>44</v>
      </c>
      <c r="E11" s="9" t="s">
        <v>47</v>
      </c>
      <c r="F11" s="9">
        <f t="shared" si="0"/>
        <v>0.2</v>
      </c>
      <c r="G11" s="9" t="s">
        <v>39</v>
      </c>
      <c r="H11" s="98">
        <v>1400</v>
      </c>
      <c r="I11" s="9">
        <v>50</v>
      </c>
      <c r="J11" s="9"/>
      <c r="K11" s="9">
        <v>30</v>
      </c>
      <c r="L11" s="9">
        <f>VLOOKUP(C11,考勤表!D:L,9,0)</f>
        <v>0</v>
      </c>
      <c r="M11" s="9">
        <f>VLOOKUP(C11,考勤表!D:M,10,0)</f>
        <v>0</v>
      </c>
      <c r="N11" s="9"/>
      <c r="O11" s="9">
        <f t="shared" si="1"/>
        <v>0</v>
      </c>
      <c r="P11" s="9">
        <v>0</v>
      </c>
      <c r="Q11" s="9">
        <f>VLOOKUP(C11,考勤表!D:I,6,0)</f>
        <v>2</v>
      </c>
      <c r="R11" s="9">
        <f>SUMIF(业绩明细表!$B:$B,$C11,业绩明细表!$E:$E)</f>
        <v>0</v>
      </c>
      <c r="S11" s="9">
        <f>SUMIF(其他补贴表!$B:$B,$C11,其他补贴表!$E:$E)</f>
        <v>0</v>
      </c>
      <c r="T11" s="9">
        <f>SUMIF(业务员专项补贴表!$C:$C,$C11,业务员专项补贴表!$L:$L)</f>
        <v>0</v>
      </c>
      <c r="U11" s="9">
        <f>SUMIF(补发工资表!$B:$B,$C11,补发工资表!$E:$E)</f>
        <v>0</v>
      </c>
      <c r="V11" s="9">
        <f t="shared" si="2"/>
        <v>0</v>
      </c>
      <c r="W11" s="9">
        <f t="shared" si="3"/>
        <v>0</v>
      </c>
      <c r="X11" s="9">
        <v>0</v>
      </c>
      <c r="Y11" s="9">
        <f t="shared" si="4"/>
        <v>0</v>
      </c>
      <c r="Z11" s="9">
        <f>SUMIF(其他扣款表!$B:$B,$C11,其他扣款表!$E:$E)</f>
        <v>0</v>
      </c>
      <c r="AA11" s="9">
        <f t="shared" si="5"/>
        <v>0</v>
      </c>
      <c r="AB11" s="110">
        <f t="shared" si="7"/>
        <v>1450</v>
      </c>
      <c r="AC11" s="110">
        <v>639.42999999999995</v>
      </c>
      <c r="AD11" s="113">
        <f t="shared" si="6"/>
        <v>810.57</v>
      </c>
      <c r="AE11" s="114"/>
      <c r="AF11" s="111" t="str">
        <f>VLOOKUP(C11,考勤表!D:D,1,0)</f>
        <v>冯慧</v>
      </c>
    </row>
    <row r="12" spans="1:32" ht="28.2" customHeight="1" x14ac:dyDescent="0.25">
      <c r="A12" s="156" t="s">
        <v>50</v>
      </c>
      <c r="B12" s="157"/>
      <c r="C12" s="157"/>
      <c r="D12" s="157"/>
      <c r="E12" s="157"/>
      <c r="F12" s="157"/>
      <c r="G12" s="158"/>
      <c r="H12" s="119">
        <f>SUM(H5:H11)</f>
        <v>12000</v>
      </c>
      <c r="I12" s="119">
        <f t="shared" ref="I12:AD12" si="8">SUM(I5:I11)</f>
        <v>250</v>
      </c>
      <c r="J12" s="119">
        <f t="shared" si="8"/>
        <v>0</v>
      </c>
      <c r="K12" s="119">
        <f t="shared" si="8"/>
        <v>210</v>
      </c>
      <c r="L12" s="119">
        <f t="shared" si="8"/>
        <v>0</v>
      </c>
      <c r="M12" s="119">
        <f t="shared" si="8"/>
        <v>2.2916666666666701</v>
      </c>
      <c r="N12" s="119">
        <f t="shared" si="8"/>
        <v>0</v>
      </c>
      <c r="O12" s="119">
        <f t="shared" si="8"/>
        <v>2.2916666666666701</v>
      </c>
      <c r="P12" s="119">
        <f t="shared" si="8"/>
        <v>0</v>
      </c>
      <c r="Q12" s="119">
        <f t="shared" si="8"/>
        <v>48</v>
      </c>
      <c r="R12" s="119">
        <f t="shared" si="8"/>
        <v>0</v>
      </c>
      <c r="S12" s="119">
        <f t="shared" si="8"/>
        <v>0</v>
      </c>
      <c r="T12" s="119">
        <f t="shared" si="8"/>
        <v>0</v>
      </c>
      <c r="U12" s="119">
        <f t="shared" si="8"/>
        <v>0</v>
      </c>
      <c r="V12" s="119">
        <f t="shared" si="8"/>
        <v>0</v>
      </c>
      <c r="W12" s="119">
        <f t="shared" si="8"/>
        <v>117.5</v>
      </c>
      <c r="X12" s="119">
        <f t="shared" si="8"/>
        <v>0</v>
      </c>
      <c r="Y12" s="119">
        <f t="shared" si="8"/>
        <v>0</v>
      </c>
      <c r="Z12" s="119">
        <f t="shared" si="8"/>
        <v>0</v>
      </c>
      <c r="AA12" s="119">
        <f t="shared" si="8"/>
        <v>117.5</v>
      </c>
      <c r="AB12" s="119">
        <f t="shared" si="8"/>
        <v>12132.5</v>
      </c>
      <c r="AC12" s="119">
        <f t="shared" si="8"/>
        <v>6808.63</v>
      </c>
      <c r="AD12" s="119">
        <f t="shared" si="8"/>
        <v>5323.87</v>
      </c>
      <c r="AE12" s="114"/>
      <c r="AF12" s="111" t="e">
        <f>VLOOKUP(C12,考勤表!D:D,1,0)</f>
        <v>#N/A</v>
      </c>
    </row>
    <row r="13" spans="1:32" ht="28.2" customHeight="1" x14ac:dyDescent="0.25">
      <c r="A13" s="172" t="s">
        <v>51</v>
      </c>
      <c r="B13" s="104">
        <v>44454</v>
      </c>
      <c r="C13" s="11" t="s">
        <v>52</v>
      </c>
      <c r="D13" s="9" t="s">
        <v>53</v>
      </c>
      <c r="E13" s="9" t="s">
        <v>54</v>
      </c>
      <c r="F13" s="9">
        <f t="shared" ref="F13:F20" si="9">(DATE(YEAR($H$2),MONTH($H$2)+1,0)-B13)/365</f>
        <v>2.04109589041096</v>
      </c>
      <c r="G13" s="9" t="s">
        <v>39</v>
      </c>
      <c r="H13" s="98">
        <v>1700</v>
      </c>
      <c r="I13" s="9">
        <v>0</v>
      </c>
      <c r="J13" s="9"/>
      <c r="K13" s="9">
        <v>30</v>
      </c>
      <c r="L13" s="9">
        <f>VLOOKUP(C13,考勤表!D:L,9,0)</f>
        <v>0</v>
      </c>
      <c r="M13" s="9">
        <f>VLOOKUP(C13,考勤表!D:M,10,0)</f>
        <v>18</v>
      </c>
      <c r="N13" s="9"/>
      <c r="O13" s="9">
        <f t="shared" ref="O13:O20" si="10">SUM(L13:N13)</f>
        <v>18</v>
      </c>
      <c r="P13" s="9">
        <v>0</v>
      </c>
      <c r="Q13" s="9">
        <f>VLOOKUP(C13,考勤表!D:I,6,0)</f>
        <v>44</v>
      </c>
      <c r="R13" s="9">
        <f>SUMIF(业绩明细表!$B:$B,$C13,业绩明细表!$E:$E)</f>
        <v>0</v>
      </c>
      <c r="S13" s="9">
        <f>SUMIF(其他补贴表!$B:$B,$C13,其他补贴表!$E:$E)</f>
        <v>99.1666666666667</v>
      </c>
      <c r="T13" s="9">
        <f>SUMIF(业务员专项补贴表!$C:$C,$C13,业务员专项补贴表!$L:$L)</f>
        <v>0</v>
      </c>
      <c r="U13" s="9">
        <f>SUMIF(补发工资表!$B:$B,$C13,补发工资表!$E:$E)</f>
        <v>0</v>
      </c>
      <c r="V13" s="9">
        <f t="shared" ref="V13:V20" si="11">SUM(R13:U13)</f>
        <v>99.1666666666667</v>
      </c>
      <c r="W13" s="9">
        <f t="shared" ref="W13:W20" si="12">H13/K13*O13</f>
        <v>1020</v>
      </c>
      <c r="X13" s="9">
        <v>0</v>
      </c>
      <c r="Y13" s="9">
        <f t="shared" ref="Y13:Y20" si="13">IF(Q13&gt;60,(Q13-60)*0.5,0)</f>
        <v>0</v>
      </c>
      <c r="Z13" s="9">
        <f>SUMIF(其他扣款表!$B:$B,$C13,其他扣款表!$E:$E)</f>
        <v>313.12799999999999</v>
      </c>
      <c r="AA13" s="9">
        <f t="shared" ref="AA13:AA20" si="14">SUM(W13:Z13)</f>
        <v>1333.1279999999999</v>
      </c>
      <c r="AB13" s="110">
        <f>H13+I13+V13-AA13</f>
        <v>466.03866666666698</v>
      </c>
      <c r="AC13" s="110">
        <v>1214.01</v>
      </c>
      <c r="AD13" s="113">
        <f t="shared" ref="AD13:AD20" si="15">AB13-AC13</f>
        <v>-747.97133333333295</v>
      </c>
      <c r="AE13" s="114"/>
      <c r="AF13" s="111" t="str">
        <f>VLOOKUP(C13,考勤表!D:D,1,0)</f>
        <v>王仁刚</v>
      </c>
    </row>
    <row r="14" spans="1:32" ht="28.2" customHeight="1" x14ac:dyDescent="0.25">
      <c r="A14" s="172"/>
      <c r="B14" s="104">
        <v>45183</v>
      </c>
      <c r="C14" s="11" t="s">
        <v>55</v>
      </c>
      <c r="D14" s="9" t="s">
        <v>53</v>
      </c>
      <c r="E14" s="9" t="s">
        <v>56</v>
      </c>
      <c r="F14" s="9">
        <f t="shared" si="9"/>
        <v>4.3835616438356199E-2</v>
      </c>
      <c r="G14" s="9" t="s">
        <v>39</v>
      </c>
      <c r="H14" s="98">
        <v>1500</v>
      </c>
      <c r="I14" s="9">
        <v>0</v>
      </c>
      <c r="J14" s="9"/>
      <c r="K14" s="9">
        <v>30</v>
      </c>
      <c r="L14" s="9">
        <f>VLOOKUP(C14,考勤表!D:L,9,0)</f>
        <v>0</v>
      </c>
      <c r="M14" s="9">
        <f>VLOOKUP(C14,考勤表!D:M,10,0)</f>
        <v>0</v>
      </c>
      <c r="N14" s="9">
        <v>13</v>
      </c>
      <c r="O14" s="9">
        <f t="shared" si="10"/>
        <v>13</v>
      </c>
      <c r="P14" s="9">
        <v>0</v>
      </c>
      <c r="Q14" s="9">
        <f>VLOOKUP(C14,考勤表!D:I,6,0)</f>
        <v>18</v>
      </c>
      <c r="R14" s="9">
        <f>SUMIF(业绩明细表!$B:$B,$C14,业绩明细表!$E:$E)</f>
        <v>198.78563265306099</v>
      </c>
      <c r="S14" s="9">
        <f>SUMIF(其他补贴表!$B:$B,$C14,其他补贴表!$E:$E)</f>
        <v>130</v>
      </c>
      <c r="T14" s="9">
        <f>SUMIF(业务员专项补贴表!$C:$C,$C14,业务员专项补贴表!$L:$L)</f>
        <v>0</v>
      </c>
      <c r="U14" s="9">
        <f>SUMIF(补发工资表!$B:$B,$C14,补发工资表!$E:$E)</f>
        <v>0</v>
      </c>
      <c r="V14" s="9">
        <f t="shared" si="11"/>
        <v>328.78563265306099</v>
      </c>
      <c r="W14" s="9">
        <f t="shared" si="12"/>
        <v>650</v>
      </c>
      <c r="X14" s="9">
        <v>0</v>
      </c>
      <c r="Y14" s="9">
        <f t="shared" si="13"/>
        <v>0</v>
      </c>
      <c r="Z14" s="9">
        <f>SUMIF(其他扣款表!$B:$B,$C14,其他扣款表!$E:$E)</f>
        <v>0</v>
      </c>
      <c r="AA14" s="9">
        <f t="shared" si="14"/>
        <v>650</v>
      </c>
      <c r="AB14" s="110">
        <f t="shared" ref="AB14:AB20" si="16">H14+I14+V14-AA14</f>
        <v>1178.78563265306</v>
      </c>
      <c r="AC14" s="110">
        <v>524.13</v>
      </c>
      <c r="AD14" s="113">
        <f t="shared" si="15"/>
        <v>654.65563265306105</v>
      </c>
      <c r="AE14" s="114"/>
      <c r="AF14" s="111" t="str">
        <f>VLOOKUP(C14,考勤表!D:D,1,0)</f>
        <v>张俊</v>
      </c>
    </row>
    <row r="15" spans="1:32" ht="28.2" customHeight="1" x14ac:dyDescent="0.25">
      <c r="A15" s="172"/>
      <c r="B15" s="104">
        <v>44704</v>
      </c>
      <c r="C15" s="11" t="s">
        <v>57</v>
      </c>
      <c r="D15" s="9" t="s">
        <v>53</v>
      </c>
      <c r="E15" s="9" t="s">
        <v>58</v>
      </c>
      <c r="F15" s="9">
        <f t="shared" si="9"/>
        <v>1.3561643835616399</v>
      </c>
      <c r="G15" s="9" t="s">
        <v>39</v>
      </c>
      <c r="H15" s="98">
        <v>1400</v>
      </c>
      <c r="I15" s="9">
        <v>50</v>
      </c>
      <c r="J15" s="9"/>
      <c r="K15" s="9">
        <v>30</v>
      </c>
      <c r="L15" s="9">
        <f>VLOOKUP(C15,考勤表!D:L,9,0)</f>
        <v>0</v>
      </c>
      <c r="M15" s="9">
        <f>VLOOKUP(C15,考勤表!D:M,10,0)</f>
        <v>0</v>
      </c>
      <c r="N15" s="9"/>
      <c r="O15" s="9">
        <f t="shared" si="10"/>
        <v>0</v>
      </c>
      <c r="P15" s="9">
        <v>0</v>
      </c>
      <c r="Q15" s="9">
        <f>VLOOKUP(C15,考勤表!D:I,6,0)</f>
        <v>0</v>
      </c>
      <c r="R15" s="9">
        <f>SUMIF(业绩明细表!$B:$B,$C15,业绩明细表!$E:$E)</f>
        <v>545.78285714285698</v>
      </c>
      <c r="S15" s="9">
        <f>SUMIF(其他补贴表!$B:$B,$C15,其他补贴表!$E:$E)</f>
        <v>41.6666666666667</v>
      </c>
      <c r="T15" s="9">
        <f>SUMIF(业务员专项补贴表!$C:$C,$C15,业务员专项补贴表!$L:$L)</f>
        <v>0</v>
      </c>
      <c r="U15" s="9">
        <f>SUMIF(补发工资表!$B:$B,$C15,补发工资表!$E:$E)</f>
        <v>0</v>
      </c>
      <c r="V15" s="9">
        <f t="shared" si="11"/>
        <v>587.44952380952395</v>
      </c>
      <c r="W15" s="9">
        <f t="shared" si="12"/>
        <v>0</v>
      </c>
      <c r="X15" s="9">
        <v>0</v>
      </c>
      <c r="Y15" s="9">
        <f t="shared" si="13"/>
        <v>0</v>
      </c>
      <c r="Z15" s="9">
        <f>SUMIF(其他扣款表!$B:$B,$C15,其他扣款表!$E:$E)</f>
        <v>0</v>
      </c>
      <c r="AA15" s="9">
        <f t="shared" si="14"/>
        <v>0</v>
      </c>
      <c r="AB15" s="110">
        <f t="shared" si="16"/>
        <v>2037.4495238095201</v>
      </c>
      <c r="AC15" s="110">
        <v>945.66</v>
      </c>
      <c r="AD15" s="113">
        <f t="shared" si="15"/>
        <v>1091.78952380952</v>
      </c>
      <c r="AE15" s="144"/>
      <c r="AF15" s="111" t="str">
        <f>VLOOKUP(C15,考勤表!D:D,1,0)</f>
        <v>徐舟</v>
      </c>
    </row>
    <row r="16" spans="1:32" ht="28.2" customHeight="1" x14ac:dyDescent="0.25">
      <c r="A16" s="172"/>
      <c r="B16" s="104">
        <v>44345</v>
      </c>
      <c r="C16" s="11" t="s">
        <v>59</v>
      </c>
      <c r="D16" s="9" t="s">
        <v>53</v>
      </c>
      <c r="E16" s="9" t="s">
        <v>60</v>
      </c>
      <c r="F16" s="9">
        <f t="shared" si="9"/>
        <v>2.3397260273972602</v>
      </c>
      <c r="G16" s="9" t="s">
        <v>39</v>
      </c>
      <c r="H16" s="98">
        <v>1400</v>
      </c>
      <c r="I16" s="9">
        <v>50</v>
      </c>
      <c r="J16" s="9"/>
      <c r="K16" s="9">
        <v>30</v>
      </c>
      <c r="L16" s="9">
        <f>VLOOKUP(C16,考勤表!D:L,9,0)</f>
        <v>0</v>
      </c>
      <c r="M16" s="9">
        <f>VLOOKUP(C16,考勤表!D:M,10,0)</f>
        <v>0</v>
      </c>
      <c r="N16" s="9"/>
      <c r="O16" s="9">
        <f t="shared" si="10"/>
        <v>0</v>
      </c>
      <c r="P16" s="9">
        <v>0</v>
      </c>
      <c r="Q16" s="9">
        <f>VLOOKUP(C16,考勤表!D:I,6,0)</f>
        <v>2</v>
      </c>
      <c r="R16" s="9">
        <f>SUMIF(业绩明细表!$B:$B,$C16,业绩明细表!$E:$E)</f>
        <v>353.89714285714302</v>
      </c>
      <c r="S16" s="9">
        <f>SUMIF(其他补贴表!$B:$B,$C16,其他补贴表!$E:$E)</f>
        <v>205</v>
      </c>
      <c r="T16" s="9">
        <f>SUMIF(业务员专项补贴表!$C:$C,$C16,业务员专项补贴表!$L:$L)</f>
        <v>0</v>
      </c>
      <c r="U16" s="9">
        <f>SUMIF(补发工资表!$B:$B,$C16,补发工资表!$E:$E)</f>
        <v>0</v>
      </c>
      <c r="V16" s="9">
        <f t="shared" si="11"/>
        <v>558.89714285714297</v>
      </c>
      <c r="W16" s="9">
        <f t="shared" si="12"/>
        <v>0</v>
      </c>
      <c r="X16" s="9">
        <v>0</v>
      </c>
      <c r="Y16" s="9">
        <f t="shared" si="13"/>
        <v>0</v>
      </c>
      <c r="Z16" s="9">
        <f>SUMIF(其他扣款表!$B:$B,$C16,其他扣款表!$E:$E)</f>
        <v>0</v>
      </c>
      <c r="AA16" s="9">
        <f t="shared" si="14"/>
        <v>0</v>
      </c>
      <c r="AB16" s="110">
        <f t="shared" si="16"/>
        <v>2008.8971428571399</v>
      </c>
      <c r="AC16" s="110">
        <v>928.17</v>
      </c>
      <c r="AD16" s="113">
        <f t="shared" si="15"/>
        <v>1080.7271428571401</v>
      </c>
      <c r="AE16" s="114"/>
      <c r="AF16" s="111" t="str">
        <f>VLOOKUP(C16,考勤表!D:D,1,0)</f>
        <v>刘国章</v>
      </c>
    </row>
    <row r="17" spans="1:32" ht="28.2" customHeight="1" x14ac:dyDescent="0.25">
      <c r="A17" s="172"/>
      <c r="B17" s="104">
        <v>45173</v>
      </c>
      <c r="C17" s="11" t="s">
        <v>61</v>
      </c>
      <c r="D17" s="9" t="s">
        <v>53</v>
      </c>
      <c r="E17" s="11" t="s">
        <v>62</v>
      </c>
      <c r="F17" s="9">
        <f t="shared" si="9"/>
        <v>7.1232876712328794E-2</v>
      </c>
      <c r="G17" s="9" t="s">
        <v>39</v>
      </c>
      <c r="H17" s="98">
        <v>1400</v>
      </c>
      <c r="I17" s="9">
        <v>0</v>
      </c>
      <c r="J17" s="9"/>
      <c r="K17" s="9">
        <v>30</v>
      </c>
      <c r="L17" s="9">
        <f>VLOOKUP(C17,考勤表!D:L,9,0)</f>
        <v>0</v>
      </c>
      <c r="M17" s="9">
        <f>VLOOKUP(C17,考勤表!D:M,10,0)</f>
        <v>0.45833333333333298</v>
      </c>
      <c r="N17" s="9">
        <v>3</v>
      </c>
      <c r="O17" s="9">
        <f t="shared" si="10"/>
        <v>3.4583333333333299</v>
      </c>
      <c r="P17" s="9">
        <v>0</v>
      </c>
      <c r="Q17" s="9">
        <f>VLOOKUP(C17,考勤表!D:I,6,0)</f>
        <v>33</v>
      </c>
      <c r="R17" s="9">
        <f>SUMIF(业绩明细表!$B:$B,$C17,业绩明细表!$E:$E)</f>
        <v>272.154285714286</v>
      </c>
      <c r="S17" s="9">
        <f>SUMIF(其他补贴表!$B:$B,$C17,其他补贴表!$E:$E)</f>
        <v>11.6666666666667</v>
      </c>
      <c r="T17" s="9">
        <f>SUMIF(业务员专项补贴表!$C:$C,$C17,业务员专项补贴表!$L:$L)</f>
        <v>0</v>
      </c>
      <c r="U17" s="9">
        <f>SUMIF(补发工资表!$B:$B,$C17,补发工资表!$E:$E)</f>
        <v>0</v>
      </c>
      <c r="V17" s="9">
        <f t="shared" si="11"/>
        <v>283.82095238095297</v>
      </c>
      <c r="W17" s="9">
        <f t="shared" si="12"/>
        <v>161.388888888889</v>
      </c>
      <c r="X17" s="9">
        <v>0</v>
      </c>
      <c r="Y17" s="9">
        <f t="shared" si="13"/>
        <v>0</v>
      </c>
      <c r="Z17" s="9">
        <f>SUMIF(其他扣款表!$B:$B,$C17,其他扣款表!$E:$E)</f>
        <v>0</v>
      </c>
      <c r="AA17" s="9">
        <f t="shared" si="14"/>
        <v>161.388888888889</v>
      </c>
      <c r="AB17" s="110">
        <f t="shared" si="16"/>
        <v>1522.43206349206</v>
      </c>
      <c r="AC17" s="110">
        <v>832.37</v>
      </c>
      <c r="AD17" s="113">
        <f t="shared" si="15"/>
        <v>690.062063492064</v>
      </c>
      <c r="AE17" s="114"/>
      <c r="AF17" s="111" t="str">
        <f>VLOOKUP(C17,考勤表!D:D,1,0)</f>
        <v>刘海峰</v>
      </c>
    </row>
    <row r="18" spans="1:32" ht="39" customHeight="1" x14ac:dyDescent="0.25">
      <c r="A18" s="172"/>
      <c r="B18" s="104">
        <v>45194</v>
      </c>
      <c r="C18" s="130" t="s">
        <v>63</v>
      </c>
      <c r="D18" s="9" t="s">
        <v>53</v>
      </c>
      <c r="E18" s="11" t="s">
        <v>62</v>
      </c>
      <c r="F18" s="9">
        <f t="shared" si="9"/>
        <v>1.3698630136986301E-2</v>
      </c>
      <c r="G18" s="9" t="s">
        <v>39</v>
      </c>
      <c r="H18" s="98">
        <v>1214</v>
      </c>
      <c r="I18" s="9">
        <v>0</v>
      </c>
      <c r="J18" s="9"/>
      <c r="K18" s="9">
        <v>30</v>
      </c>
      <c r="L18" s="9">
        <f>VLOOKUP(C18,考勤表!D:L,9,0)</f>
        <v>0</v>
      </c>
      <c r="M18" s="9">
        <f>VLOOKUP(C18,考勤表!D:M,10,0)</f>
        <v>0</v>
      </c>
      <c r="N18" s="9">
        <v>24</v>
      </c>
      <c r="O18" s="9">
        <f t="shared" si="10"/>
        <v>24</v>
      </c>
      <c r="P18" s="9">
        <v>0</v>
      </c>
      <c r="Q18" s="9">
        <f>VLOOKUP(C18,考勤表!D:I,6,0)</f>
        <v>0</v>
      </c>
      <c r="R18" s="9">
        <f>SUMIF(业绩明细表!$B:$B,$C18,业绩明细表!$E:$E)</f>
        <v>0</v>
      </c>
      <c r="S18" s="9">
        <f>SUMIF(其他补贴表!$B:$B,$C18,其他补贴表!$E:$E)</f>
        <v>0</v>
      </c>
      <c r="T18" s="9">
        <f>SUMIF(业务员专项补贴表!$C:$C,$C18,业务员专项补贴表!$L:$L)</f>
        <v>0</v>
      </c>
      <c r="U18" s="9">
        <f>SUMIF(补发工资表!$B:$B,$C18,补发工资表!$E:$E)</f>
        <v>0</v>
      </c>
      <c r="V18" s="9">
        <f t="shared" si="11"/>
        <v>0</v>
      </c>
      <c r="W18" s="9">
        <f t="shared" si="12"/>
        <v>971.2</v>
      </c>
      <c r="X18" s="9">
        <v>0</v>
      </c>
      <c r="Y18" s="9">
        <f t="shared" si="13"/>
        <v>0</v>
      </c>
      <c r="Z18" s="9">
        <f>SUMIF(其他扣款表!$B:$B,$C18,其他扣款表!$E:$E)</f>
        <v>0</v>
      </c>
      <c r="AA18" s="9">
        <f t="shared" si="14"/>
        <v>971.2</v>
      </c>
      <c r="AB18" s="110">
        <v>242.1</v>
      </c>
      <c r="AC18" s="110">
        <v>242.1</v>
      </c>
      <c r="AD18" s="113">
        <f t="shared" si="15"/>
        <v>0</v>
      </c>
      <c r="AE18" s="114" t="s">
        <v>64</v>
      </c>
      <c r="AF18" s="111" t="str">
        <f>VLOOKUP(C18,考勤表!D:D,1,0)</f>
        <v>LOBOA MENDOZA BRAYAN</v>
      </c>
    </row>
    <row r="19" spans="1:32" ht="28.2" customHeight="1" x14ac:dyDescent="0.25">
      <c r="A19" s="172"/>
      <c r="B19" s="104">
        <v>45139</v>
      </c>
      <c r="C19" s="11" t="s">
        <v>65</v>
      </c>
      <c r="D19" s="11" t="s">
        <v>53</v>
      </c>
      <c r="E19" s="11" t="s">
        <v>62</v>
      </c>
      <c r="F19" s="9">
        <f t="shared" si="9"/>
        <v>0.164383561643836</v>
      </c>
      <c r="G19" s="9" t="s">
        <v>39</v>
      </c>
      <c r="H19" s="98">
        <v>1400</v>
      </c>
      <c r="I19" s="9">
        <v>50</v>
      </c>
      <c r="J19" s="9"/>
      <c r="K19" s="9">
        <v>30</v>
      </c>
      <c r="L19" s="9">
        <f>VLOOKUP(C19,考勤表!D:L,9,0)</f>
        <v>0</v>
      </c>
      <c r="M19" s="9">
        <f>VLOOKUP(C19,考勤表!D:M,10,0)</f>
        <v>0</v>
      </c>
      <c r="N19" s="9"/>
      <c r="O19" s="9">
        <f t="shared" si="10"/>
        <v>0</v>
      </c>
      <c r="P19" s="9">
        <v>0</v>
      </c>
      <c r="Q19" s="9">
        <f>VLOOKUP(C19,考勤表!D:I,6,0)</f>
        <v>8</v>
      </c>
      <c r="R19" s="9">
        <f>SUMIF(业绩明细表!$B:$B,$C19,业绩明细表!$E:$E)</f>
        <v>567.54</v>
      </c>
      <c r="S19" s="9">
        <f>SUMIF(其他补贴表!$B:$B,$C19,其他补贴表!$E:$E)</f>
        <v>88.3333333333333</v>
      </c>
      <c r="T19" s="9">
        <f>SUMIF(业务员专项补贴表!$C:$C,$C19,业务员专项补贴表!$L:$L)</f>
        <v>0</v>
      </c>
      <c r="U19" s="9">
        <f>SUMIF(补发工资表!$B:$B,$C19,补发工资表!$E:$E)</f>
        <v>0</v>
      </c>
      <c r="V19" s="9">
        <f t="shared" si="11"/>
        <v>655.87333333333299</v>
      </c>
      <c r="W19" s="9">
        <f t="shared" si="12"/>
        <v>0</v>
      </c>
      <c r="X19" s="9">
        <v>0</v>
      </c>
      <c r="Y19" s="9">
        <f t="shared" si="13"/>
        <v>0</v>
      </c>
      <c r="Z19" s="9">
        <f>SUMIF(其他扣款表!$B:$B,$C19,其他扣款表!$E:$E)</f>
        <v>0</v>
      </c>
      <c r="AA19" s="9">
        <f t="shared" si="14"/>
        <v>0</v>
      </c>
      <c r="AB19" s="110">
        <f t="shared" si="16"/>
        <v>2105.8733333333298</v>
      </c>
      <c r="AC19" s="110">
        <v>924.94</v>
      </c>
      <c r="AD19" s="113">
        <f t="shared" si="15"/>
        <v>1180.93333333333</v>
      </c>
      <c r="AE19" s="114"/>
      <c r="AF19" s="111" t="str">
        <f>VLOOKUP(C19,考勤表!D:D,1,0)</f>
        <v>刘俊</v>
      </c>
    </row>
    <row r="20" spans="1:32" ht="28.2" customHeight="1" x14ac:dyDescent="0.25">
      <c r="A20" s="172"/>
      <c r="B20" s="104">
        <v>45162</v>
      </c>
      <c r="C20" s="11" t="s">
        <v>66</v>
      </c>
      <c r="D20" s="11" t="s">
        <v>67</v>
      </c>
      <c r="E20" s="11" t="s">
        <v>68</v>
      </c>
      <c r="F20" s="9">
        <f t="shared" si="9"/>
        <v>0.101369863013699</v>
      </c>
      <c r="G20" s="9" t="s">
        <v>39</v>
      </c>
      <c r="H20" s="98">
        <v>1400</v>
      </c>
      <c r="I20" s="9">
        <v>50</v>
      </c>
      <c r="J20" s="9"/>
      <c r="K20" s="9">
        <v>30</v>
      </c>
      <c r="L20" s="9">
        <f>VLOOKUP(C20,考勤表!D:L,9,0)</f>
        <v>0</v>
      </c>
      <c r="M20" s="9">
        <f>VLOOKUP(C20,考勤表!D:M,10,0)</f>
        <v>0</v>
      </c>
      <c r="N20" s="9"/>
      <c r="O20" s="9">
        <f t="shared" si="10"/>
        <v>0</v>
      </c>
      <c r="P20" s="9">
        <v>0</v>
      </c>
      <c r="Q20" s="9">
        <f>VLOOKUP(C20,考勤表!D:I,6,0)</f>
        <v>0</v>
      </c>
      <c r="R20" s="9">
        <f>SUMIF(业绩明细表!$B:$B,$C20,业绩明细表!$E:$E)</f>
        <v>0</v>
      </c>
      <c r="S20" s="9">
        <f>SUMIF(其他补贴表!$B:$B,$C20,其他补贴表!$E:$E)</f>
        <v>105</v>
      </c>
      <c r="T20" s="9">
        <f>SUMIF(业务员专项补贴表!$C:$C,$C20,业务员专项补贴表!$L:$L)</f>
        <v>0</v>
      </c>
      <c r="U20" s="9">
        <f>SUMIF(补发工资表!$B:$B,$C20,补发工资表!$E:$E)</f>
        <v>0</v>
      </c>
      <c r="V20" s="9">
        <f t="shared" si="11"/>
        <v>105</v>
      </c>
      <c r="W20" s="9">
        <f t="shared" si="12"/>
        <v>0</v>
      </c>
      <c r="X20" s="9">
        <v>0</v>
      </c>
      <c r="Y20" s="9">
        <f t="shared" si="13"/>
        <v>0</v>
      </c>
      <c r="Z20" s="9">
        <f>SUMIF(其他扣款表!$B:$B,$C20,其他扣款表!$E:$E)</f>
        <v>0</v>
      </c>
      <c r="AA20" s="9">
        <f t="shared" si="14"/>
        <v>0</v>
      </c>
      <c r="AB20" s="110">
        <f t="shared" si="16"/>
        <v>1555</v>
      </c>
      <c r="AC20" s="110">
        <v>1210.43</v>
      </c>
      <c r="AD20" s="113">
        <f t="shared" si="15"/>
        <v>344.57</v>
      </c>
      <c r="AE20" s="114"/>
      <c r="AF20" s="111" t="str">
        <f>VLOOKUP(C20,考勤表!D:D,1,0)</f>
        <v>高李杨</v>
      </c>
    </row>
    <row r="21" spans="1:32" ht="28.2" customHeight="1" x14ac:dyDescent="0.25">
      <c r="A21" s="159" t="s">
        <v>69</v>
      </c>
      <c r="B21" s="160"/>
      <c r="C21" s="160"/>
      <c r="D21" s="160"/>
      <c r="E21" s="160"/>
      <c r="F21" s="160"/>
      <c r="G21" s="161"/>
      <c r="H21" s="131">
        <f>SUM(H13:H20)</f>
        <v>11414</v>
      </c>
      <c r="I21" s="131">
        <f t="shared" ref="I21:AD21" si="17">SUM(I13:I20)</f>
        <v>200</v>
      </c>
      <c r="J21" s="131">
        <f t="shared" si="17"/>
        <v>0</v>
      </c>
      <c r="K21" s="131">
        <f t="shared" si="17"/>
        <v>240</v>
      </c>
      <c r="L21" s="131">
        <f t="shared" si="17"/>
        <v>0</v>
      </c>
      <c r="M21" s="131">
        <f t="shared" si="17"/>
        <v>18.4583333333333</v>
      </c>
      <c r="N21" s="131">
        <f t="shared" si="17"/>
        <v>40</v>
      </c>
      <c r="O21" s="131">
        <f t="shared" si="17"/>
        <v>58.4583333333333</v>
      </c>
      <c r="P21" s="131">
        <f t="shared" si="17"/>
        <v>0</v>
      </c>
      <c r="Q21" s="131">
        <f t="shared" si="17"/>
        <v>105</v>
      </c>
      <c r="R21" s="131">
        <f t="shared" si="17"/>
        <v>1938.15991836735</v>
      </c>
      <c r="S21" s="131">
        <f t="shared" si="17"/>
        <v>680.83333333333303</v>
      </c>
      <c r="T21" s="131">
        <f t="shared" si="17"/>
        <v>0</v>
      </c>
      <c r="U21" s="131">
        <f t="shared" si="17"/>
        <v>0</v>
      </c>
      <c r="V21" s="131">
        <f t="shared" si="17"/>
        <v>2618.99325170068</v>
      </c>
      <c r="W21" s="131">
        <f t="shared" si="17"/>
        <v>2802.5888888888899</v>
      </c>
      <c r="X21" s="131">
        <f t="shared" si="17"/>
        <v>0</v>
      </c>
      <c r="Y21" s="131">
        <f t="shared" si="17"/>
        <v>0</v>
      </c>
      <c r="Z21" s="131">
        <f t="shared" si="17"/>
        <v>313.12799999999999</v>
      </c>
      <c r="AA21" s="131">
        <f t="shared" si="17"/>
        <v>3115.71688888889</v>
      </c>
      <c r="AB21" s="131">
        <f t="shared" si="17"/>
        <v>11116.5763628118</v>
      </c>
      <c r="AC21" s="131">
        <f t="shared" si="17"/>
        <v>6821.81</v>
      </c>
      <c r="AD21" s="131">
        <f t="shared" si="17"/>
        <v>4294.7663628117898</v>
      </c>
      <c r="AE21" s="114"/>
      <c r="AF21" s="111" t="e">
        <f>VLOOKUP(C21,考勤表!D:D,1,0)</f>
        <v>#N/A</v>
      </c>
    </row>
    <row r="22" spans="1:32" ht="28.2" customHeight="1" x14ac:dyDescent="0.25">
      <c r="A22" s="173" t="s">
        <v>70</v>
      </c>
      <c r="B22" s="103">
        <v>44866</v>
      </c>
      <c r="C22" s="13" t="s">
        <v>71</v>
      </c>
      <c r="D22" s="9" t="s">
        <v>72</v>
      </c>
      <c r="E22" s="9" t="s">
        <v>73</v>
      </c>
      <c r="F22" s="9">
        <f>(DATE(YEAR($H$2),MONTH($H$2)+1,0)-B22)/365</f>
        <v>0.91232876712328803</v>
      </c>
      <c r="G22" s="9" t="s">
        <v>39</v>
      </c>
      <c r="H22" s="98">
        <v>1600</v>
      </c>
      <c r="I22" s="9">
        <v>0</v>
      </c>
      <c r="J22" s="9"/>
      <c r="K22" s="9">
        <v>30</v>
      </c>
      <c r="L22" s="9">
        <f>VLOOKUP(C22,考勤表!D:L,9,0)</f>
        <v>0</v>
      </c>
      <c r="M22" s="9">
        <f>VLOOKUP(C22,考勤表!D:M,10,0)</f>
        <v>0</v>
      </c>
      <c r="N22" s="9"/>
      <c r="O22" s="9">
        <f>SUM(L22:N22)</f>
        <v>0</v>
      </c>
      <c r="P22" s="9">
        <v>0</v>
      </c>
      <c r="Q22" s="9">
        <f>VLOOKUP(C22,考勤表!D:I,6,0)</f>
        <v>0</v>
      </c>
      <c r="R22" s="9">
        <f>SUMIF(业绩明细表!$B:$B,$C22,业绩明细表!$E:$E)</f>
        <v>0</v>
      </c>
      <c r="S22" s="9">
        <f>SUMIF(其他补贴表!$B:$B,$C22,其他补贴表!$E:$E)</f>
        <v>0</v>
      </c>
      <c r="T22" s="9">
        <f>SUMIF(业务员专项补贴表!$C:$C,$C22,业务员专项补贴表!$L:$L)</f>
        <v>0</v>
      </c>
      <c r="U22" s="9">
        <f>SUMIF(补发工资表!$B:$B,$C22,补发工资表!$E:$E)</f>
        <v>0</v>
      </c>
      <c r="V22" s="9">
        <f>SUM(R22:U22)</f>
        <v>0</v>
      </c>
      <c r="W22" s="9">
        <f>H22/K22*O22</f>
        <v>0</v>
      </c>
      <c r="X22" s="9">
        <v>0</v>
      </c>
      <c r="Y22" s="9">
        <f>IF(Q22&gt;60,(Q22-60)*0.5,0)</f>
        <v>0</v>
      </c>
      <c r="Z22" s="9">
        <f>SUMIF(其他扣款表!$B:$B,$C22,其他扣款表!$E:$E)</f>
        <v>0</v>
      </c>
      <c r="AA22" s="9">
        <f>SUM(W22:Z22)</f>
        <v>0</v>
      </c>
      <c r="AB22" s="110">
        <f>H22+I22+V22-AA22</f>
        <v>1600</v>
      </c>
      <c r="AC22" s="117">
        <v>1211.0999999999999</v>
      </c>
      <c r="AD22" s="113">
        <f>AB22-AC22</f>
        <v>388.9</v>
      </c>
      <c r="AE22" s="114"/>
      <c r="AF22" s="111" t="str">
        <f>VLOOKUP(C22,考勤表!D:D,1,0)</f>
        <v>梅佳策</v>
      </c>
    </row>
    <row r="23" spans="1:32" ht="28.2" customHeight="1" x14ac:dyDescent="0.25">
      <c r="A23" s="173"/>
      <c r="B23" s="132">
        <v>45159</v>
      </c>
      <c r="C23" s="13" t="s">
        <v>74</v>
      </c>
      <c r="D23" s="13" t="s">
        <v>72</v>
      </c>
      <c r="E23" s="13" t="s">
        <v>73</v>
      </c>
      <c r="F23" s="9">
        <f>(DATE(YEAR($H$2),MONTH($H$2)+1,0)-B23)/365</f>
        <v>0.10958904109589</v>
      </c>
      <c r="G23" s="9" t="s">
        <v>39</v>
      </c>
      <c r="H23" s="98">
        <v>1400</v>
      </c>
      <c r="I23" s="9">
        <v>0</v>
      </c>
      <c r="J23" s="9"/>
      <c r="K23" s="9">
        <v>30</v>
      </c>
      <c r="L23" s="9">
        <f>VLOOKUP(C23,考勤表!D:L,9,0)</f>
        <v>0</v>
      </c>
      <c r="M23" s="9">
        <f>VLOOKUP(C23,考勤表!D:M,10,0)</f>
        <v>0</v>
      </c>
      <c r="N23" s="9"/>
      <c r="O23" s="9">
        <f>SUM(L23:N23)</f>
        <v>0</v>
      </c>
      <c r="P23" s="9">
        <v>0</v>
      </c>
      <c r="Q23" s="9">
        <f>VLOOKUP(C23,考勤表!D:I,6,0)</f>
        <v>0</v>
      </c>
      <c r="R23" s="9">
        <f>SUMIF(业绩明细表!$B:$B,$C23,业绩明细表!$E:$E)</f>
        <v>0</v>
      </c>
      <c r="S23" s="9">
        <f>SUMIF(其他补贴表!$B:$B,$C23,其他补贴表!$E:$E)</f>
        <v>0</v>
      </c>
      <c r="T23" s="9">
        <f>SUMIF(业务员专项补贴表!$C:$C,$C23,业务员专项补贴表!$L:$L)</f>
        <v>0</v>
      </c>
      <c r="U23" s="9">
        <f>SUMIF(补发工资表!$B:$B,$C23,补发工资表!$E:$E)</f>
        <v>0</v>
      </c>
      <c r="V23" s="9">
        <f>SUM(R23:U23)</f>
        <v>0</v>
      </c>
      <c r="W23" s="9">
        <f>H23/K23*O23</f>
        <v>0</v>
      </c>
      <c r="X23" s="9">
        <v>0</v>
      </c>
      <c r="Y23" s="9">
        <f>IF(Q23&gt;60,(Q23-60)*0.5,0)</f>
        <v>0</v>
      </c>
      <c r="Z23" s="9">
        <f>SUMIF(其他扣款表!$B:$B,$C23,其他扣款表!$E:$E)</f>
        <v>0</v>
      </c>
      <c r="AA23" s="9">
        <f>SUM(W23:Z23)</f>
        <v>0</v>
      </c>
      <c r="AB23" s="110">
        <f>H23+I23+V23-AA23</f>
        <v>1400</v>
      </c>
      <c r="AC23" s="117">
        <v>1210.43</v>
      </c>
      <c r="AD23" s="113">
        <f>AB23-AC23</f>
        <v>189.57</v>
      </c>
      <c r="AE23" s="114"/>
      <c r="AF23" s="111" t="str">
        <f>VLOOKUP(C23,考勤表!D:D,1,0)</f>
        <v>董大蔚</v>
      </c>
    </row>
    <row r="24" spans="1:32" ht="28.2" customHeight="1" x14ac:dyDescent="0.25">
      <c r="A24" s="159" t="s">
        <v>75</v>
      </c>
      <c r="B24" s="160"/>
      <c r="C24" s="160"/>
      <c r="D24" s="160"/>
      <c r="E24" s="160"/>
      <c r="F24" s="160"/>
      <c r="G24" s="161"/>
      <c r="H24" s="131">
        <f>SUM(H22:H23)</f>
        <v>3000</v>
      </c>
      <c r="I24" s="131">
        <f t="shared" ref="I24:AD24" si="18">SUM(I22:I23)</f>
        <v>0</v>
      </c>
      <c r="J24" s="131">
        <f t="shared" si="18"/>
        <v>0</v>
      </c>
      <c r="K24" s="131">
        <f t="shared" si="18"/>
        <v>60</v>
      </c>
      <c r="L24" s="131">
        <f t="shared" si="18"/>
        <v>0</v>
      </c>
      <c r="M24" s="131">
        <f t="shared" si="18"/>
        <v>0</v>
      </c>
      <c r="N24" s="131">
        <f t="shared" si="18"/>
        <v>0</v>
      </c>
      <c r="O24" s="131">
        <f t="shared" si="18"/>
        <v>0</v>
      </c>
      <c r="P24" s="131">
        <f t="shared" si="18"/>
        <v>0</v>
      </c>
      <c r="Q24" s="131">
        <f t="shared" si="18"/>
        <v>0</v>
      </c>
      <c r="R24" s="131">
        <f t="shared" si="18"/>
        <v>0</v>
      </c>
      <c r="S24" s="131">
        <f t="shared" si="18"/>
        <v>0</v>
      </c>
      <c r="T24" s="131">
        <f t="shared" si="18"/>
        <v>0</v>
      </c>
      <c r="U24" s="131">
        <f t="shared" si="18"/>
        <v>0</v>
      </c>
      <c r="V24" s="131">
        <f t="shared" si="18"/>
        <v>0</v>
      </c>
      <c r="W24" s="131">
        <f t="shared" si="18"/>
        <v>0</v>
      </c>
      <c r="X24" s="131">
        <f t="shared" si="18"/>
        <v>0</v>
      </c>
      <c r="Y24" s="131">
        <f t="shared" si="18"/>
        <v>0</v>
      </c>
      <c r="Z24" s="131">
        <f t="shared" si="18"/>
        <v>0</v>
      </c>
      <c r="AA24" s="131">
        <f t="shared" si="18"/>
        <v>0</v>
      </c>
      <c r="AB24" s="131">
        <f t="shared" si="18"/>
        <v>3000</v>
      </c>
      <c r="AC24" s="131">
        <f t="shared" si="18"/>
        <v>2421.5300000000002</v>
      </c>
      <c r="AD24" s="131">
        <f t="shared" si="18"/>
        <v>578.47</v>
      </c>
      <c r="AE24" s="114"/>
      <c r="AF24" s="111" t="e">
        <f>VLOOKUP(C24,考勤表!D:D,1,0)</f>
        <v>#N/A</v>
      </c>
    </row>
    <row r="25" spans="1:32" ht="28.2" customHeight="1" x14ac:dyDescent="0.25">
      <c r="A25" s="174" t="s">
        <v>76</v>
      </c>
      <c r="B25" s="133">
        <v>44470</v>
      </c>
      <c r="C25" s="134" t="s">
        <v>77</v>
      </c>
      <c r="D25" s="135" t="s">
        <v>78</v>
      </c>
      <c r="E25" s="135" t="s">
        <v>79</v>
      </c>
      <c r="F25" s="135">
        <f>(DATE(YEAR($H$2),MONTH($H$2)+1,0)-B25)/365</f>
        <v>1.9972602739726</v>
      </c>
      <c r="G25" s="135" t="s">
        <v>39</v>
      </c>
      <c r="H25" s="98">
        <v>2500</v>
      </c>
      <c r="I25" s="98">
        <v>0</v>
      </c>
      <c r="J25" s="9"/>
      <c r="K25" s="9">
        <v>30</v>
      </c>
      <c r="L25" s="9">
        <f>VLOOKUP(C25,考勤表!D:L,9,0)</f>
        <v>0</v>
      </c>
      <c r="M25" s="9">
        <f>VLOOKUP(C25,考勤表!D:M,10,0)</f>
        <v>2.125</v>
      </c>
      <c r="N25" s="9"/>
      <c r="O25" s="9">
        <f>SUM(L25:N25)</f>
        <v>2.125</v>
      </c>
      <c r="P25" s="9">
        <v>0</v>
      </c>
      <c r="Q25" s="9">
        <f>VLOOKUP(C25,考勤表!D:I,6,0)</f>
        <v>0</v>
      </c>
      <c r="R25" s="9">
        <f>SUMIF(业绩明细表!$B:$B,$C25,业绩明细表!$E:$E)</f>
        <v>0</v>
      </c>
      <c r="S25" s="9">
        <f>SUMIF(其他补贴表!$B:$B,$C25,其他补贴表!$E:$E)</f>
        <v>0</v>
      </c>
      <c r="T25" s="9">
        <f>SUMIF(业务员专项补贴表!$C:$C,$C25,业务员专项补贴表!$L:$L)</f>
        <v>0</v>
      </c>
      <c r="U25" s="9">
        <f>SUMIF(补发工资表!$B:$B,$C25,补发工资表!$E:$E)</f>
        <v>0</v>
      </c>
      <c r="V25" s="9">
        <f>SUM(R25:U25)</f>
        <v>0</v>
      </c>
      <c r="W25" s="9">
        <f>H25/K25*O25</f>
        <v>177.083333333333</v>
      </c>
      <c r="X25" s="9">
        <v>0</v>
      </c>
      <c r="Y25" s="9">
        <f>IF(Q25&gt;60,(Q25-60)*0.5,0)</f>
        <v>0</v>
      </c>
      <c r="Z25" s="9">
        <f>SUMIF(其他扣款表!$B:$B,$C25,其他扣款表!$E:$E)</f>
        <v>0</v>
      </c>
      <c r="AA25" s="9">
        <f>SUM(W25:Z25)</f>
        <v>177.083333333333</v>
      </c>
      <c r="AB25" s="110">
        <f>H25+I25+V25-AA25</f>
        <v>2322.9166666666702</v>
      </c>
      <c r="AC25" s="117">
        <v>1160.44</v>
      </c>
      <c r="AD25" s="113">
        <f>AB25-AC25</f>
        <v>1162.4766666666701</v>
      </c>
      <c r="AE25" s="118"/>
      <c r="AF25" s="111" t="str">
        <f>VLOOKUP(C25,考勤表!D:D,1,0)</f>
        <v>黄子航</v>
      </c>
    </row>
    <row r="26" spans="1:32" ht="28.2" customHeight="1" x14ac:dyDescent="0.25">
      <c r="A26" s="174"/>
      <c r="B26" s="103">
        <v>44697</v>
      </c>
      <c r="C26" s="13" t="s">
        <v>80</v>
      </c>
      <c r="D26" s="9" t="s">
        <v>78</v>
      </c>
      <c r="E26" s="9" t="s">
        <v>81</v>
      </c>
      <c r="F26" s="9">
        <f>(DATE(YEAR($H$2),MONTH($H$2)+1,0)-B26)/365</f>
        <v>1.3753424657534199</v>
      </c>
      <c r="G26" s="9" t="s">
        <v>39</v>
      </c>
      <c r="H26" s="98">
        <v>1700</v>
      </c>
      <c r="I26" s="98">
        <v>0</v>
      </c>
      <c r="J26" s="9"/>
      <c r="K26" s="9">
        <v>30</v>
      </c>
      <c r="L26" s="9">
        <f>VLOOKUP(C26,考勤表!D:L,9,0)</f>
        <v>0</v>
      </c>
      <c r="M26" s="9">
        <f>VLOOKUP(C26,考勤表!D:M,10,0)</f>
        <v>0</v>
      </c>
      <c r="N26" s="9"/>
      <c r="O26" s="9">
        <f>SUM(L26:N26)</f>
        <v>0</v>
      </c>
      <c r="P26" s="9">
        <v>0</v>
      </c>
      <c r="Q26" s="9">
        <f>VLOOKUP(C26,考勤表!D:I,6,0)</f>
        <v>31</v>
      </c>
      <c r="R26" s="9">
        <f>SUMIF(业绩明细表!$B:$B,$C26,业绩明细表!$E:$E)</f>
        <v>0</v>
      </c>
      <c r="S26" s="9">
        <f>SUMIF(其他补贴表!$B:$B,$C26,其他补贴表!$E:$E)</f>
        <v>0</v>
      </c>
      <c r="T26" s="9">
        <f>SUMIF(业务员专项补贴表!$C:$C,$C26,业务员专项补贴表!$L:$L)</f>
        <v>0</v>
      </c>
      <c r="U26" s="9">
        <f>SUMIF(补发工资表!$B:$B,$C26,补发工资表!$E:$E)</f>
        <v>0</v>
      </c>
      <c r="V26" s="9">
        <f>SUM(R26:U26)</f>
        <v>0</v>
      </c>
      <c r="W26" s="9">
        <f>H26/K26*O26</f>
        <v>0</v>
      </c>
      <c r="X26" s="9">
        <v>0</v>
      </c>
      <c r="Y26" s="9">
        <f>IF(Q26&gt;60,(Q26-60)*0.5,0)</f>
        <v>0</v>
      </c>
      <c r="Z26" s="9">
        <f>SUMIF(其他扣款表!$B:$B,$C26,其他扣款表!$E:$E)</f>
        <v>322.23</v>
      </c>
      <c r="AA26" s="9">
        <f>SUM(W26:Z26)</f>
        <v>322.23</v>
      </c>
      <c r="AB26" s="110">
        <f>H26+I26+V26-AA26</f>
        <v>1377.77</v>
      </c>
      <c r="AC26" s="117">
        <v>1237.56</v>
      </c>
      <c r="AD26" s="113">
        <f>AB26-AC26</f>
        <v>140.21</v>
      </c>
      <c r="AE26" s="145"/>
      <c r="AF26" s="111" t="str">
        <f>VLOOKUP(C26,考勤表!D:D,1,0)</f>
        <v>陆夏小华</v>
      </c>
    </row>
    <row r="27" spans="1:32" ht="28.2" customHeight="1" x14ac:dyDescent="0.25">
      <c r="A27" s="174"/>
      <c r="B27" s="103">
        <v>44749</v>
      </c>
      <c r="C27" s="13" t="s">
        <v>82</v>
      </c>
      <c r="D27" s="9" t="s">
        <v>78</v>
      </c>
      <c r="E27" s="9" t="s">
        <v>81</v>
      </c>
      <c r="F27" s="9">
        <f>(DATE(YEAR($H$2),MONTH($H$2)+1,0)-B27)/365</f>
        <v>1.2328767123287701</v>
      </c>
      <c r="G27" s="9" t="s">
        <v>39</v>
      </c>
      <c r="H27" s="98">
        <v>1600</v>
      </c>
      <c r="I27" s="98">
        <v>0</v>
      </c>
      <c r="J27" s="9"/>
      <c r="K27" s="9">
        <v>30</v>
      </c>
      <c r="L27" s="9">
        <f>VLOOKUP(C27,考勤表!D:L,9,0)</f>
        <v>0</v>
      </c>
      <c r="M27" s="9">
        <f>VLOOKUP(C27,考勤表!D:M,10,0)</f>
        <v>0</v>
      </c>
      <c r="N27" s="9"/>
      <c r="O27" s="9">
        <f>SUM(L27:N27)</f>
        <v>0</v>
      </c>
      <c r="P27" s="9">
        <v>0</v>
      </c>
      <c r="Q27" s="9">
        <f>VLOOKUP(C27,考勤表!D:I,6,0)</f>
        <v>49</v>
      </c>
      <c r="R27" s="9">
        <f>SUMIF(业绩明细表!$B:$B,$C27,业绩明细表!$E:$E)</f>
        <v>0</v>
      </c>
      <c r="S27" s="9">
        <f>SUMIF(其他补贴表!$B:$B,$C27,其他补贴表!$E:$E)</f>
        <v>0</v>
      </c>
      <c r="T27" s="9">
        <f>SUMIF(业务员专项补贴表!$C:$C,$C27,业务员专项补贴表!$L:$L)</f>
        <v>0</v>
      </c>
      <c r="U27" s="9">
        <f>SUMIF(补发工资表!$B:$B,$C27,补发工资表!$E:$E)</f>
        <v>0</v>
      </c>
      <c r="V27" s="9">
        <f>SUM(R27:U27)</f>
        <v>0</v>
      </c>
      <c r="W27" s="9">
        <f>H27/K27*O27</f>
        <v>0</v>
      </c>
      <c r="X27" s="9">
        <v>0</v>
      </c>
      <c r="Y27" s="9">
        <f>IF(Q27&gt;60,(Q27-60)*0.5,0)</f>
        <v>0</v>
      </c>
      <c r="Z27" s="9">
        <f>SUMIF(其他扣款表!$B:$B,$C27,其他扣款表!$E:$E)</f>
        <v>79.58</v>
      </c>
      <c r="AA27" s="9">
        <f>SUM(W27:Z27)</f>
        <v>79.58</v>
      </c>
      <c r="AB27" s="110">
        <f>H27+I27+V27-AA27</f>
        <v>1520.42</v>
      </c>
      <c r="AC27" s="117">
        <v>1237.56</v>
      </c>
      <c r="AD27" s="113">
        <f>AB27-AC27</f>
        <v>282.86</v>
      </c>
      <c r="AE27" s="145"/>
      <c r="AF27" s="111" t="str">
        <f>VLOOKUP(C27,考勤表!D:D,1,0)</f>
        <v>盛杰</v>
      </c>
    </row>
    <row r="28" spans="1:32" ht="28.2" customHeight="1" x14ac:dyDescent="0.25">
      <c r="A28" s="174"/>
      <c r="B28" s="103">
        <v>45040</v>
      </c>
      <c r="C28" s="136" t="s">
        <v>83</v>
      </c>
      <c r="D28" s="9" t="s">
        <v>78</v>
      </c>
      <c r="E28" s="9" t="s">
        <v>81</v>
      </c>
      <c r="F28" s="9">
        <f>(DATE(YEAR($H$2),MONTH($H$2)+1,0)-B28)/365</f>
        <v>0.43561643835616398</v>
      </c>
      <c r="G28" s="9" t="s">
        <v>39</v>
      </c>
      <c r="H28" s="98">
        <v>1500</v>
      </c>
      <c r="I28" s="98">
        <v>0</v>
      </c>
      <c r="J28" s="9"/>
      <c r="K28" s="9">
        <v>30</v>
      </c>
      <c r="L28" s="9">
        <v>0</v>
      </c>
      <c r="M28" s="9">
        <f>VLOOKUP(C28,考勤表!D:M,10,0)</f>
        <v>1.6875</v>
      </c>
      <c r="N28" s="9"/>
      <c r="O28" s="9">
        <f>SUM(L28:N28)</f>
        <v>1.6875</v>
      </c>
      <c r="P28" s="9">
        <v>0</v>
      </c>
      <c r="Q28" s="9">
        <f>VLOOKUP(C28,考勤表!D:I,6,0)</f>
        <v>28</v>
      </c>
      <c r="R28" s="9">
        <v>0</v>
      </c>
      <c r="S28" s="9">
        <v>0</v>
      </c>
      <c r="T28" s="9">
        <v>0</v>
      </c>
      <c r="U28" s="9">
        <v>0</v>
      </c>
      <c r="V28" s="9">
        <f>SUM(R28:U28)</f>
        <v>0</v>
      </c>
      <c r="W28" s="9">
        <f>H28/K28*O28</f>
        <v>84.375</v>
      </c>
      <c r="X28" s="9">
        <v>0</v>
      </c>
      <c r="Y28" s="9">
        <f>IF(Q28&gt;60,(Q28-60)*0.5,0)</f>
        <v>0</v>
      </c>
      <c r="Z28" s="9">
        <f>SUMIF(其他扣款表!$B:$B,$C28,其他扣款表!$E:$E)</f>
        <v>127.88</v>
      </c>
      <c r="AA28" s="9">
        <f>SUM(W28:Z28)</f>
        <v>212.255</v>
      </c>
      <c r="AB28" s="110">
        <f>H28+I28+V28-AA28</f>
        <v>1287.7449999999999</v>
      </c>
      <c r="AC28" s="117">
        <v>1237.56</v>
      </c>
      <c r="AD28" s="113">
        <f>AB28-AC28</f>
        <v>50.184999999999903</v>
      </c>
      <c r="AE28" s="146"/>
      <c r="AF28" s="111" t="str">
        <f>VLOOKUP(C28,考勤表!D:D,1,0)</f>
        <v>孙岩成</v>
      </c>
    </row>
    <row r="29" spans="1:32" ht="28.2" customHeight="1" x14ac:dyDescent="0.25">
      <c r="A29" s="174"/>
      <c r="B29" s="103">
        <v>43607</v>
      </c>
      <c r="C29" s="13" t="s">
        <v>84</v>
      </c>
      <c r="D29" s="9" t="s">
        <v>85</v>
      </c>
      <c r="E29" s="9" t="s">
        <v>86</v>
      </c>
      <c r="F29" s="9">
        <f>(DATE(YEAR($H$2),MONTH($H$2)+1,0)-B29)/365</f>
        <v>4.36164383561644</v>
      </c>
      <c r="G29" s="9" t="s">
        <v>39</v>
      </c>
      <c r="H29" s="98">
        <v>2500</v>
      </c>
      <c r="I29" s="98">
        <v>0</v>
      </c>
      <c r="J29" s="9"/>
      <c r="K29" s="9">
        <v>30</v>
      </c>
      <c r="L29" s="9">
        <f>VLOOKUP(C29,考勤表!D:L,9,0)</f>
        <v>0</v>
      </c>
      <c r="M29" s="9">
        <f>VLOOKUP(C29,考勤表!D:M,10,0)</f>
        <v>0.3125</v>
      </c>
      <c r="N29" s="9"/>
      <c r="O29" s="9">
        <f>SUM(L29:N29)</f>
        <v>0.3125</v>
      </c>
      <c r="P29" s="9">
        <v>0</v>
      </c>
      <c r="Q29" s="9">
        <f>VLOOKUP(C29,考勤表!D:I,6,0)</f>
        <v>43</v>
      </c>
      <c r="R29" s="9">
        <f>SUMIF(业绩明细表!$B:$B,$C29,业绩明细表!$E:$E)</f>
        <v>0</v>
      </c>
      <c r="S29" s="9">
        <f>SUMIF(其他补贴表!$B:$B,$C29,其他补贴表!$E:$E)</f>
        <v>0</v>
      </c>
      <c r="T29" s="9">
        <f>SUMIF(业务员专项补贴表!$C:$C,$C29,业务员专项补贴表!$L:$L)</f>
        <v>0</v>
      </c>
      <c r="U29" s="9">
        <f>SUMIF(补发工资表!$B:$B,$C29,补发工资表!$E:$E)</f>
        <v>0</v>
      </c>
      <c r="V29" s="9">
        <f>SUM(R29:U29)</f>
        <v>0</v>
      </c>
      <c r="W29" s="9">
        <f>H29/K29*O29</f>
        <v>26.0416666666667</v>
      </c>
      <c r="X29" s="9">
        <v>0</v>
      </c>
      <c r="Y29" s="9">
        <f>IF(Q29&gt;60,(Q29-60)*0.5,0)</f>
        <v>0</v>
      </c>
      <c r="Z29" s="9">
        <f>SUMIF(其他扣款表!$B:$B,$C29,其他扣款表!$E:$E)</f>
        <v>0</v>
      </c>
      <c r="AA29" s="9">
        <f>SUM(W29:Z29)</f>
        <v>26.0416666666667</v>
      </c>
      <c r="AB29" s="110">
        <f>H29+I29+V29-AA29</f>
        <v>2473.9583333333298</v>
      </c>
      <c r="AC29" s="117">
        <v>1237.56</v>
      </c>
      <c r="AD29" s="113">
        <f>AB29-AC29</f>
        <v>1236.3983333333299</v>
      </c>
      <c r="AE29" s="147"/>
      <c r="AF29" s="111" t="str">
        <f>VLOOKUP(C29,考勤表!D:D,1,0)</f>
        <v>林凯</v>
      </c>
    </row>
    <row r="30" spans="1:32" ht="28.2" customHeight="1" x14ac:dyDescent="0.25">
      <c r="A30" s="162" t="s">
        <v>87</v>
      </c>
      <c r="B30" s="163"/>
      <c r="C30" s="163"/>
      <c r="D30" s="163"/>
      <c r="E30" s="163"/>
      <c r="F30" s="163"/>
      <c r="G30" s="164"/>
      <c r="H30" s="137">
        <f>SUM(H25:H29)</f>
        <v>9800</v>
      </c>
      <c r="I30" s="137">
        <f t="shared" ref="I30:AD30" si="19">SUM(I25:I29)</f>
        <v>0</v>
      </c>
      <c r="J30" s="137">
        <f t="shared" si="19"/>
        <v>0</v>
      </c>
      <c r="K30" s="137">
        <f t="shared" si="19"/>
        <v>150</v>
      </c>
      <c r="L30" s="137">
        <f t="shared" si="19"/>
        <v>0</v>
      </c>
      <c r="M30" s="137">
        <f t="shared" si="19"/>
        <v>4.125</v>
      </c>
      <c r="N30" s="137">
        <f t="shared" si="19"/>
        <v>0</v>
      </c>
      <c r="O30" s="137">
        <f t="shared" si="19"/>
        <v>4.125</v>
      </c>
      <c r="P30" s="137">
        <f t="shared" si="19"/>
        <v>0</v>
      </c>
      <c r="Q30" s="137">
        <f t="shared" si="19"/>
        <v>151</v>
      </c>
      <c r="R30" s="137">
        <f t="shared" si="19"/>
        <v>0</v>
      </c>
      <c r="S30" s="137">
        <f t="shared" si="19"/>
        <v>0</v>
      </c>
      <c r="T30" s="137">
        <f t="shared" si="19"/>
        <v>0</v>
      </c>
      <c r="U30" s="137">
        <f t="shared" si="19"/>
        <v>0</v>
      </c>
      <c r="V30" s="137">
        <f t="shared" si="19"/>
        <v>0</v>
      </c>
      <c r="W30" s="137">
        <f t="shared" si="19"/>
        <v>287.5</v>
      </c>
      <c r="X30" s="137">
        <f t="shared" si="19"/>
        <v>0</v>
      </c>
      <c r="Y30" s="137">
        <f t="shared" si="19"/>
        <v>0</v>
      </c>
      <c r="Z30" s="137">
        <f t="shared" si="19"/>
        <v>529.69000000000005</v>
      </c>
      <c r="AA30" s="137">
        <f t="shared" si="19"/>
        <v>817.19</v>
      </c>
      <c r="AB30" s="137">
        <f t="shared" si="19"/>
        <v>8982.81</v>
      </c>
      <c r="AC30" s="137">
        <f t="shared" si="19"/>
        <v>6110.68</v>
      </c>
      <c r="AD30" s="137">
        <f t="shared" si="19"/>
        <v>2872.13</v>
      </c>
      <c r="AE30" s="148"/>
      <c r="AF30" s="111" t="e">
        <f>VLOOKUP(C30,考勤表!D:D,1,0)</f>
        <v>#N/A</v>
      </c>
    </row>
    <row r="31" spans="1:32" ht="27" customHeight="1" x14ac:dyDescent="0.25">
      <c r="A31" s="174" t="s">
        <v>88</v>
      </c>
      <c r="B31" s="103">
        <v>44803</v>
      </c>
      <c r="C31" s="13" t="s">
        <v>89</v>
      </c>
      <c r="D31" s="9" t="s">
        <v>85</v>
      </c>
      <c r="E31" s="9" t="s">
        <v>90</v>
      </c>
      <c r="F31" s="9">
        <f>(DATE(YEAR($H$2),MONTH($H$2)+1,0)-B31)/365</f>
        <v>1.0849315068493199</v>
      </c>
      <c r="G31" s="9" t="s">
        <v>39</v>
      </c>
      <c r="H31" s="98">
        <v>1450</v>
      </c>
      <c r="I31" s="98">
        <v>0</v>
      </c>
      <c r="J31" s="9">
        <v>26</v>
      </c>
      <c r="K31" s="9">
        <v>26</v>
      </c>
      <c r="L31" s="9">
        <f>VLOOKUP(C31,考勤表!D:L,9,0)</f>
        <v>0</v>
      </c>
      <c r="M31" s="9">
        <f>VLOOKUP(C31,考勤表!D:M,10,0)</f>
        <v>0</v>
      </c>
      <c r="N31" s="9"/>
      <c r="O31" s="9">
        <f>SUM(L31:N31)</f>
        <v>0</v>
      </c>
      <c r="P31" s="9">
        <v>0</v>
      </c>
      <c r="Q31" s="9">
        <f>VLOOKUP(C31,考勤表!D:I,6,0)</f>
        <v>0</v>
      </c>
      <c r="R31" s="9">
        <f>SUMIF(业绩明细表!$B:$B,$C31,业绩明细表!$E:$E)</f>
        <v>0</v>
      </c>
      <c r="S31" s="9">
        <f>SUMIF(其他补贴表!$B:$B,$C31,其他补贴表!$E:$E)</f>
        <v>0</v>
      </c>
      <c r="T31" s="9">
        <f>SUMIF(业务员专项补贴表!$C:$C,$C31,业务员专项补贴表!$L:$L)</f>
        <v>1100</v>
      </c>
      <c r="U31" s="9">
        <f>SUMIF(补发工资表!$B:$B,$C31,补发工资表!$E:$E)</f>
        <v>0</v>
      </c>
      <c r="V31" s="9">
        <f>SUM(R31:U31)</f>
        <v>1100</v>
      </c>
      <c r="W31" s="9">
        <f>H31/K31*O31</f>
        <v>0</v>
      </c>
      <c r="X31" s="9">
        <v>0</v>
      </c>
      <c r="Y31" s="9">
        <f>IF(Q31&gt;60,(Q31-60)*0.5,0)</f>
        <v>0</v>
      </c>
      <c r="Z31" s="9">
        <f>SUMIF(其他扣款表!$B:$B,$C31,其他扣款表!$E:$E)</f>
        <v>0</v>
      </c>
      <c r="AA31" s="9">
        <f>SUM(W31:Z31)</f>
        <v>0</v>
      </c>
      <c r="AB31" s="110">
        <f>H31+I31+V31-AA31</f>
        <v>2550</v>
      </c>
      <c r="AC31" s="117">
        <v>1210.43</v>
      </c>
      <c r="AD31" s="113">
        <f>AB31-AC31</f>
        <v>1339.57</v>
      </c>
      <c r="AE31" s="146"/>
      <c r="AF31" s="111" t="str">
        <f>VLOOKUP(C31,考勤表!D:D,1,0)</f>
        <v>姚雄</v>
      </c>
    </row>
    <row r="32" spans="1:32" ht="27" customHeight="1" x14ac:dyDescent="0.25">
      <c r="A32" s="174"/>
      <c r="B32" s="103">
        <v>45103</v>
      </c>
      <c r="C32" s="13" t="s">
        <v>91</v>
      </c>
      <c r="D32" s="9" t="s">
        <v>85</v>
      </c>
      <c r="E32" s="9" t="s">
        <v>90</v>
      </c>
      <c r="F32" s="9">
        <f>(DATE(YEAR($H$2),MONTH($H$2)+1,0)-B32)/365</f>
        <v>0.26301369863013702</v>
      </c>
      <c r="G32" s="9" t="s">
        <v>39</v>
      </c>
      <c r="H32" s="98">
        <v>1400</v>
      </c>
      <c r="I32" s="98">
        <v>0</v>
      </c>
      <c r="J32" s="9">
        <v>9</v>
      </c>
      <c r="K32" s="9">
        <v>26</v>
      </c>
      <c r="L32" s="9">
        <f>VLOOKUP(C32,考勤表!D:L,9,0)</f>
        <v>0</v>
      </c>
      <c r="M32" s="9">
        <f>VLOOKUP(C32,考勤表!D:M,10,0)</f>
        <v>0</v>
      </c>
      <c r="N32" s="9"/>
      <c r="O32" s="9">
        <f>SUM(L32:N32)</f>
        <v>0</v>
      </c>
      <c r="P32" s="9">
        <v>0</v>
      </c>
      <c r="Q32" s="9">
        <f>VLOOKUP(C32,考勤表!D:I,6,0)</f>
        <v>0</v>
      </c>
      <c r="R32" s="9">
        <f>SUMIF(业绩明细表!$B:$B,$C32,业绩明细表!$E:$E)</f>
        <v>0</v>
      </c>
      <c r="S32" s="9">
        <f>SUMIF(其他补贴表!$B:$B,$C32,其他补贴表!$E:$E)</f>
        <v>0</v>
      </c>
      <c r="T32" s="9">
        <f>SUMIF(业务员专项补贴表!$C:$C,$C32,业务员专项补贴表!$L:$L)</f>
        <v>1100</v>
      </c>
      <c r="U32" s="9">
        <f>SUMIF(补发工资表!$B:$B,$C32,补发工资表!$E:$E)</f>
        <v>0</v>
      </c>
      <c r="V32" s="9">
        <f>SUM(R32:U32)</f>
        <v>1100</v>
      </c>
      <c r="W32" s="9">
        <f>H32/K32*O32</f>
        <v>0</v>
      </c>
      <c r="X32" s="9">
        <v>0</v>
      </c>
      <c r="Y32" s="9">
        <f>IF(Q32&gt;60,(Q32-60)*0.5,0)</f>
        <v>0</v>
      </c>
      <c r="Z32" s="9">
        <f>SUMIF(其他扣款表!$B:$B,$C32,其他扣款表!$E:$E)</f>
        <v>0</v>
      </c>
      <c r="AA32" s="9">
        <f>SUM(W32:Z32)</f>
        <v>0</v>
      </c>
      <c r="AB32" s="110">
        <f>H32+I32+V32-AA32</f>
        <v>2500</v>
      </c>
      <c r="AC32" s="117">
        <v>1210.43</v>
      </c>
      <c r="AD32" s="113">
        <f>AB32-AC32</f>
        <v>1289.57</v>
      </c>
      <c r="AE32" s="146"/>
      <c r="AF32" s="111" t="str">
        <f>VLOOKUP(C32,考勤表!D:D,1,0)</f>
        <v>陈小九</v>
      </c>
    </row>
    <row r="33" spans="1:32" ht="28.2" customHeight="1" x14ac:dyDescent="0.25">
      <c r="A33" s="174"/>
      <c r="B33" s="103">
        <v>44718</v>
      </c>
      <c r="C33" s="13" t="s">
        <v>92</v>
      </c>
      <c r="D33" s="9" t="s">
        <v>85</v>
      </c>
      <c r="E33" s="9" t="s">
        <v>93</v>
      </c>
      <c r="F33" s="9">
        <f>(DATE(YEAR($H$2),MONTH($H$2)+1,0)-B33)/365</f>
        <v>1.31780821917808</v>
      </c>
      <c r="G33" s="9" t="s">
        <v>39</v>
      </c>
      <c r="H33" s="98">
        <v>1300</v>
      </c>
      <c r="I33" s="98">
        <v>0</v>
      </c>
      <c r="J33" s="9">
        <v>23</v>
      </c>
      <c r="K33" s="9">
        <v>26</v>
      </c>
      <c r="L33" s="9">
        <f>VLOOKUP(C33,考勤表!D:L,9,0)</f>
        <v>0</v>
      </c>
      <c r="M33" s="9">
        <f>VLOOKUP(C33,考勤表!D:M,10,0)</f>
        <v>0</v>
      </c>
      <c r="N33" s="9">
        <v>3</v>
      </c>
      <c r="O33" s="9">
        <f>SUM(L33:N33)</f>
        <v>3</v>
      </c>
      <c r="P33" s="9">
        <v>0</v>
      </c>
      <c r="Q33" s="9">
        <f>VLOOKUP(C33,考勤表!D:I,6,0)</f>
        <v>0</v>
      </c>
      <c r="R33" s="9">
        <f>SUMIF(业绩明细表!$B:$B,$C33,业绩明细表!$E:$E)</f>
        <v>0</v>
      </c>
      <c r="S33" s="9">
        <f>SUMIF(其他补贴表!$B:$B,$C33,其他补贴表!$E:$E)</f>
        <v>0</v>
      </c>
      <c r="T33" s="9">
        <f>SUMIF(业务员专项补贴表!$C:$C,$C33,业务员专项补贴表!$L:$L)</f>
        <v>1017.30769230769</v>
      </c>
      <c r="U33" s="9">
        <f>SUMIF(补发工资表!$B:$B,$C33,补发工资表!$E:$E)</f>
        <v>0</v>
      </c>
      <c r="V33" s="9">
        <f>SUM(R33:U33)</f>
        <v>1017.30769230769</v>
      </c>
      <c r="W33" s="9">
        <f>H33/K33*O33</f>
        <v>150</v>
      </c>
      <c r="X33" s="9">
        <v>0</v>
      </c>
      <c r="Y33" s="9">
        <f>IF(Q33&gt;60,(Q33-60)*0.5,0)</f>
        <v>0</v>
      </c>
      <c r="Z33" s="9">
        <f>SUMIF(其他扣款表!$B:$B,$C33,其他扣款表!$E:$E)</f>
        <v>0</v>
      </c>
      <c r="AA33" s="9">
        <f>SUM(W33:Z33)</f>
        <v>150</v>
      </c>
      <c r="AB33" s="110">
        <f>H33+I33+V33-AA33</f>
        <v>2167.3076923076901</v>
      </c>
      <c r="AC33" s="117">
        <v>776.57</v>
      </c>
      <c r="AD33" s="113">
        <f>AB33-AC33</f>
        <v>1390.7376923076899</v>
      </c>
      <c r="AE33" s="146"/>
      <c r="AF33" s="111" t="str">
        <f>VLOOKUP(C33,考勤表!D:D,1,0)</f>
        <v>吴鑫奇</v>
      </c>
    </row>
    <row r="34" spans="1:32" ht="28.2" customHeight="1" x14ac:dyDescent="0.25">
      <c r="A34" s="162" t="s">
        <v>94</v>
      </c>
      <c r="B34" s="163"/>
      <c r="C34" s="163"/>
      <c r="D34" s="163"/>
      <c r="E34" s="163"/>
      <c r="F34" s="163"/>
      <c r="G34" s="164"/>
      <c r="H34" s="137">
        <f>SUM(H31:H33)</f>
        <v>4150</v>
      </c>
      <c r="I34" s="137">
        <f t="shared" ref="I34:AD34" si="20">SUM(I31:I33)</f>
        <v>0</v>
      </c>
      <c r="J34" s="137">
        <f t="shared" si="20"/>
        <v>58</v>
      </c>
      <c r="K34" s="137">
        <f t="shared" si="20"/>
        <v>78</v>
      </c>
      <c r="L34" s="137">
        <f t="shared" si="20"/>
        <v>0</v>
      </c>
      <c r="M34" s="137">
        <f t="shared" si="20"/>
        <v>0</v>
      </c>
      <c r="N34" s="137">
        <f t="shared" si="20"/>
        <v>3</v>
      </c>
      <c r="O34" s="137">
        <f t="shared" si="20"/>
        <v>3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3217.3076923076901</v>
      </c>
      <c r="U34" s="137">
        <f t="shared" si="20"/>
        <v>0</v>
      </c>
      <c r="V34" s="137">
        <f t="shared" si="20"/>
        <v>3217.3076923076901</v>
      </c>
      <c r="W34" s="137">
        <f t="shared" si="20"/>
        <v>150</v>
      </c>
      <c r="X34" s="137">
        <f t="shared" si="20"/>
        <v>0</v>
      </c>
      <c r="Y34" s="137">
        <f t="shared" si="20"/>
        <v>0</v>
      </c>
      <c r="Z34" s="137">
        <f t="shared" si="20"/>
        <v>0</v>
      </c>
      <c r="AA34" s="137">
        <f t="shared" si="20"/>
        <v>150</v>
      </c>
      <c r="AB34" s="137">
        <f t="shared" si="20"/>
        <v>7217.3076923076896</v>
      </c>
      <c r="AC34" s="137">
        <f t="shared" si="20"/>
        <v>3197.43</v>
      </c>
      <c r="AD34" s="137">
        <f t="shared" si="20"/>
        <v>4019.8776923076898</v>
      </c>
      <c r="AE34" s="148"/>
      <c r="AF34" s="111" t="e">
        <f>VLOOKUP(C34,考勤表!D:D,1,0)</f>
        <v>#N/A</v>
      </c>
    </row>
    <row r="35" spans="1:32" ht="27" customHeight="1" x14ac:dyDescent="0.25">
      <c r="A35" s="138"/>
      <c r="B35" s="103"/>
      <c r="C35" s="139" t="s">
        <v>95</v>
      </c>
      <c r="D35" s="9"/>
      <c r="E35" s="9"/>
      <c r="F35" s="9"/>
      <c r="G35" s="9" t="s">
        <v>39</v>
      </c>
      <c r="H35" s="98">
        <v>900</v>
      </c>
      <c r="I35" s="98">
        <v>0</v>
      </c>
      <c r="J35" s="143"/>
      <c r="K35" s="9">
        <v>30</v>
      </c>
      <c r="L35" s="9">
        <v>0</v>
      </c>
      <c r="M35" s="9">
        <v>0</v>
      </c>
      <c r="N35" s="9"/>
      <c r="O35" s="9">
        <v>0</v>
      </c>
      <c r="P35" s="9">
        <v>0</v>
      </c>
      <c r="Q35" s="9">
        <v>0</v>
      </c>
      <c r="R35" s="9">
        <f>SUMIF(业绩明细表!$B:$B,$C35,业绩明细表!$E:$E)</f>
        <v>0</v>
      </c>
      <c r="S35" s="9">
        <f>SUMIF(其他补贴表!$B:$B,$C35,其他补贴表!$E:$E)</f>
        <v>0</v>
      </c>
      <c r="T35" s="9">
        <f>SUMIF(业务员专项补贴表!$C:$C,$C35,业务员专项补贴表!$L:$L)</f>
        <v>0</v>
      </c>
      <c r="U35" s="9">
        <f>SUMIF(补发工资表!$B:$B,$C35,补发工资表!$E:$E)</f>
        <v>0</v>
      </c>
      <c r="V35" s="9">
        <f>SUM(R35:U35)</f>
        <v>0</v>
      </c>
      <c r="W35" s="9">
        <f>H35/K35*O35</f>
        <v>0</v>
      </c>
      <c r="X35" s="9">
        <v>0</v>
      </c>
      <c r="Y35" s="9">
        <f>IF(Q35&gt;60,(Q35-60)*0.5,0)</f>
        <v>0</v>
      </c>
      <c r="Z35" s="9">
        <f>SUMIF(其他扣款表!$B:$B,$C35,其他扣款表!$E:$E)</f>
        <v>0</v>
      </c>
      <c r="AA35" s="9">
        <f>SUM(W35:Z35)</f>
        <v>0</v>
      </c>
      <c r="AB35" s="110">
        <f>H35+I35+V35-AA35</f>
        <v>900</v>
      </c>
      <c r="AC35" s="117">
        <v>0</v>
      </c>
      <c r="AD35" s="113">
        <v>0</v>
      </c>
      <c r="AE35" s="114" t="s">
        <v>96</v>
      </c>
      <c r="AF35" s="111" t="e">
        <f>VLOOKUP(C35,考勤表!D:D,1,0)</f>
        <v>#N/A</v>
      </c>
    </row>
    <row r="36" spans="1:32" ht="27" customHeight="1" x14ac:dyDescent="0.25">
      <c r="A36" s="165" t="s">
        <v>97</v>
      </c>
      <c r="B36" s="166"/>
      <c r="C36" s="166"/>
      <c r="D36" s="166"/>
      <c r="E36" s="166"/>
      <c r="F36" s="166"/>
      <c r="G36" s="166"/>
      <c r="H36" s="140">
        <f>SUM(H35:H35)</f>
        <v>900</v>
      </c>
      <c r="I36" s="140">
        <f t="shared" ref="I36:AD36" si="21">SUM(I35:I35)</f>
        <v>0</v>
      </c>
      <c r="J36" s="140">
        <f t="shared" si="21"/>
        <v>0</v>
      </c>
      <c r="K36" s="140">
        <f t="shared" si="21"/>
        <v>30</v>
      </c>
      <c r="L36" s="140">
        <f t="shared" si="21"/>
        <v>0</v>
      </c>
      <c r="M36" s="140">
        <f t="shared" si="21"/>
        <v>0</v>
      </c>
      <c r="N36" s="140">
        <f t="shared" si="21"/>
        <v>0</v>
      </c>
      <c r="O36" s="140">
        <f t="shared" si="21"/>
        <v>0</v>
      </c>
      <c r="P36" s="140">
        <f t="shared" si="21"/>
        <v>0</v>
      </c>
      <c r="Q36" s="140">
        <f t="shared" si="21"/>
        <v>0</v>
      </c>
      <c r="R36" s="140">
        <f t="shared" si="21"/>
        <v>0</v>
      </c>
      <c r="S36" s="140">
        <f t="shared" si="21"/>
        <v>0</v>
      </c>
      <c r="T36" s="140">
        <f t="shared" si="21"/>
        <v>0</v>
      </c>
      <c r="U36" s="140">
        <f t="shared" si="21"/>
        <v>0</v>
      </c>
      <c r="V36" s="140">
        <f t="shared" si="21"/>
        <v>0</v>
      </c>
      <c r="W36" s="140">
        <f t="shared" si="21"/>
        <v>0</v>
      </c>
      <c r="X36" s="140">
        <f t="shared" si="21"/>
        <v>0</v>
      </c>
      <c r="Y36" s="140">
        <f t="shared" si="21"/>
        <v>0</v>
      </c>
      <c r="Z36" s="140">
        <f t="shared" si="21"/>
        <v>0</v>
      </c>
      <c r="AA36" s="140">
        <f t="shared" si="21"/>
        <v>0</v>
      </c>
      <c r="AB36" s="140">
        <f t="shared" si="21"/>
        <v>900</v>
      </c>
      <c r="AC36" s="140">
        <f t="shared" si="21"/>
        <v>0</v>
      </c>
      <c r="AD36" s="140">
        <f t="shared" si="21"/>
        <v>0</v>
      </c>
      <c r="AE36" s="114"/>
      <c r="AF36" s="111" t="e">
        <f>VLOOKUP(C36,考勤表!D:D,1,0)</f>
        <v>#N/A</v>
      </c>
    </row>
    <row r="37" spans="1:32" s="120" customFormat="1" ht="27" customHeight="1" x14ac:dyDescent="0.25">
      <c r="A37" s="141"/>
      <c r="B37" s="167" t="s">
        <v>98</v>
      </c>
      <c r="C37" s="167"/>
      <c r="D37" s="167"/>
      <c r="E37" s="167"/>
      <c r="F37" s="167"/>
      <c r="G37" s="168"/>
      <c r="H37" s="142">
        <f>SUMIF($A:A,"*小计*",H:H)</f>
        <v>41264</v>
      </c>
      <c r="I37" s="142">
        <f ca="1">SUMIF($A:B,"*小计*",I:I)</f>
        <v>450</v>
      </c>
      <c r="J37" s="142">
        <f ca="1">SUMIF($A:C,"*小计*",J:J)</f>
        <v>58</v>
      </c>
      <c r="K37" s="142">
        <f ca="1">SUMIF($A:D,"*小计*",K:K)</f>
        <v>768</v>
      </c>
      <c r="L37" s="142">
        <f ca="1">SUMIF($A:E,"*小计*",L:L)</f>
        <v>0</v>
      </c>
      <c r="M37" s="142">
        <f ca="1">SUMIF($A:F,"*小计*",M:M)</f>
        <v>24.874999999999972</v>
      </c>
      <c r="N37" s="142">
        <f ca="1">SUMIF($A:G,"*小计*",N:N)</f>
        <v>43</v>
      </c>
      <c r="O37" s="142">
        <f ca="1">SUMIF($A:H,"*小计*",O:O)</f>
        <v>67.874999999999972</v>
      </c>
      <c r="P37" s="142">
        <f ca="1">SUMIF($A:I,"*小计*",P:P)</f>
        <v>0</v>
      </c>
      <c r="Q37" s="142">
        <f ca="1">SUMIF($A:J,"*小计*",Q:Q)</f>
        <v>304</v>
      </c>
      <c r="R37" s="142">
        <f ca="1">SUMIF($A:K,"*小计*",R:R)</f>
        <v>1938.15991836735</v>
      </c>
      <c r="S37" s="142">
        <f ca="1">SUMIF($A:L,"*小计*",S:S)</f>
        <v>680.83333333333303</v>
      </c>
      <c r="T37" s="142">
        <f ca="1">SUMIF($A:M,"*小计*",T:T)</f>
        <v>3217.3076923076901</v>
      </c>
      <c r="U37" s="142">
        <f ca="1">SUMIF($A:N,"*小计*",U:U)</f>
        <v>0</v>
      </c>
      <c r="V37" s="142">
        <f ca="1">SUMIF($A:O,"*小计*",V:V)</f>
        <v>5836.3009440083697</v>
      </c>
      <c r="W37" s="142">
        <f ca="1">SUMIF($A:P,"*小计*",W:W)</f>
        <v>3357.5888888888899</v>
      </c>
      <c r="X37" s="142">
        <f ca="1">SUMIF($A:Q,"*小计*",X:X)</f>
        <v>0</v>
      </c>
      <c r="Y37" s="142">
        <f ca="1">SUMIF($A:R,"*小计*",Y:Y)</f>
        <v>0</v>
      </c>
      <c r="Z37" s="142">
        <f ca="1">SUMIF($A:S,"*小计*",Z:Z)</f>
        <v>842.81799999999998</v>
      </c>
      <c r="AA37" s="142">
        <f ca="1">SUMIF($A:T,"*小计*",AA:AA)</f>
        <v>4200.4068888888905</v>
      </c>
      <c r="AB37" s="142">
        <f ca="1">SUMIF($A:U,"*小计*",AB:AB)</f>
        <v>43349.194055119486</v>
      </c>
      <c r="AC37" s="142">
        <f ca="1">SUMIF($A:V,"*小计*",AC:AC)</f>
        <v>25360.080000000002</v>
      </c>
      <c r="AD37" s="142">
        <f ca="1">SUMIF($A:W,"*小计*",AD:AD)</f>
        <v>17089.11405511948</v>
      </c>
      <c r="AE37" s="148"/>
      <c r="AF37" s="111" t="e">
        <f>VLOOKUP(C37,考勤表!D:D,1,0)</f>
        <v>#N/A</v>
      </c>
    </row>
    <row r="38" spans="1:32" x14ac:dyDescent="0.25">
      <c r="F38"/>
      <c r="G38"/>
      <c r="H38"/>
      <c r="I38"/>
      <c r="J38" s="93"/>
    </row>
    <row r="39" spans="1:32" x14ac:dyDescent="0.25">
      <c r="F39"/>
      <c r="G39"/>
      <c r="H39"/>
      <c r="I39"/>
      <c r="J39" s="93"/>
    </row>
    <row r="40" spans="1:32" x14ac:dyDescent="0.25">
      <c r="E40" s="123"/>
      <c r="F40" s="123"/>
      <c r="G40" s="124"/>
      <c r="H40" s="122"/>
      <c r="I40" s="122"/>
      <c r="J40" s="122"/>
      <c r="Y40" s="125"/>
      <c r="Z40" s="125"/>
      <c r="AA40" s="126"/>
      <c r="AB40" s="88"/>
      <c r="AC40" s="111"/>
      <c r="AD40" s="90"/>
      <c r="AF40" s="90"/>
    </row>
    <row r="41" spans="1:32" x14ac:dyDescent="0.25">
      <c r="F41" s="123"/>
      <c r="G41" s="123"/>
      <c r="H41" s="124"/>
      <c r="I41" s="122"/>
      <c r="J41" s="122"/>
      <c r="Z41" s="125"/>
      <c r="AA41" s="125"/>
      <c r="AB41" s="126"/>
      <c r="AC41" s="88"/>
      <c r="AD41" s="111"/>
      <c r="AE41" s="90"/>
      <c r="AF41" s="90"/>
    </row>
    <row r="42" spans="1:32" x14ac:dyDescent="0.25">
      <c r="F42" s="123"/>
      <c r="G42" s="123"/>
      <c r="H42" s="124"/>
      <c r="I42" s="122"/>
      <c r="J42" s="122"/>
      <c r="Z42" s="125"/>
      <c r="AA42" s="125"/>
      <c r="AB42" s="126"/>
      <c r="AC42" s="88"/>
      <c r="AD42" s="111"/>
      <c r="AE42" s="90"/>
      <c r="AF42" s="90"/>
    </row>
    <row r="43" spans="1:32" x14ac:dyDescent="0.25">
      <c r="F43" s="123"/>
      <c r="G43" s="123"/>
      <c r="H43" s="124"/>
      <c r="I43" s="122"/>
      <c r="J43" s="122"/>
      <c r="Z43" s="125"/>
      <c r="AA43" s="125"/>
      <c r="AB43" s="126"/>
      <c r="AC43" s="88"/>
      <c r="AD43" s="111"/>
      <c r="AE43" s="90"/>
      <c r="AF43" s="90"/>
    </row>
    <row r="44" spans="1:32" x14ac:dyDescent="0.25">
      <c r="F44" s="123"/>
      <c r="G44" s="123"/>
      <c r="H44" s="124"/>
      <c r="I44" s="122"/>
      <c r="J44" s="122"/>
      <c r="Z44" s="125"/>
      <c r="AA44" s="125"/>
      <c r="AB44" s="126"/>
      <c r="AC44" s="88"/>
      <c r="AD44" s="111"/>
      <c r="AE44" s="90"/>
      <c r="AF44" s="90"/>
    </row>
  </sheetData>
  <sheetProtection formatCells="0" insertHyperlinks="0" autoFilter="0"/>
  <autoFilter ref="B4:AE37" xr:uid="{00000000-0009-0000-0000-000000000000}"/>
  <mergeCells count="21">
    <mergeCell ref="A36:G36"/>
    <mergeCell ref="B37:G37"/>
    <mergeCell ref="A5:A11"/>
    <mergeCell ref="A13:A20"/>
    <mergeCell ref="A22:A23"/>
    <mergeCell ref="A25:A29"/>
    <mergeCell ref="A31:A33"/>
    <mergeCell ref="A12:G12"/>
    <mergeCell ref="A21:G21"/>
    <mergeCell ref="A24:G24"/>
    <mergeCell ref="A30:G30"/>
    <mergeCell ref="A34:G34"/>
    <mergeCell ref="B1:AD1"/>
    <mergeCell ref="H2:AE2"/>
    <mergeCell ref="K3:Q3"/>
    <mergeCell ref="R3:V3"/>
    <mergeCell ref="W3:AA3"/>
    <mergeCell ref="AB3:AB4"/>
    <mergeCell ref="AC3:AC4"/>
    <mergeCell ref="AD3:AD4"/>
    <mergeCell ref="AE3:AE4"/>
  </mergeCells>
  <phoneticPr fontId="51" type="noConversion"/>
  <conditionalFormatting sqref="C4">
    <cfRule type="timePeriod" dxfId="195" priority="6" timePeriod="lastMonth">
      <formula>AND(MONTH(C4)=MONTH(EDATE(TODAY(),0-1)),YEAR(C4)=YEAR(EDATE(TODAY(),0-1)))</formula>
    </cfRule>
    <cfRule type="timePeriod" dxfId="194" priority="5" timePeriod="lastMonth">
      <formula>AND(MONTH(C4)=MONTH(EDATE(TODAY(),0-1)),YEAR(C4)=YEAR(EDATE(TODAY(),0-1)))</formula>
    </cfRule>
  </conditionalFormatting>
  <conditionalFormatting sqref="G4">
    <cfRule type="containsText" dxfId="193" priority="1677" operator="containsText" text="离职">
      <formula>NOT(ISERROR(SEARCH("离职",G4)))</formula>
    </cfRule>
  </conditionalFormatting>
  <conditionalFormatting sqref="B5">
    <cfRule type="containsText" dxfId="192" priority="23" operator="containsText" text="离职">
      <formula>NOT(ISERROR(SEARCH("离职",B5)))</formula>
    </cfRule>
    <cfRule type="timePeriod" dxfId="191" priority="28" timePeriod="lastMonth">
      <formula>AND(MONTH(B5)=MONTH(EDATE(TODAY(),0-1)),YEAR(B5)=YEAR(EDATE(TODAY(),0-1)))</formula>
    </cfRule>
    <cfRule type="timePeriod" dxfId="190" priority="33" timePeriod="lastMonth">
      <formula>AND(MONTH(B5)=MONTH(EDATE(TODAY(),0-1)),YEAR(B5)=YEAR(EDATE(TODAY(),0-1)))</formula>
    </cfRule>
    <cfRule type="timePeriod" dxfId="189" priority="38" timePeriod="lastMonth">
      <formula>AND(MONTH(B5)=MONTH(EDATE(TODAY(),0-1)),YEAR(B5)=YEAR(EDATE(TODAY(),0-1)))</formula>
    </cfRule>
    <cfRule type="timePeriod" dxfId="188" priority="43" timePeriod="lastMonth">
      <formula>AND(MONTH(B5)=MONTH(EDATE(TODAY(),0-1)),YEAR(B5)=YEAR(EDATE(TODAY(),0-1)))</formula>
    </cfRule>
    <cfRule type="timePeriod" dxfId="187" priority="48" timePeriod="yesterday">
      <formula>FLOOR(B5,1)=TODAY()-1</formula>
    </cfRule>
    <cfRule type="timePeriod" dxfId="186" priority="53" timePeriod="lastMonth">
      <formula>AND(MONTH(B5)=MONTH(EDATE(TODAY(),0-1)),YEAR(B5)=YEAR(EDATE(TODAY(),0-1)))</formula>
    </cfRule>
    <cfRule type="timePeriod" dxfId="185" priority="58" timePeriod="lastMonth">
      <formula>AND(MONTH(B5)=MONTH(EDATE(TODAY(),0-1)),YEAR(B5)=YEAR(EDATE(TODAY(),0-1)))</formula>
    </cfRule>
  </conditionalFormatting>
  <conditionalFormatting sqref="C5">
    <cfRule type="containsText" dxfId="184" priority="18" operator="containsText" text="离职">
      <formula>NOT(ISERROR(SEARCH("离职",C5)))</formula>
    </cfRule>
  </conditionalFormatting>
  <conditionalFormatting sqref="G5">
    <cfRule type="cellIs" dxfId="183" priority="63" operator="equal">
      <formula>"离职"</formula>
    </cfRule>
    <cfRule type="cellIs" dxfId="182" priority="68" operator="equal">
      <formula>"离职"</formula>
    </cfRule>
  </conditionalFormatting>
  <conditionalFormatting sqref="B8">
    <cfRule type="containsText" dxfId="181" priority="25" operator="containsText" text="离职">
      <formula>NOT(ISERROR(SEARCH("离职",B8)))</formula>
    </cfRule>
    <cfRule type="timePeriod" dxfId="180" priority="30" timePeriod="lastMonth">
      <formula>AND(MONTH(B8)=MONTH(EDATE(TODAY(),0-1)),YEAR(B8)=YEAR(EDATE(TODAY(),0-1)))</formula>
    </cfRule>
    <cfRule type="timePeriod" dxfId="179" priority="35" timePeriod="lastMonth">
      <formula>AND(MONTH(B8)=MONTH(EDATE(TODAY(),0-1)),YEAR(B8)=YEAR(EDATE(TODAY(),0-1)))</formula>
    </cfRule>
    <cfRule type="timePeriod" dxfId="178" priority="40" timePeriod="lastMonth">
      <formula>AND(MONTH(B8)=MONTH(EDATE(TODAY(),0-1)),YEAR(B8)=YEAR(EDATE(TODAY(),0-1)))</formula>
    </cfRule>
    <cfRule type="timePeriod" dxfId="177" priority="45" timePeriod="lastMonth">
      <formula>AND(MONTH(B8)=MONTH(EDATE(TODAY(),0-1)),YEAR(B8)=YEAR(EDATE(TODAY(),0-1)))</formula>
    </cfRule>
    <cfRule type="timePeriod" dxfId="176" priority="50" timePeriod="yesterday">
      <formula>FLOOR(B8,1)=TODAY()-1</formula>
    </cfRule>
    <cfRule type="timePeriod" dxfId="175" priority="55" timePeriod="lastMonth">
      <formula>AND(MONTH(B8)=MONTH(EDATE(TODAY(),0-1)),YEAR(B8)=YEAR(EDATE(TODAY(),0-1)))</formula>
    </cfRule>
    <cfRule type="timePeriod" dxfId="174" priority="60" timePeriod="lastMonth">
      <formula>AND(MONTH(B8)=MONTH(EDATE(TODAY(),0-1)),YEAR(B8)=YEAR(EDATE(TODAY(),0-1)))</formula>
    </cfRule>
  </conditionalFormatting>
  <conditionalFormatting sqref="C8">
    <cfRule type="containsText" dxfId="173" priority="20" operator="containsText" text="离职">
      <formula>NOT(ISERROR(SEARCH("离职",C8)))</formula>
    </cfRule>
  </conditionalFormatting>
  <conditionalFormatting sqref="G8">
    <cfRule type="cellIs" dxfId="172" priority="65" operator="equal">
      <formula>"离职"</formula>
    </cfRule>
    <cfRule type="cellIs" dxfId="171" priority="70" operator="equal">
      <formula>"离职"</formula>
    </cfRule>
  </conditionalFormatting>
  <conditionalFormatting sqref="B9">
    <cfRule type="containsText" dxfId="170" priority="21" operator="containsText" text="离职">
      <formula>NOT(ISERROR(SEARCH("离职",B9)))</formula>
    </cfRule>
    <cfRule type="timePeriod" dxfId="169" priority="26" timePeriod="lastMonth">
      <formula>AND(MONTH(B9)=MONTH(EDATE(TODAY(),0-1)),YEAR(B9)=YEAR(EDATE(TODAY(),0-1)))</formula>
    </cfRule>
    <cfRule type="timePeriod" dxfId="168" priority="31" timePeriod="lastMonth">
      <formula>AND(MONTH(B9)=MONTH(EDATE(TODAY(),0-1)),YEAR(B9)=YEAR(EDATE(TODAY(),0-1)))</formula>
    </cfRule>
    <cfRule type="timePeriod" dxfId="167" priority="36" timePeriod="lastMonth">
      <formula>AND(MONTH(B9)=MONTH(EDATE(TODAY(),0-1)),YEAR(B9)=YEAR(EDATE(TODAY(),0-1)))</formula>
    </cfRule>
    <cfRule type="timePeriod" dxfId="166" priority="41" timePeriod="lastMonth">
      <formula>AND(MONTH(B9)=MONTH(EDATE(TODAY(),0-1)),YEAR(B9)=YEAR(EDATE(TODAY(),0-1)))</formula>
    </cfRule>
    <cfRule type="timePeriod" dxfId="165" priority="46" timePeriod="yesterday">
      <formula>FLOOR(B9,1)=TODAY()-1</formula>
    </cfRule>
    <cfRule type="timePeriod" dxfId="164" priority="51" timePeriod="lastMonth">
      <formula>AND(MONTH(B9)=MONTH(EDATE(TODAY(),0-1)),YEAR(B9)=YEAR(EDATE(TODAY(),0-1)))</formula>
    </cfRule>
    <cfRule type="timePeriod" dxfId="163" priority="56" timePeriod="lastMonth">
      <formula>AND(MONTH(B9)=MONTH(EDATE(TODAY(),0-1)),YEAR(B9)=YEAR(EDATE(TODAY(),0-1)))</formula>
    </cfRule>
  </conditionalFormatting>
  <conditionalFormatting sqref="C9">
    <cfRule type="containsText" dxfId="162" priority="16" operator="containsText" text="离职">
      <formula>NOT(ISERROR(SEARCH("离职",C9)))</formula>
    </cfRule>
  </conditionalFormatting>
  <conditionalFormatting sqref="G9">
    <cfRule type="cellIs" dxfId="161" priority="61" operator="equal">
      <formula>"离职"</formula>
    </cfRule>
    <cfRule type="cellIs" dxfId="160" priority="66" operator="equal">
      <formula>"离职"</formula>
    </cfRule>
  </conditionalFormatting>
  <conditionalFormatting sqref="C10">
    <cfRule type="containsText" dxfId="159" priority="128" operator="containsText" text="离职">
      <formula>NOT(ISERROR(SEARCH("离职",C10)))</formula>
    </cfRule>
  </conditionalFormatting>
  <conditionalFormatting sqref="C23:E23">
    <cfRule type="containsText" dxfId="158" priority="4" operator="containsText" text="离职">
      <formula>NOT(ISERROR(SEARCH("离职",C23)))</formula>
    </cfRule>
  </conditionalFormatting>
  <conditionalFormatting sqref="B29">
    <cfRule type="containsText" dxfId="157" priority="76" operator="containsText" text="离职">
      <formula>NOT(ISERROR(SEARCH("离职",B29)))</formula>
    </cfRule>
    <cfRule type="timePeriod" dxfId="156" priority="79" timePeriod="lastMonth">
      <formula>AND(MONTH(B29)=MONTH(EDATE(TODAY(),0-1)),YEAR(B29)=YEAR(EDATE(TODAY(),0-1)))</formula>
    </cfRule>
    <cfRule type="timePeriod" dxfId="155" priority="82" timePeriod="lastMonth">
      <formula>AND(MONTH(B29)=MONTH(EDATE(TODAY(),0-1)),YEAR(B29)=YEAR(EDATE(TODAY(),0-1)))</formula>
    </cfRule>
    <cfRule type="timePeriod" dxfId="154" priority="85" timePeriod="lastMonth">
      <formula>AND(MONTH(B29)=MONTH(EDATE(TODAY(),0-1)),YEAR(B29)=YEAR(EDATE(TODAY(),0-1)))</formula>
    </cfRule>
    <cfRule type="timePeriod" dxfId="153" priority="88" timePeriod="lastMonth">
      <formula>AND(MONTH(B29)=MONTH(EDATE(TODAY(),0-1)),YEAR(B29)=YEAR(EDATE(TODAY(),0-1)))</formula>
    </cfRule>
    <cfRule type="timePeriod" dxfId="152" priority="91" timePeriod="yesterday">
      <formula>FLOOR(B29,1)=TODAY()-1</formula>
    </cfRule>
    <cfRule type="timePeriod" dxfId="151" priority="94" timePeriod="lastMonth">
      <formula>AND(MONTH(B29)=MONTH(EDATE(TODAY(),0-1)),YEAR(B29)=YEAR(EDATE(TODAY(),0-1)))</formula>
    </cfRule>
    <cfRule type="timePeriod" dxfId="150" priority="97" timePeriod="lastMonth">
      <formula>AND(MONTH(B29)=MONTH(EDATE(TODAY(),0-1)),YEAR(B29)=YEAR(EDATE(TODAY(),0-1)))</formula>
    </cfRule>
  </conditionalFormatting>
  <conditionalFormatting sqref="C29">
    <cfRule type="containsText" dxfId="149" priority="73" operator="containsText" text="离职">
      <formula>NOT(ISERROR(SEARCH("离职",C29)))</formula>
    </cfRule>
  </conditionalFormatting>
  <conditionalFormatting sqref="G29">
    <cfRule type="cellIs" dxfId="148" priority="100" operator="equal">
      <formula>"离职"</formula>
    </cfRule>
    <cfRule type="cellIs" dxfId="147" priority="103" operator="equal">
      <formula>"离职"</formula>
    </cfRule>
  </conditionalFormatting>
  <conditionalFormatting sqref="B33">
    <cfRule type="containsText" dxfId="146" priority="75" operator="containsText" text="离职">
      <formula>NOT(ISERROR(SEARCH("离职",B33)))</formula>
    </cfRule>
    <cfRule type="timePeriod" dxfId="145" priority="78" timePeriod="lastMonth">
      <formula>AND(MONTH(B33)=MONTH(EDATE(TODAY(),0-1)),YEAR(B33)=YEAR(EDATE(TODAY(),0-1)))</formula>
    </cfRule>
    <cfRule type="timePeriod" dxfId="144" priority="81" timePeriod="lastMonth">
      <formula>AND(MONTH(B33)=MONTH(EDATE(TODAY(),0-1)),YEAR(B33)=YEAR(EDATE(TODAY(),0-1)))</formula>
    </cfRule>
    <cfRule type="timePeriod" dxfId="143" priority="84" timePeriod="lastMonth">
      <formula>AND(MONTH(B33)=MONTH(EDATE(TODAY(),0-1)),YEAR(B33)=YEAR(EDATE(TODAY(),0-1)))</formula>
    </cfRule>
    <cfRule type="timePeriod" dxfId="142" priority="87" timePeriod="lastMonth">
      <formula>AND(MONTH(B33)=MONTH(EDATE(TODAY(),0-1)),YEAR(B33)=YEAR(EDATE(TODAY(),0-1)))</formula>
    </cfRule>
    <cfRule type="timePeriod" dxfId="141" priority="90" timePeriod="yesterday">
      <formula>FLOOR(B33,1)=TODAY()-1</formula>
    </cfRule>
    <cfRule type="timePeriod" dxfId="140" priority="93" timePeriod="lastMonth">
      <formula>AND(MONTH(B33)=MONTH(EDATE(TODAY(),0-1)),YEAR(B33)=YEAR(EDATE(TODAY(),0-1)))</formula>
    </cfRule>
    <cfRule type="timePeriod" dxfId="139" priority="96" timePeriod="lastMonth">
      <formula>AND(MONTH(B33)=MONTH(EDATE(TODAY(),0-1)),YEAR(B33)=YEAR(EDATE(TODAY(),0-1)))</formula>
    </cfRule>
  </conditionalFormatting>
  <conditionalFormatting sqref="C33">
    <cfRule type="containsText" dxfId="138" priority="72" operator="containsText" text="离职">
      <formula>NOT(ISERROR(SEARCH("离职",C33)))</formula>
    </cfRule>
  </conditionalFormatting>
  <conditionalFormatting sqref="G33">
    <cfRule type="cellIs" dxfId="137" priority="99" operator="equal">
      <formula>"离职"</formula>
    </cfRule>
    <cfRule type="cellIs" dxfId="136" priority="102" operator="equal">
      <formula>"离职"</formula>
    </cfRule>
  </conditionalFormatting>
  <conditionalFormatting sqref="B35">
    <cfRule type="containsText" dxfId="135" priority="104" operator="containsText" text="离职">
      <formula>NOT(ISERROR(SEARCH("离职",B35)))</formula>
    </cfRule>
    <cfRule type="timePeriod" dxfId="134" priority="105" timePeriod="lastMonth">
      <formula>AND(MONTH(B35)=MONTH(EDATE(TODAY(),0-1)),YEAR(B35)=YEAR(EDATE(TODAY(),0-1)))</formula>
    </cfRule>
    <cfRule type="timePeriod" dxfId="133" priority="106" timePeriod="lastMonth">
      <formula>AND(MONTH(B35)=MONTH(EDATE(TODAY(),0-1)),YEAR(B35)=YEAR(EDATE(TODAY(),0-1)))</formula>
    </cfRule>
    <cfRule type="timePeriod" dxfId="132" priority="107" timePeriod="lastMonth">
      <formula>AND(MONTH(B35)=MONTH(EDATE(TODAY(),0-1)),YEAR(B35)=YEAR(EDATE(TODAY(),0-1)))</formula>
    </cfRule>
    <cfRule type="timePeriod" dxfId="131" priority="108" timePeriod="lastMonth">
      <formula>AND(MONTH(B35)=MONTH(EDATE(TODAY(),0-1)),YEAR(B35)=YEAR(EDATE(TODAY(),0-1)))</formula>
    </cfRule>
    <cfRule type="timePeriod" dxfId="130" priority="109" timePeriod="yesterday">
      <formula>FLOOR(B35,1)=TODAY()-1</formula>
    </cfRule>
    <cfRule type="timePeriod" dxfId="129" priority="110" timePeriod="lastMonth">
      <formula>AND(MONTH(B35)=MONTH(EDATE(TODAY(),0-1)),YEAR(B35)=YEAR(EDATE(TODAY(),0-1)))</formula>
    </cfRule>
    <cfRule type="timePeriod" dxfId="128" priority="111" timePeriod="lastMonth">
      <formula>AND(MONTH(B35)=MONTH(EDATE(TODAY(),0-1)),YEAR(B35)=YEAR(EDATE(TODAY(),0-1)))</formula>
    </cfRule>
  </conditionalFormatting>
  <conditionalFormatting sqref="C35">
    <cfRule type="containsText" dxfId="127" priority="116" operator="containsText" text="离职">
      <formula>NOT(ISERROR(SEARCH("离职",C35)))</formula>
    </cfRule>
  </conditionalFormatting>
  <conditionalFormatting sqref="G35">
    <cfRule type="cellIs" dxfId="126" priority="112" operator="equal">
      <formula>"离职"</formula>
    </cfRule>
    <cfRule type="cellIs" dxfId="125" priority="113" operator="equal">
      <formula>"离职"</formula>
    </cfRule>
  </conditionalFormatting>
  <conditionalFormatting sqref="E17:E18">
    <cfRule type="containsText" dxfId="124" priority="2" operator="containsText" text="离职">
      <formula>NOT(ISERROR(SEARCH("离职",E17)))</formula>
    </cfRule>
  </conditionalFormatting>
  <conditionalFormatting sqref="B1:B11 B13:B20 B31:B33 B25:B29 B37:B1048576 B22:B23 B35">
    <cfRule type="timePeriod" dxfId="123" priority="14" timePeriod="lastMonth">
      <formula>AND(MONTH(B1)=MONTH(EDATE(TODAY(),0-1)),YEAR(B1)=YEAR(EDATE(TODAY(),0-1)))</formula>
    </cfRule>
    <cfRule type="timePeriod" dxfId="122" priority="15" timePeriod="lastMonth">
      <formula>AND(MONTH(B1)=MONTH(EDATE(TODAY(),0-1)),YEAR(B1)=YEAR(EDATE(TODAY(),0-1)))</formula>
    </cfRule>
  </conditionalFormatting>
  <conditionalFormatting sqref="AD1:AD11 AD13:AD20 AD22:AD23 AD25:AD29 AD31:AD33 AD35 AD38:AD1048576">
    <cfRule type="cellIs" dxfId="121" priority="1" operator="lessThan">
      <formula>0</formula>
    </cfRule>
  </conditionalFormatting>
  <conditionalFormatting sqref="G4 E41:E44 G45:G1048576">
    <cfRule type="cellIs" dxfId="120" priority="1675" operator="equal">
      <formula>"离职"</formula>
    </cfRule>
  </conditionalFormatting>
  <conditionalFormatting sqref="B6:B7 B10:B11 B13:B20 B25:B28 B31:B32 B22:B23">
    <cfRule type="containsText" dxfId="119" priority="426" operator="containsText" text="离职">
      <formula>NOT(ISERROR(SEARCH("离职",B6)))</formula>
    </cfRule>
    <cfRule type="timePeriod" dxfId="118" priority="438" timePeriod="lastMonth">
      <formula>AND(MONTH(B6)=MONTH(EDATE(TODAY(),0-1)),YEAR(B6)=YEAR(EDATE(TODAY(),0-1)))</formula>
    </cfRule>
    <cfRule type="timePeriod" dxfId="117" priority="450" timePeriod="lastMonth">
      <formula>AND(MONTH(B6)=MONTH(EDATE(TODAY(),0-1)),YEAR(B6)=YEAR(EDATE(TODAY(),0-1)))</formula>
    </cfRule>
    <cfRule type="timePeriod" dxfId="116" priority="462" timePeriod="lastMonth">
      <formula>AND(MONTH(B6)=MONTH(EDATE(TODAY(),0-1)),YEAR(B6)=YEAR(EDATE(TODAY(),0-1)))</formula>
    </cfRule>
    <cfRule type="timePeriod" dxfId="115" priority="474" timePeriod="lastMonth">
      <formula>AND(MONTH(B6)=MONTH(EDATE(TODAY(),0-1)),YEAR(B6)=YEAR(EDATE(TODAY(),0-1)))</formula>
    </cfRule>
    <cfRule type="timePeriod" dxfId="114" priority="486" timePeriod="yesterday">
      <formula>FLOOR(B6,1)=TODAY()-1</formula>
    </cfRule>
    <cfRule type="timePeriod" dxfId="113" priority="498" timePeriod="lastMonth">
      <formula>AND(MONTH(B6)=MONTH(EDATE(TODAY(),0-1)),YEAR(B6)=YEAR(EDATE(TODAY(),0-1)))</formula>
    </cfRule>
    <cfRule type="timePeriod" dxfId="112" priority="510" timePeriod="lastMonth">
      <formula>AND(MONTH(B6)=MONTH(EDATE(TODAY(),0-1)),YEAR(B6)=YEAR(EDATE(TODAY(),0-1)))</formula>
    </cfRule>
  </conditionalFormatting>
  <conditionalFormatting sqref="C6:C7 C15:C18 C31:C32 C22">
    <cfRule type="containsText" dxfId="111" priority="125" operator="containsText" text="离职">
      <formula>NOT(ISERROR(SEARCH("离职",C6)))</formula>
    </cfRule>
  </conditionalFormatting>
  <conditionalFormatting sqref="G6:G7 G10:G11 G13:G20 G25:G28 G31:G32 G22:G23">
    <cfRule type="cellIs" dxfId="110" priority="1122" operator="equal">
      <formula>"离职"</formula>
    </cfRule>
    <cfRule type="cellIs" dxfId="109" priority="1123" operator="equal">
      <formula>"离职"</formula>
    </cfRule>
  </conditionalFormatting>
  <conditionalFormatting sqref="C11 C25:C27">
    <cfRule type="containsText" dxfId="108" priority="126" operator="containsText" text="离职">
      <formula>NOT(ISERROR(SEARCH("离职",C11)))</formula>
    </cfRule>
  </conditionalFormatting>
  <conditionalFormatting sqref="C13:C14 C28">
    <cfRule type="containsText" dxfId="107" priority="11" operator="containsText" text="离职">
      <formula>NOT(ISERROR(SEARCH("离职",C13)))</formula>
    </cfRule>
  </conditionalFormatting>
  <conditionalFormatting sqref="C19:E20">
    <cfRule type="containsText" dxfId="106" priority="3" operator="containsText" text="离职">
      <formula>NOT(ISERROR(SEARCH("离职",C19)))</formula>
    </cfRule>
  </conditionalFormatting>
  <pageMargins left="0.196527777777778" right="0.118055555555556" top="0.196527777777778" bottom="7.7777777777777807E-2" header="0.15625" footer="3.8888888888888903E-2"/>
  <pageSetup paperSize="9" scale="2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9"/>
  <sheetViews>
    <sheetView tabSelected="1" workbookViewId="0">
      <pane xSplit="8" topLeftCell="I1" activePane="topRight" state="frozen"/>
      <selection pane="topRight" activeCell="H21" sqref="H21"/>
    </sheetView>
  </sheetViews>
  <sheetFormatPr defaultColWidth="9" defaultRowHeight="14.4" x14ac:dyDescent="0.25"/>
  <cols>
    <col min="1" max="1" width="12.44140625" style="92" customWidth="1"/>
    <col min="2" max="3" width="11.109375" style="93" customWidth="1"/>
    <col min="4" max="4" width="9" style="93"/>
    <col min="5" max="5" width="9.33203125" style="93"/>
    <col min="6" max="7" width="9" style="93"/>
    <col min="8" max="8" width="11.109375" style="93" customWidth="1"/>
    <col min="9" max="9" width="0" style="93" hidden="1" customWidth="1"/>
    <col min="10" max="11" width="9" style="93"/>
    <col min="12" max="13" width="0" style="93" hidden="1" customWidth="1"/>
    <col min="14" max="15" width="9" style="93"/>
    <col min="16" max="21" width="0" style="93" hidden="1" customWidth="1"/>
    <col min="22" max="22" width="12.33203125" style="93" hidden="1" customWidth="1"/>
    <col min="23" max="23" width="9.33203125" style="93"/>
    <col min="24" max="26" width="0" style="93" hidden="1" customWidth="1"/>
    <col min="27" max="27" width="9.33203125" style="93"/>
    <col min="28" max="30" width="10.33203125" style="93"/>
    <col min="31" max="31" width="20.6640625" style="93" customWidth="1"/>
    <col min="32" max="32" width="19.33203125" style="93" customWidth="1"/>
    <col min="33" max="33" width="22.21875" style="93" customWidth="1"/>
    <col min="34" max="16384" width="9" style="93"/>
  </cols>
  <sheetData>
    <row r="1" spans="1:32" s="87" customFormat="1" ht="36.9" customHeight="1" x14ac:dyDescent="0.25">
      <c r="A1" s="94"/>
      <c r="B1" s="149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1"/>
      <c r="AC1" s="151"/>
      <c r="AD1" s="151"/>
      <c r="AF1" s="109"/>
    </row>
    <row r="2" spans="1:32" s="88" customFormat="1" ht="18" customHeight="1" x14ac:dyDescent="0.25">
      <c r="A2" s="95"/>
      <c r="B2" s="96" t="s">
        <v>0</v>
      </c>
      <c r="C2" s="97"/>
      <c r="D2" s="97"/>
      <c r="E2" s="97"/>
      <c r="F2" s="97"/>
      <c r="G2" s="97"/>
      <c r="H2" s="152">
        <v>45199</v>
      </c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C2" s="153"/>
      <c r="AD2" s="153"/>
      <c r="AE2" s="154"/>
      <c r="AF2" s="111"/>
    </row>
    <row r="3" spans="1:32" s="88" customFormat="1" ht="18" customHeight="1" x14ac:dyDescent="0.25">
      <c r="A3" s="95"/>
      <c r="B3" s="96" t="s">
        <v>1</v>
      </c>
      <c r="C3" s="97"/>
      <c r="D3" s="97"/>
      <c r="E3" s="97"/>
      <c r="F3" s="97"/>
      <c r="G3" s="97"/>
      <c r="H3" s="98"/>
      <c r="I3" s="98"/>
      <c r="J3" s="98"/>
      <c r="K3" s="155" t="s">
        <v>2</v>
      </c>
      <c r="L3" s="155"/>
      <c r="M3" s="155"/>
      <c r="N3" s="155"/>
      <c r="O3" s="155"/>
      <c r="P3" s="155"/>
      <c r="Q3" s="155"/>
      <c r="R3" s="155" t="s">
        <v>3</v>
      </c>
      <c r="S3" s="155"/>
      <c r="T3" s="155"/>
      <c r="U3" s="155"/>
      <c r="V3" s="155"/>
      <c r="W3" s="155" t="s">
        <v>4</v>
      </c>
      <c r="X3" s="155"/>
      <c r="Y3" s="155"/>
      <c r="Z3" s="155"/>
      <c r="AA3" s="155"/>
      <c r="AB3" s="175" t="s">
        <v>5</v>
      </c>
      <c r="AC3" s="175" t="s">
        <v>6</v>
      </c>
      <c r="AD3" s="175" t="s">
        <v>7</v>
      </c>
      <c r="AE3" s="178" t="s">
        <v>8</v>
      </c>
      <c r="AF3" s="111"/>
    </row>
    <row r="4" spans="1:32" s="89" customFormat="1" ht="43.95" customHeight="1" x14ac:dyDescent="0.25">
      <c r="A4" s="99" t="s">
        <v>99</v>
      </c>
      <c r="B4" s="100" t="s">
        <v>9</v>
      </c>
      <c r="C4" s="100" t="s">
        <v>10</v>
      </c>
      <c r="D4" s="101" t="s">
        <v>11</v>
      </c>
      <c r="E4" s="101" t="s">
        <v>12</v>
      </c>
      <c r="F4" s="101" t="s">
        <v>13</v>
      </c>
      <c r="G4" s="101" t="s">
        <v>14</v>
      </c>
      <c r="H4" s="102" t="s">
        <v>15</v>
      </c>
      <c r="I4" s="102" t="s">
        <v>16</v>
      </c>
      <c r="J4" s="102" t="s">
        <v>17</v>
      </c>
      <c r="K4" s="102" t="s">
        <v>18</v>
      </c>
      <c r="L4" s="102" t="s">
        <v>19</v>
      </c>
      <c r="M4" s="102" t="s">
        <v>20</v>
      </c>
      <c r="N4" s="102" t="s">
        <v>21</v>
      </c>
      <c r="O4" s="101" t="s">
        <v>22</v>
      </c>
      <c r="P4" s="101" t="s">
        <v>23</v>
      </c>
      <c r="Q4" s="101" t="s">
        <v>24</v>
      </c>
      <c r="R4" s="101" t="s">
        <v>25</v>
      </c>
      <c r="S4" s="101" t="s">
        <v>26</v>
      </c>
      <c r="T4" s="101" t="s">
        <v>27</v>
      </c>
      <c r="U4" s="101" t="s">
        <v>28</v>
      </c>
      <c r="V4" s="101" t="s">
        <v>29</v>
      </c>
      <c r="W4" s="101" t="s">
        <v>30</v>
      </c>
      <c r="X4" s="101" t="s">
        <v>31</v>
      </c>
      <c r="Y4" s="101" t="s">
        <v>32</v>
      </c>
      <c r="Z4" s="101" t="s">
        <v>33</v>
      </c>
      <c r="AA4" s="101" t="s">
        <v>34</v>
      </c>
      <c r="AB4" s="176"/>
      <c r="AC4" s="176"/>
      <c r="AD4" s="177"/>
      <c r="AE4" s="179"/>
      <c r="AF4" s="112"/>
    </row>
    <row r="5" spans="1:32" s="90" customFormat="1" ht="28.2" hidden="1" customHeight="1" x14ac:dyDescent="0.25">
      <c r="A5" s="103">
        <v>45142</v>
      </c>
      <c r="B5" s="104">
        <v>44692</v>
      </c>
      <c r="C5" s="11" t="s">
        <v>100</v>
      </c>
      <c r="D5" s="9" t="s">
        <v>72</v>
      </c>
      <c r="E5" s="9" t="s">
        <v>73</v>
      </c>
      <c r="F5" s="9">
        <f>(DATE(YEAR($H$2),MONTH($H$2)+1,0)-B5)/365</f>
        <v>1.3890410958904109</v>
      </c>
      <c r="G5" s="9" t="s">
        <v>101</v>
      </c>
      <c r="H5" s="98">
        <v>1400</v>
      </c>
      <c r="I5" s="9">
        <v>0</v>
      </c>
      <c r="J5" s="9">
        <v>5</v>
      </c>
      <c r="K5" s="9">
        <v>30</v>
      </c>
      <c r="L5" s="9">
        <f>VLOOKUP(C5,考勤表!D:L,9,FALSE)</f>
        <v>0</v>
      </c>
      <c r="M5" s="9">
        <f>VLOOKUP(C5,考勤表!D:M,10,FALSE)</f>
        <v>0</v>
      </c>
      <c r="N5" s="9">
        <f>K5-J5</f>
        <v>25</v>
      </c>
      <c r="O5" s="9">
        <f>SUM(L5:N5)</f>
        <v>25</v>
      </c>
      <c r="P5" s="9">
        <v>0</v>
      </c>
      <c r="Q5" s="9">
        <f>VLOOKUP(C5,考勤表!D:I,6,FALSE)</f>
        <v>0</v>
      </c>
      <c r="R5" s="9">
        <f>SUMIF(业绩明细表!B:B,C5,业绩明细表!E:E)</f>
        <v>0</v>
      </c>
      <c r="S5" s="9">
        <f>SUMIF(其他补贴表!B:B,C5,其他补贴表!E:E)</f>
        <v>0</v>
      </c>
      <c r="T5" s="9">
        <f>SUMIF(业务员专项补贴表!C:C,C5,业务员专项补贴表!L:L)</f>
        <v>0</v>
      </c>
      <c r="U5" s="9">
        <f>SUMIF(补发工资表!B:B,C5,补发工资表!E:E)</f>
        <v>0</v>
      </c>
      <c r="V5" s="9">
        <f>SUM(R5:U5)</f>
        <v>0</v>
      </c>
      <c r="W5" s="9">
        <f>H5/K5*O5</f>
        <v>1166.6666666666665</v>
      </c>
      <c r="X5" s="9">
        <v>0</v>
      </c>
      <c r="Y5" s="9">
        <f>IF(Q5&gt;60,(Q5-60)*0.5,0)</f>
        <v>0</v>
      </c>
      <c r="Z5" s="9">
        <f>SUMIF(其他扣款表!B:B,C5,其他扣款表!E:E)</f>
        <v>0</v>
      </c>
      <c r="AA5" s="9">
        <f>SUM(W5:Z5)</f>
        <v>1166.6666666666665</v>
      </c>
      <c r="AB5" s="110">
        <f>H5+I5+V5-AA5</f>
        <v>233.33333333333348</v>
      </c>
      <c r="AC5" s="110">
        <v>0</v>
      </c>
      <c r="AD5" s="113">
        <f>AB5-AC5</f>
        <v>233.33333333333348</v>
      </c>
      <c r="AE5" s="114"/>
      <c r="AF5" s="111" t="str">
        <f>VLOOKUP(C5,考勤表!D:D,1,0)</f>
        <v>王宽</v>
      </c>
    </row>
    <row r="6" spans="1:32" s="91" customFormat="1" ht="30" customHeight="1" x14ac:dyDescent="0.25">
      <c r="A6" s="105">
        <v>45191</v>
      </c>
      <c r="B6" s="105">
        <v>45187</v>
      </c>
      <c r="C6" s="218" t="s">
        <v>102</v>
      </c>
      <c r="D6" s="106" t="s">
        <v>44</v>
      </c>
      <c r="E6" s="106" t="s">
        <v>45</v>
      </c>
      <c r="F6" s="106">
        <f>(DATE(YEAR($H$2),MONTH($H$2)+1,0)-B6)/365</f>
        <v>3.2876712328767099E-2</v>
      </c>
      <c r="G6" s="106" t="s">
        <v>101</v>
      </c>
      <c r="H6" s="107">
        <v>1500</v>
      </c>
      <c r="I6" s="106">
        <v>0</v>
      </c>
      <c r="J6" s="106">
        <v>7</v>
      </c>
      <c r="K6" s="106">
        <v>30</v>
      </c>
      <c r="L6" s="106">
        <f>VLOOKUP(C6,考勤表!D:L,9,FALSE)</f>
        <v>0</v>
      </c>
      <c r="M6" s="106">
        <f>VLOOKUP(C6,考勤表!D:M,10,FALSE)</f>
        <v>0</v>
      </c>
      <c r="N6" s="106">
        <f>K6-J6</f>
        <v>23</v>
      </c>
      <c r="O6" s="106">
        <f t="shared" ref="O6:O8" si="0">SUM(L6:N6)</f>
        <v>23</v>
      </c>
      <c r="P6" s="106">
        <v>0</v>
      </c>
      <c r="Q6" s="106">
        <f>VLOOKUP(C6,考勤表!D:I,6,FALSE)</f>
        <v>0</v>
      </c>
      <c r="R6" s="106">
        <f>SUMIF(业绩明细表!B:B,C6,业绩明细表!E:E)</f>
        <v>0</v>
      </c>
      <c r="S6" s="106">
        <f>SUMIF(其他补贴表!B:B,C6,其他补贴表!E:E)</f>
        <v>0</v>
      </c>
      <c r="T6" s="106">
        <f>SUMIF(业务员专项补贴表!C:C,C6,业务员专项补贴表!L:L)</f>
        <v>0</v>
      </c>
      <c r="U6" s="106">
        <f>SUMIF(补发工资表!B:B,C6,补发工资表!E:E)</f>
        <v>0</v>
      </c>
      <c r="V6" s="106">
        <f t="shared" ref="V6:V8" si="1">SUM(R6:U6)</f>
        <v>0</v>
      </c>
      <c r="W6" s="106">
        <f t="shared" ref="W6:W8" si="2">H6/K6*O6</f>
        <v>1150</v>
      </c>
      <c r="X6" s="106">
        <v>0</v>
      </c>
      <c r="Y6" s="106">
        <f t="shared" ref="Y6:Y8" si="3">IF(Q6&gt;60,(Q6-60)*0.5,0)</f>
        <v>0</v>
      </c>
      <c r="Z6" s="106">
        <f>SUMIF(其他扣款表!B:B,C6,其他扣款表!E:E)</f>
        <v>0</v>
      </c>
      <c r="AA6" s="106">
        <f t="shared" ref="AA6:AA8" si="4">SUM(W6:Z6)</f>
        <v>1150</v>
      </c>
      <c r="AB6" s="115">
        <f t="shared" ref="AB6:AB8" si="5">H6+I6+V6-AA6</f>
        <v>350</v>
      </c>
      <c r="AC6" s="115">
        <v>163.69999999999999</v>
      </c>
      <c r="AD6" s="219">
        <f t="shared" ref="AD6:AD8" si="6">AB6-AC6</f>
        <v>186.3</v>
      </c>
      <c r="AF6" s="116" t="str">
        <f>VLOOKUP(C6,考勤表!D:D,1,0)</f>
        <v>金笑婧</v>
      </c>
    </row>
    <row r="7" spans="1:32" s="90" customFormat="1" ht="28.2" hidden="1" customHeight="1" x14ac:dyDescent="0.25">
      <c r="A7" s="104">
        <v>45198</v>
      </c>
      <c r="B7" s="104">
        <v>45190</v>
      </c>
      <c r="C7" s="11" t="s">
        <v>103</v>
      </c>
      <c r="D7" s="9" t="s">
        <v>53</v>
      </c>
      <c r="E7" s="9" t="s">
        <v>60</v>
      </c>
      <c r="F7" s="9">
        <f>(DATE(YEAR($H$2),MONTH($H$2)+1,0)-B7)/365</f>
        <v>2.4657534246575342E-2</v>
      </c>
      <c r="G7" s="9" t="s">
        <v>101</v>
      </c>
      <c r="H7" s="98">
        <v>1400</v>
      </c>
      <c r="I7" s="9">
        <v>0</v>
      </c>
      <c r="J7" s="9">
        <v>3</v>
      </c>
      <c r="K7" s="9">
        <v>30</v>
      </c>
      <c r="L7" s="9">
        <f>VLOOKUP(C7,考勤表!D:L,9,FALSE)</f>
        <v>0</v>
      </c>
      <c r="M7" s="9">
        <f>VLOOKUP(C7,考勤表!D:M,10,FALSE)</f>
        <v>0</v>
      </c>
      <c r="N7" s="9">
        <f>K7-J7</f>
        <v>27</v>
      </c>
      <c r="O7" s="9">
        <f t="shared" si="0"/>
        <v>27</v>
      </c>
      <c r="P7" s="9">
        <v>0</v>
      </c>
      <c r="Q7" s="9">
        <f>VLOOKUP(C7,考勤表!D:I,6,FALSE)</f>
        <v>7</v>
      </c>
      <c r="R7" s="9">
        <f>SUMIF(业绩明细表!B:B,C7,业绩明细表!E:E)</f>
        <v>0</v>
      </c>
      <c r="S7" s="9">
        <f>SUMIF(其他补贴表!B:B,C7,其他补贴表!E:E)</f>
        <v>0</v>
      </c>
      <c r="T7" s="9">
        <f>SUMIF(业务员专项补贴表!C:C,C7,业务员专项补贴表!L:L)</f>
        <v>0</v>
      </c>
      <c r="U7" s="9">
        <f>SUMIF(补发工资表!B:B,C7,补发工资表!E:E)</f>
        <v>0</v>
      </c>
      <c r="V7" s="9">
        <f t="shared" si="1"/>
        <v>0</v>
      </c>
      <c r="W7" s="9">
        <f t="shared" si="2"/>
        <v>1260</v>
      </c>
      <c r="X7" s="9">
        <v>0</v>
      </c>
      <c r="Y7" s="9">
        <f t="shared" si="3"/>
        <v>0</v>
      </c>
      <c r="Z7" s="9">
        <f>SUMIF(其他扣款表!B:B,C7,其他扣款表!E:E)</f>
        <v>15</v>
      </c>
      <c r="AA7" s="9">
        <f t="shared" si="4"/>
        <v>1275</v>
      </c>
      <c r="AB7" s="110">
        <f t="shared" si="5"/>
        <v>125</v>
      </c>
      <c r="AC7" s="117">
        <v>0</v>
      </c>
      <c r="AD7" s="113">
        <f t="shared" si="6"/>
        <v>125</v>
      </c>
      <c r="AE7" s="118" t="s">
        <v>104</v>
      </c>
      <c r="AF7" s="111" t="str">
        <f>VLOOKUP(C7,考勤表!D:D,1,0)</f>
        <v>阮凯</v>
      </c>
    </row>
    <row r="8" spans="1:32" s="90" customFormat="1" ht="28.2" hidden="1" customHeight="1" x14ac:dyDescent="0.25">
      <c r="A8" s="104">
        <v>45175</v>
      </c>
      <c r="B8" s="104">
        <v>45173</v>
      </c>
      <c r="C8" s="11" t="s">
        <v>105</v>
      </c>
      <c r="D8" s="9" t="s">
        <v>53</v>
      </c>
      <c r="E8" s="9" t="s">
        <v>60</v>
      </c>
      <c r="F8" s="9">
        <f>(DATE(YEAR($H$2),MONTH($H$2)+1,0)-B8)/365</f>
        <v>7.1232876712328766E-2</v>
      </c>
      <c r="G8" s="9" t="s">
        <v>101</v>
      </c>
      <c r="H8" s="98">
        <v>1400</v>
      </c>
      <c r="I8" s="9">
        <v>0</v>
      </c>
      <c r="J8" s="9">
        <f>(16+4.5)/8</f>
        <v>2.5625</v>
      </c>
      <c r="K8" s="9">
        <v>30</v>
      </c>
      <c r="L8" s="9">
        <f>VLOOKUP(C8,考勤表!D:L,9,FALSE)</f>
        <v>0</v>
      </c>
      <c r="M8" s="9">
        <f>VLOOKUP(C8,考勤表!D:M,10,FALSE)</f>
        <v>0</v>
      </c>
      <c r="N8" s="9">
        <f>K8-J8</f>
        <v>27.4375</v>
      </c>
      <c r="O8" s="9">
        <f t="shared" si="0"/>
        <v>27.4375</v>
      </c>
      <c r="P8" s="9">
        <v>0</v>
      </c>
      <c r="Q8" s="9">
        <f>VLOOKUP(C8,考勤表!D:I,6,FALSE)</f>
        <v>0</v>
      </c>
      <c r="R8" s="9">
        <f>SUMIF(业绩明细表!B:B,C8,业绩明细表!E:E)</f>
        <v>0</v>
      </c>
      <c r="S8" s="9">
        <f>SUMIF(其他补贴表!B:B,C8,其他补贴表!E:E)</f>
        <v>0</v>
      </c>
      <c r="T8" s="9">
        <f>SUMIF(业务员专项补贴表!C:C,C8,业务员专项补贴表!L:L)</f>
        <v>0</v>
      </c>
      <c r="U8" s="9">
        <f>SUMIF(补发工资表!B:B,C8,补发工资表!E:E)</f>
        <v>0</v>
      </c>
      <c r="V8" s="9">
        <f t="shared" si="1"/>
        <v>0</v>
      </c>
      <c r="W8" s="9">
        <f t="shared" si="2"/>
        <v>1280.4166666666665</v>
      </c>
      <c r="X8" s="9">
        <v>0</v>
      </c>
      <c r="Y8" s="9">
        <f t="shared" si="3"/>
        <v>0</v>
      </c>
      <c r="Z8" s="9">
        <f>SUMIF(其他扣款表!B:B,C8,其他扣款表!E:E)</f>
        <v>0</v>
      </c>
      <c r="AA8" s="9">
        <f t="shared" si="4"/>
        <v>1280.4166666666665</v>
      </c>
      <c r="AB8" s="110">
        <f t="shared" si="5"/>
        <v>119.58333333333348</v>
      </c>
      <c r="AC8" s="110">
        <v>0</v>
      </c>
      <c r="AD8" s="113">
        <f t="shared" si="6"/>
        <v>119.58333333333348</v>
      </c>
      <c r="AE8" s="118" t="s">
        <v>104</v>
      </c>
      <c r="AF8" s="111" t="str">
        <f>VLOOKUP(C8,考勤表!D:D,1,0)</f>
        <v>陈子龙</v>
      </c>
    </row>
    <row r="9" spans="1:32" ht="25.05" customHeight="1" x14ac:dyDescent="0.25">
      <c r="R9" s="108">
        <f>SUM(R5:R8)</f>
        <v>0</v>
      </c>
      <c r="S9" s="108">
        <f t="shared" ref="S9:AD9" si="7">SUM(S5:S8)</f>
        <v>0</v>
      </c>
      <c r="T9" s="108">
        <f t="shared" si="7"/>
        <v>0</v>
      </c>
      <c r="U9" s="108">
        <f t="shared" si="7"/>
        <v>0</v>
      </c>
      <c r="V9" s="108">
        <f t="shared" si="7"/>
        <v>0</v>
      </c>
      <c r="W9" s="108">
        <f t="shared" si="7"/>
        <v>4857.083333333333</v>
      </c>
      <c r="X9" s="108">
        <f t="shared" si="7"/>
        <v>0</v>
      </c>
      <c r="Y9" s="108">
        <f t="shared" si="7"/>
        <v>0</v>
      </c>
      <c r="Z9" s="108">
        <f t="shared" si="7"/>
        <v>15</v>
      </c>
      <c r="AA9" s="108">
        <f t="shared" si="7"/>
        <v>4872.083333333333</v>
      </c>
      <c r="AB9" s="108">
        <f t="shared" si="7"/>
        <v>827.91666666666697</v>
      </c>
      <c r="AC9" s="108">
        <f t="shared" si="7"/>
        <v>163.69999999999999</v>
      </c>
      <c r="AD9" s="108">
        <f t="shared" si="7"/>
        <v>664.21666666666692</v>
      </c>
      <c r="AE9" s="119"/>
    </row>
  </sheetData>
  <mergeCells count="9">
    <mergeCell ref="B1:AD1"/>
    <mergeCell ref="H2:AE2"/>
    <mergeCell ref="K3:Q3"/>
    <mergeCell ref="R3:V3"/>
    <mergeCell ref="W3:AA3"/>
    <mergeCell ref="AB3:AB4"/>
    <mergeCell ref="AC3:AC4"/>
    <mergeCell ref="AD3:AD4"/>
    <mergeCell ref="AE3:AE4"/>
  </mergeCells>
  <phoneticPr fontId="51" type="noConversion"/>
  <conditionalFormatting sqref="A4">
    <cfRule type="timePeriod" dxfId="105" priority="113" timePeriod="lastMonth">
      <formula>AND(MONTH(A4)=MONTH(EDATE(TODAY(),0-1)),YEAR(A4)=YEAR(EDATE(TODAY(),0-1)))</formula>
    </cfRule>
    <cfRule type="timePeriod" dxfId="104" priority="112" timePeriod="lastMonth">
      <formula>AND(MONTH(A4)=MONTH(EDATE(TODAY(),0-1)),YEAR(A4)=YEAR(EDATE(TODAY(),0-1)))</formula>
    </cfRule>
  </conditionalFormatting>
  <conditionalFormatting sqref="C4">
    <cfRule type="timePeriod" dxfId="103" priority="115" timePeriod="lastMonth">
      <formula>AND(MONTH(C4)=MONTH(EDATE(TODAY(),0-1)),YEAR(C4)=YEAR(EDATE(TODAY(),0-1)))</formula>
    </cfRule>
    <cfRule type="timePeriod" dxfId="102" priority="114" timePeriod="lastMonth">
      <formula>AND(MONTH(C4)=MONTH(EDATE(TODAY(),0-1)),YEAR(C4)=YEAR(EDATE(TODAY(),0-1)))</formula>
    </cfRule>
  </conditionalFormatting>
  <conditionalFormatting sqref="G4">
    <cfRule type="containsText" dxfId="101" priority="130" operator="containsText" text="离职">
      <formula>NOT(ISERROR(SEARCH("离职",G4)))</formula>
    </cfRule>
    <cfRule type="cellIs" dxfId="100" priority="129" operator="equal">
      <formula>"离职"</formula>
    </cfRule>
  </conditionalFormatting>
  <conditionalFormatting sqref="A5">
    <cfRule type="timePeriod" dxfId="99" priority="12" timePeriod="lastMonth">
      <formula>AND(MONTH(A5)=MONTH(EDATE(TODAY(),0-1)),YEAR(A5)=YEAR(EDATE(TODAY(),0-1)))</formula>
    </cfRule>
    <cfRule type="timePeriod" dxfId="98" priority="11" timePeriod="lastMonth">
      <formula>AND(MONTH(A5)=MONTH(EDATE(TODAY(),0-1)),YEAR(A5)=YEAR(EDATE(TODAY(),0-1)))</formula>
    </cfRule>
    <cfRule type="timePeriod" dxfId="97" priority="10" timePeriod="yesterday">
      <formula>FLOOR(A5,1)=TODAY()-1</formula>
    </cfRule>
    <cfRule type="timePeriod" dxfId="96" priority="9" timePeriod="lastMonth">
      <formula>AND(MONTH(A5)=MONTH(EDATE(TODAY(),0-1)),YEAR(A5)=YEAR(EDATE(TODAY(),0-1)))</formula>
    </cfRule>
    <cfRule type="timePeriod" dxfId="95" priority="8" timePeriod="lastMonth">
      <formula>AND(MONTH(A5)=MONTH(EDATE(TODAY(),0-1)),YEAR(A5)=YEAR(EDATE(TODAY(),0-1)))</formula>
    </cfRule>
    <cfRule type="timePeriod" dxfId="94" priority="7" timePeriod="lastMonth">
      <formula>AND(MONTH(A5)=MONTH(EDATE(TODAY(),0-1)),YEAR(A5)=YEAR(EDATE(TODAY(),0-1)))</formula>
    </cfRule>
    <cfRule type="timePeriod" dxfId="93" priority="6" timePeriod="lastMonth">
      <formula>AND(MONTH(A5)=MONTH(EDATE(TODAY(),0-1)),YEAR(A5)=YEAR(EDATE(TODAY(),0-1)))</formula>
    </cfRule>
    <cfRule type="containsText" dxfId="92" priority="5" operator="containsText" text="离职">
      <formula>NOT(ISERROR(SEARCH("离职",A5)))</formula>
    </cfRule>
    <cfRule type="timePeriod" dxfId="91" priority="4" timePeriod="lastMonth">
      <formula>AND(MONTH(A5)=MONTH(EDATE(TODAY(),0-1)),YEAR(A5)=YEAR(EDATE(TODAY(),0-1)))</formula>
    </cfRule>
    <cfRule type="timePeriod" dxfId="90" priority="3" timePeriod="lastMonth">
      <formula>AND(MONTH(A5)=MONTH(EDATE(TODAY(),0-1)),YEAR(A5)=YEAR(EDATE(TODAY(),0-1)))</formula>
    </cfRule>
  </conditionalFormatting>
  <conditionalFormatting sqref="B5">
    <cfRule type="timePeriod" dxfId="89" priority="23" timePeriod="lastMonth">
      <formula>AND(MONTH(B5)=MONTH(EDATE(TODAY(),0-1)),YEAR(B5)=YEAR(EDATE(TODAY(),0-1)))</formula>
    </cfRule>
    <cfRule type="timePeriod" dxfId="88" priority="22" timePeriod="lastMonth">
      <formula>AND(MONTH(B5)=MONTH(EDATE(TODAY(),0-1)),YEAR(B5)=YEAR(EDATE(TODAY(),0-1)))</formula>
    </cfRule>
    <cfRule type="timePeriod" dxfId="87" priority="21" timePeriod="yesterday">
      <formula>FLOOR(B5,1)=TODAY()-1</formula>
    </cfRule>
    <cfRule type="timePeriod" dxfId="86" priority="20" timePeriod="lastMonth">
      <formula>AND(MONTH(B5)=MONTH(EDATE(TODAY(),0-1)),YEAR(B5)=YEAR(EDATE(TODAY(),0-1)))</formula>
    </cfRule>
    <cfRule type="timePeriod" dxfId="85" priority="19" timePeriod="lastMonth">
      <formula>AND(MONTH(B5)=MONTH(EDATE(TODAY(),0-1)),YEAR(B5)=YEAR(EDATE(TODAY(),0-1)))</formula>
    </cfRule>
    <cfRule type="timePeriod" dxfId="84" priority="18" timePeriod="lastMonth">
      <formula>AND(MONTH(B5)=MONTH(EDATE(TODAY(),0-1)),YEAR(B5)=YEAR(EDATE(TODAY(),0-1)))</formula>
    </cfRule>
    <cfRule type="timePeriod" dxfId="83" priority="17" timePeriod="lastMonth">
      <formula>AND(MONTH(B5)=MONTH(EDATE(TODAY(),0-1)),YEAR(B5)=YEAR(EDATE(TODAY(),0-1)))</formula>
    </cfRule>
    <cfRule type="containsText" dxfId="82" priority="16" operator="containsText" text="离职">
      <formula>NOT(ISERROR(SEARCH("离职",B5)))</formula>
    </cfRule>
    <cfRule type="timePeriod" dxfId="81" priority="14" timePeriod="lastMonth">
      <formula>AND(MONTH(B5)=MONTH(EDATE(TODAY(),0-1)),YEAR(B5)=YEAR(EDATE(TODAY(),0-1)))</formula>
    </cfRule>
    <cfRule type="timePeriod" dxfId="80" priority="13" timePeriod="lastMonth">
      <formula>AND(MONTH(B5)=MONTH(EDATE(TODAY(),0-1)),YEAR(B5)=YEAR(EDATE(TODAY(),0-1)))</formula>
    </cfRule>
  </conditionalFormatting>
  <conditionalFormatting sqref="C5">
    <cfRule type="containsText" dxfId="79" priority="15" operator="containsText" text="离职">
      <formula>NOT(ISERROR(SEARCH("离职",C5)))</formula>
    </cfRule>
  </conditionalFormatting>
  <conditionalFormatting sqref="G5">
    <cfRule type="cellIs" dxfId="78" priority="25" operator="equal">
      <formula>"离职"</formula>
    </cfRule>
    <cfRule type="cellIs" dxfId="77" priority="24" operator="equal">
      <formula>"离职"</formula>
    </cfRule>
  </conditionalFormatting>
  <conditionalFormatting sqref="B6">
    <cfRule type="timePeriod" dxfId="76" priority="63" timePeriod="lastMonth">
      <formula>AND(MONTH(B6)=MONTH(EDATE(TODAY(),0-1)),YEAR(B6)=YEAR(EDATE(TODAY(),0-1)))</formula>
    </cfRule>
    <cfRule type="timePeriod" dxfId="75" priority="64" timePeriod="lastMonth">
      <formula>AND(MONTH(B6)=MONTH(EDATE(TODAY(),0-1)),YEAR(B6)=YEAR(EDATE(TODAY(),0-1)))</formula>
    </cfRule>
    <cfRule type="containsText" dxfId="74" priority="66" operator="containsText" text="离职">
      <formula>NOT(ISERROR(SEARCH("离职",B6)))</formula>
    </cfRule>
    <cfRule type="timePeriod" dxfId="73" priority="67" timePeriod="lastMonth">
      <formula>AND(MONTH(B6)=MONTH(EDATE(TODAY(),0-1)),YEAR(B6)=YEAR(EDATE(TODAY(),0-1)))</formula>
    </cfRule>
    <cfRule type="timePeriod" dxfId="72" priority="68" timePeriod="lastMonth">
      <formula>AND(MONTH(B6)=MONTH(EDATE(TODAY(),0-1)),YEAR(B6)=YEAR(EDATE(TODAY(),0-1)))</formula>
    </cfRule>
    <cfRule type="timePeriod" dxfId="71" priority="69" timePeriod="lastMonth">
      <formula>AND(MONTH(B6)=MONTH(EDATE(TODAY(),0-1)),YEAR(B6)=YEAR(EDATE(TODAY(),0-1)))</formula>
    </cfRule>
    <cfRule type="timePeriod" dxfId="70" priority="70" timePeriod="lastMonth">
      <formula>AND(MONTH(B6)=MONTH(EDATE(TODAY(),0-1)),YEAR(B6)=YEAR(EDATE(TODAY(),0-1)))</formula>
    </cfRule>
    <cfRule type="timePeriod" dxfId="69" priority="71" timePeriod="yesterday">
      <formula>FLOOR(B6,1)=TODAY()-1</formula>
    </cfRule>
    <cfRule type="timePeriod" dxfId="68" priority="72" timePeriod="lastMonth">
      <formula>AND(MONTH(B6)=MONTH(EDATE(TODAY(),0-1)),YEAR(B6)=YEAR(EDATE(TODAY(),0-1)))</formula>
    </cfRule>
    <cfRule type="timePeriod" dxfId="67" priority="73" timePeriod="lastMonth">
      <formula>AND(MONTH(B6)=MONTH(EDATE(TODAY(),0-1)),YEAR(B6)=YEAR(EDATE(TODAY(),0-1)))</formula>
    </cfRule>
  </conditionalFormatting>
  <conditionalFormatting sqref="C6">
    <cfRule type="containsText" dxfId="66" priority="62" operator="containsText" text="离职">
      <formula>NOT(ISERROR(SEARCH("离职",C6)))</formula>
    </cfRule>
  </conditionalFormatting>
  <conditionalFormatting sqref="B7">
    <cfRule type="timePeriod" dxfId="65" priority="50" timePeriod="lastMonth">
      <formula>AND(MONTH(B7)=MONTH(EDATE(TODAY(),0-1)),YEAR(B7)=YEAR(EDATE(TODAY(),0-1)))</formula>
    </cfRule>
    <cfRule type="timePeriod" dxfId="64" priority="51" timePeriod="lastMonth">
      <formula>AND(MONTH(B7)=MONTH(EDATE(TODAY(),0-1)),YEAR(B7)=YEAR(EDATE(TODAY(),0-1)))</formula>
    </cfRule>
    <cfRule type="containsText" dxfId="63" priority="52" operator="containsText" text="离职">
      <formula>NOT(ISERROR(SEARCH("离职",B7)))</formula>
    </cfRule>
    <cfRule type="timePeriod" dxfId="62" priority="53" timePeriod="lastMonth">
      <formula>AND(MONTH(B7)=MONTH(EDATE(TODAY(),0-1)),YEAR(B7)=YEAR(EDATE(TODAY(),0-1)))</formula>
    </cfRule>
    <cfRule type="timePeriod" dxfId="61" priority="54" timePeriod="lastMonth">
      <formula>AND(MONTH(B7)=MONTH(EDATE(TODAY(),0-1)),YEAR(B7)=YEAR(EDATE(TODAY(),0-1)))</formula>
    </cfRule>
    <cfRule type="timePeriod" dxfId="60" priority="55" timePeriod="lastMonth">
      <formula>AND(MONTH(B7)=MONTH(EDATE(TODAY(),0-1)),YEAR(B7)=YEAR(EDATE(TODAY(),0-1)))</formula>
    </cfRule>
    <cfRule type="timePeriod" dxfId="59" priority="56" timePeriod="lastMonth">
      <formula>AND(MONTH(B7)=MONTH(EDATE(TODAY(),0-1)),YEAR(B7)=YEAR(EDATE(TODAY(),0-1)))</formula>
    </cfRule>
    <cfRule type="timePeriod" dxfId="58" priority="57" timePeriod="yesterday">
      <formula>FLOOR(B7,1)=TODAY()-1</formula>
    </cfRule>
    <cfRule type="timePeriod" dxfId="57" priority="58" timePeriod="lastMonth">
      <formula>AND(MONTH(B7)=MONTH(EDATE(TODAY(),0-1)),YEAR(B7)=YEAR(EDATE(TODAY(),0-1)))</formula>
    </cfRule>
    <cfRule type="timePeriod" dxfId="56" priority="59" timePeriod="lastMonth">
      <formula>AND(MONTH(B7)=MONTH(EDATE(TODAY(),0-1)),YEAR(B7)=YEAR(EDATE(TODAY(),0-1)))</formula>
    </cfRule>
  </conditionalFormatting>
  <conditionalFormatting sqref="C7">
    <cfRule type="containsText" dxfId="55" priority="49" operator="containsText" text="离职">
      <formula>NOT(ISERROR(SEARCH("离职",C7)))</formula>
    </cfRule>
  </conditionalFormatting>
  <conditionalFormatting sqref="B8">
    <cfRule type="timePeriod" dxfId="54" priority="46" timePeriod="lastMonth">
      <formula>AND(MONTH(B8)=MONTH(EDATE(TODAY(),0-1)),YEAR(B8)=YEAR(EDATE(TODAY(),0-1)))</formula>
    </cfRule>
    <cfRule type="timePeriod" dxfId="53" priority="45" timePeriod="lastMonth">
      <formula>AND(MONTH(B8)=MONTH(EDATE(TODAY(),0-1)),YEAR(B8)=YEAR(EDATE(TODAY(),0-1)))</formula>
    </cfRule>
    <cfRule type="timePeriod" dxfId="52" priority="44" timePeriod="yesterday">
      <formula>FLOOR(B8,1)=TODAY()-1</formula>
    </cfRule>
    <cfRule type="timePeriod" dxfId="51" priority="43" timePeriod="lastMonth">
      <formula>AND(MONTH(B8)=MONTH(EDATE(TODAY(),0-1)),YEAR(B8)=YEAR(EDATE(TODAY(),0-1)))</formula>
    </cfRule>
    <cfRule type="timePeriod" dxfId="50" priority="42" timePeriod="lastMonth">
      <formula>AND(MONTH(B8)=MONTH(EDATE(TODAY(),0-1)),YEAR(B8)=YEAR(EDATE(TODAY(),0-1)))</formula>
    </cfRule>
    <cfRule type="timePeriod" dxfId="49" priority="41" timePeriod="lastMonth">
      <formula>AND(MONTH(B8)=MONTH(EDATE(TODAY(),0-1)),YEAR(B8)=YEAR(EDATE(TODAY(),0-1)))</formula>
    </cfRule>
    <cfRule type="timePeriod" dxfId="48" priority="40" timePeriod="lastMonth">
      <formula>AND(MONTH(B8)=MONTH(EDATE(TODAY(),0-1)),YEAR(B8)=YEAR(EDATE(TODAY(),0-1)))</formula>
    </cfRule>
    <cfRule type="containsText" dxfId="47" priority="39" operator="containsText" text="离职">
      <formula>NOT(ISERROR(SEARCH("离职",B8)))</formula>
    </cfRule>
    <cfRule type="timePeriod" dxfId="46" priority="37" timePeriod="lastMonth">
      <formula>AND(MONTH(B8)=MONTH(EDATE(TODAY(),0-1)),YEAR(B8)=YEAR(EDATE(TODAY(),0-1)))</formula>
    </cfRule>
    <cfRule type="timePeriod" dxfId="45" priority="36" timePeriod="lastMonth">
      <formula>AND(MONTH(B8)=MONTH(EDATE(TODAY(),0-1)),YEAR(B8)=YEAR(EDATE(TODAY(),0-1)))</formula>
    </cfRule>
  </conditionalFormatting>
  <conditionalFormatting sqref="C8">
    <cfRule type="containsText" dxfId="44" priority="38" operator="containsText" text="离职">
      <formula>NOT(ISERROR(SEARCH("离职",C8)))</formula>
    </cfRule>
  </conditionalFormatting>
  <conditionalFormatting sqref="A6:A8">
    <cfRule type="timePeriod" dxfId="43" priority="35" timePeriod="lastMonth">
      <formula>AND(MONTH(A6)=MONTH(EDATE(TODAY(),0-1)),YEAR(A6)=YEAR(EDATE(TODAY(),0-1)))</formula>
    </cfRule>
    <cfRule type="timePeriod" dxfId="42" priority="34" timePeriod="lastMonth">
      <formula>AND(MONTH(A6)=MONTH(EDATE(TODAY(),0-1)),YEAR(A6)=YEAR(EDATE(TODAY(),0-1)))</formula>
    </cfRule>
    <cfRule type="timePeriod" dxfId="41" priority="33" timePeriod="yesterday">
      <formula>FLOOR(A6,1)=TODAY()-1</formula>
    </cfRule>
    <cfRule type="timePeriod" dxfId="40" priority="32" timePeriod="lastMonth">
      <formula>AND(MONTH(A6)=MONTH(EDATE(TODAY(),0-1)),YEAR(A6)=YEAR(EDATE(TODAY(),0-1)))</formula>
    </cfRule>
    <cfRule type="timePeriod" dxfId="39" priority="31" timePeriod="lastMonth">
      <formula>AND(MONTH(A6)=MONTH(EDATE(TODAY(),0-1)),YEAR(A6)=YEAR(EDATE(TODAY(),0-1)))</formula>
    </cfRule>
    <cfRule type="timePeriod" dxfId="38" priority="30" timePeriod="lastMonth">
      <formula>AND(MONTH(A6)=MONTH(EDATE(TODAY(),0-1)),YEAR(A6)=YEAR(EDATE(TODAY(),0-1)))</formula>
    </cfRule>
    <cfRule type="timePeriod" dxfId="37" priority="29" timePeriod="lastMonth">
      <formula>AND(MONTH(A6)=MONTH(EDATE(TODAY(),0-1)),YEAR(A6)=YEAR(EDATE(TODAY(),0-1)))</formula>
    </cfRule>
    <cfRule type="containsText" dxfId="36" priority="28" operator="containsText" text="离职">
      <formula>NOT(ISERROR(SEARCH("离职",A6)))</formula>
    </cfRule>
    <cfRule type="timePeriod" dxfId="35" priority="27" timePeriod="lastMonth">
      <formula>AND(MONTH(A6)=MONTH(EDATE(TODAY(),0-1)),YEAR(A6)=YEAR(EDATE(TODAY(),0-1)))</formula>
    </cfRule>
    <cfRule type="timePeriod" dxfId="34" priority="26" timePeriod="lastMonth">
      <formula>AND(MONTH(A6)=MONTH(EDATE(TODAY(),0-1)),YEAR(A6)=YEAR(EDATE(TODAY(),0-1)))</formula>
    </cfRule>
  </conditionalFormatting>
  <conditionalFormatting sqref="B1:B4">
    <cfRule type="timePeriod" dxfId="33" priority="117" timePeriod="lastMonth">
      <formula>AND(MONTH(B1)=MONTH(EDATE(TODAY(),0-1)),YEAR(B1)=YEAR(EDATE(TODAY(),0-1)))</formula>
    </cfRule>
    <cfRule type="timePeriod" dxfId="32" priority="116" timePeriod="lastMonth">
      <formula>AND(MONTH(B1)=MONTH(EDATE(TODAY(),0-1)),YEAR(B1)=YEAR(EDATE(TODAY(),0-1)))</formula>
    </cfRule>
  </conditionalFormatting>
  <conditionalFormatting sqref="G6:G8">
    <cfRule type="cellIs" dxfId="31" priority="74" operator="equal">
      <formula>"离职"</formula>
    </cfRule>
    <cfRule type="cellIs" dxfId="30" priority="75" operator="equal">
      <formula>"离职"</formula>
    </cfRule>
  </conditionalFormatting>
  <conditionalFormatting sqref="AD1:AD1048576">
    <cfRule type="cellIs" dxfId="29" priority="1" operator="lessThan">
      <formula>0</formula>
    </cfRule>
  </conditionalFormatting>
  <pageMargins left="0.75" right="0.75" top="1" bottom="1" header="0.5" footer="0.5"/>
  <pageSetup paperSize="9" scale="79" fitToHeight="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7"/>
  <sheetViews>
    <sheetView zoomScale="103" zoomScaleNormal="103" workbookViewId="0">
      <pane xSplit="4" ySplit="3" topLeftCell="G4" activePane="bottomRight" state="frozen"/>
      <selection pane="topRight"/>
      <selection pane="bottomLeft"/>
      <selection pane="bottomRight" activeCell="M20" sqref="M20"/>
    </sheetView>
  </sheetViews>
  <sheetFormatPr defaultColWidth="9" defaultRowHeight="13.2" x14ac:dyDescent="0.25"/>
  <cols>
    <col min="1" max="1" width="3.6640625" style="50" customWidth="1"/>
    <col min="2" max="2" width="7.33203125" style="50" customWidth="1"/>
    <col min="3" max="3" width="7" style="50" customWidth="1"/>
    <col min="4" max="6" width="10.33203125" style="52" customWidth="1"/>
    <col min="7" max="7" width="15" style="52" customWidth="1"/>
    <col min="8" max="8" width="15.88671875" style="52" customWidth="1"/>
    <col min="9" max="12" width="10.33203125" style="50" customWidth="1"/>
    <col min="13" max="13" width="10.33203125" style="53" customWidth="1"/>
    <col min="14" max="14" width="10" style="50" customWidth="1"/>
    <col min="15" max="15" width="6.33203125" style="50" customWidth="1"/>
    <col min="16" max="16" width="9.44140625" style="50" customWidth="1"/>
    <col min="17" max="17" width="6.44140625" style="50" customWidth="1"/>
    <col min="18" max="18" width="8.33203125" style="50" customWidth="1"/>
    <col min="19" max="20" width="6.6640625" style="50" customWidth="1"/>
    <col min="21" max="21" width="33.77734375" style="52" customWidth="1"/>
    <col min="22" max="16384" width="9" style="50"/>
  </cols>
  <sheetData>
    <row r="1" spans="1:22" x14ac:dyDescent="0.25">
      <c r="A1" s="180" t="s">
        <v>106</v>
      </c>
      <c r="B1" s="181"/>
      <c r="C1" s="181"/>
      <c r="D1" s="182"/>
      <c r="E1" s="182"/>
      <c r="F1" s="182"/>
      <c r="G1" s="182"/>
      <c r="H1" s="182"/>
      <c r="I1" s="181"/>
      <c r="J1" s="181"/>
      <c r="K1" s="181"/>
      <c r="L1" s="181"/>
      <c r="M1" s="182"/>
      <c r="N1" s="181"/>
      <c r="O1" s="181"/>
      <c r="P1" s="181"/>
      <c r="Q1" s="181"/>
      <c r="R1" s="181"/>
      <c r="S1" s="181"/>
      <c r="T1" s="181"/>
      <c r="U1" s="183"/>
    </row>
    <row r="2" spans="1:22" ht="24" x14ac:dyDescent="0.25">
      <c r="A2" s="186" t="s">
        <v>107</v>
      </c>
      <c r="B2" s="186" t="s">
        <v>108</v>
      </c>
      <c r="C2" s="186" t="s">
        <v>109</v>
      </c>
      <c r="D2" s="186" t="s">
        <v>110</v>
      </c>
      <c r="E2" s="188" t="s">
        <v>111</v>
      </c>
      <c r="F2" s="186" t="s">
        <v>112</v>
      </c>
      <c r="G2" s="186" t="s">
        <v>113</v>
      </c>
      <c r="H2" s="186" t="s">
        <v>114</v>
      </c>
      <c r="I2" s="186" t="s">
        <v>115</v>
      </c>
      <c r="J2" s="186" t="s">
        <v>116</v>
      </c>
      <c r="K2" s="186" t="s">
        <v>117</v>
      </c>
      <c r="L2" s="186" t="s">
        <v>118</v>
      </c>
      <c r="M2" s="186" t="s">
        <v>119</v>
      </c>
      <c r="N2" s="186" t="s">
        <v>120</v>
      </c>
      <c r="O2" s="186" t="s">
        <v>121</v>
      </c>
      <c r="P2" s="186" t="s">
        <v>122</v>
      </c>
      <c r="Q2" s="186" t="s">
        <v>123</v>
      </c>
      <c r="R2" s="186" t="s">
        <v>124</v>
      </c>
      <c r="S2" s="184" t="s">
        <v>125</v>
      </c>
      <c r="T2" s="185"/>
      <c r="U2" s="78" t="s">
        <v>126</v>
      </c>
    </row>
    <row r="3" spans="1:22" ht="24" x14ac:dyDescent="0.25">
      <c r="A3" s="187"/>
      <c r="B3" s="187"/>
      <c r="C3" s="187"/>
      <c r="D3" s="187"/>
      <c r="E3" s="189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78" t="s">
        <v>127</v>
      </c>
      <c r="T3" s="78" t="s">
        <v>128</v>
      </c>
      <c r="U3" s="78"/>
    </row>
    <row r="4" spans="1:22" ht="27" customHeight="1" x14ac:dyDescent="0.25">
      <c r="A4" s="54">
        <v>1</v>
      </c>
      <c r="B4" s="55">
        <v>101354</v>
      </c>
      <c r="C4" s="56" t="s">
        <v>129</v>
      </c>
      <c r="D4" s="57" t="s">
        <v>48</v>
      </c>
      <c r="E4" s="56" t="s">
        <v>44</v>
      </c>
      <c r="F4" s="57" t="s">
        <v>47</v>
      </c>
      <c r="G4" s="58">
        <v>44671</v>
      </c>
      <c r="H4" s="59" t="s">
        <v>39</v>
      </c>
      <c r="I4" s="75">
        <v>6</v>
      </c>
      <c r="J4" s="75"/>
      <c r="K4" s="75"/>
      <c r="L4" s="75"/>
      <c r="M4" s="75">
        <v>2</v>
      </c>
      <c r="N4" s="75"/>
      <c r="O4" s="75"/>
      <c r="P4" s="75"/>
      <c r="Q4" s="75"/>
      <c r="R4" s="75"/>
      <c r="S4" s="75"/>
      <c r="T4" s="75"/>
      <c r="U4" s="79"/>
      <c r="V4" s="50" t="str">
        <f>VLOOKUP(D4,工资明细表!C:C,1,FALSE)</f>
        <v>张爽</v>
      </c>
    </row>
    <row r="5" spans="1:22" ht="25.05" customHeight="1" x14ac:dyDescent="0.25">
      <c r="A5" s="54">
        <v>2</v>
      </c>
      <c r="B5" s="55">
        <v>101446</v>
      </c>
      <c r="C5" s="56" t="s">
        <v>129</v>
      </c>
      <c r="D5" s="57" t="s">
        <v>46</v>
      </c>
      <c r="E5" s="56" t="s">
        <v>44</v>
      </c>
      <c r="F5" s="57" t="s">
        <v>47</v>
      </c>
      <c r="G5" s="58">
        <v>44935</v>
      </c>
      <c r="H5" s="59" t="s">
        <v>39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9"/>
      <c r="V5" s="50" t="str">
        <f>VLOOKUP(D5,工资明细表!C:C,1,FALSE)</f>
        <v>徐嘉平</v>
      </c>
    </row>
    <row r="6" spans="1:22" ht="25.05" customHeight="1" x14ac:dyDescent="0.25">
      <c r="A6" s="54">
        <v>3</v>
      </c>
      <c r="B6" s="55">
        <v>101513</v>
      </c>
      <c r="C6" s="56" t="s">
        <v>129</v>
      </c>
      <c r="D6" s="57" t="s">
        <v>49</v>
      </c>
      <c r="E6" s="56" t="s">
        <v>44</v>
      </c>
      <c r="F6" s="56" t="s">
        <v>130</v>
      </c>
      <c r="G6" s="58">
        <v>45126</v>
      </c>
      <c r="H6" s="59" t="s">
        <v>39</v>
      </c>
      <c r="I6" s="75">
        <v>2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9"/>
      <c r="V6" s="50" t="str">
        <f>VLOOKUP(D6,工资明细表!C:C,1,FALSE)</f>
        <v>冯慧</v>
      </c>
    </row>
    <row r="7" spans="1:22" ht="34.049999999999997" customHeight="1" x14ac:dyDescent="0.25">
      <c r="A7" s="54">
        <v>4</v>
      </c>
      <c r="B7" s="55">
        <v>101387</v>
      </c>
      <c r="C7" s="56" t="s">
        <v>129</v>
      </c>
      <c r="D7" s="57" t="s">
        <v>43</v>
      </c>
      <c r="E7" s="56" t="s">
        <v>44</v>
      </c>
      <c r="F7" s="57" t="s">
        <v>45</v>
      </c>
      <c r="G7" s="58">
        <v>44753</v>
      </c>
      <c r="H7" s="59" t="s">
        <v>39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80" t="s">
        <v>131</v>
      </c>
      <c r="V7" s="50" t="str">
        <f>VLOOKUP(D7,工资明细表!C:C,1,FALSE)</f>
        <v>王梦梦</v>
      </c>
    </row>
    <row r="8" spans="1:22" ht="27" customHeight="1" x14ac:dyDescent="0.25">
      <c r="A8" s="60">
        <v>5</v>
      </c>
      <c r="B8" s="61">
        <v>101544</v>
      </c>
      <c r="C8" s="62" t="s">
        <v>129</v>
      </c>
      <c r="D8" s="63" t="s">
        <v>102</v>
      </c>
      <c r="E8" s="62" t="s">
        <v>44</v>
      </c>
      <c r="F8" s="63" t="s">
        <v>45</v>
      </c>
      <c r="G8" s="64">
        <v>45187</v>
      </c>
      <c r="H8" s="65" t="s">
        <v>132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81"/>
      <c r="V8" s="50" t="e">
        <f>VLOOKUP(D8,工资明细表!C:C,1,FALSE)</f>
        <v>#N/A</v>
      </c>
    </row>
    <row r="9" spans="1:22" ht="27" customHeight="1" x14ac:dyDescent="0.25">
      <c r="A9" s="54">
        <v>6</v>
      </c>
      <c r="B9" s="55">
        <v>101287</v>
      </c>
      <c r="C9" s="56" t="s">
        <v>129</v>
      </c>
      <c r="D9" s="56" t="s">
        <v>77</v>
      </c>
      <c r="E9" s="56" t="s">
        <v>78</v>
      </c>
      <c r="F9" s="56" t="s">
        <v>79</v>
      </c>
      <c r="G9" s="58">
        <v>44470</v>
      </c>
      <c r="H9" s="59" t="s">
        <v>39</v>
      </c>
      <c r="I9" s="75"/>
      <c r="J9" s="75"/>
      <c r="K9" s="75"/>
      <c r="L9" s="75"/>
      <c r="M9" s="75">
        <f>17/8</f>
        <v>2.125</v>
      </c>
      <c r="N9" s="75"/>
      <c r="O9" s="75"/>
      <c r="P9" s="75"/>
      <c r="Q9" s="75"/>
      <c r="R9" s="75"/>
      <c r="S9" s="75"/>
      <c r="T9" s="75"/>
      <c r="U9" s="80" t="s">
        <v>133</v>
      </c>
      <c r="V9" s="50" t="str">
        <f>VLOOKUP(D9,工资明细表!C:C,1,FALSE)</f>
        <v>黄子航</v>
      </c>
    </row>
    <row r="10" spans="1:22" ht="52.05" customHeight="1" x14ac:dyDescent="0.25">
      <c r="A10" s="54">
        <v>7</v>
      </c>
      <c r="B10" s="55">
        <v>101367</v>
      </c>
      <c r="C10" s="56" t="s">
        <v>129</v>
      </c>
      <c r="D10" s="57" t="s">
        <v>80</v>
      </c>
      <c r="E10" s="56" t="s">
        <v>78</v>
      </c>
      <c r="F10" s="56" t="s">
        <v>81</v>
      </c>
      <c r="G10" s="58">
        <v>44697</v>
      </c>
      <c r="H10" s="59" t="s">
        <v>39</v>
      </c>
      <c r="I10" s="75">
        <v>31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80" t="s">
        <v>134</v>
      </c>
      <c r="V10" s="50" t="str">
        <f>VLOOKUP(D10,工资明细表!C:C,1,FALSE)</f>
        <v>陆夏小华</v>
      </c>
    </row>
    <row r="11" spans="1:22" ht="25.95" customHeight="1" x14ac:dyDescent="0.25">
      <c r="A11" s="54">
        <v>8</v>
      </c>
      <c r="B11" s="55">
        <v>101386</v>
      </c>
      <c r="C11" s="56" t="s">
        <v>129</v>
      </c>
      <c r="D11" s="57" t="s">
        <v>82</v>
      </c>
      <c r="E11" s="56" t="s">
        <v>78</v>
      </c>
      <c r="F11" s="56" t="s">
        <v>81</v>
      </c>
      <c r="G11" s="58">
        <v>44749</v>
      </c>
      <c r="H11" s="59" t="s">
        <v>39</v>
      </c>
      <c r="I11" s="75">
        <v>49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82" t="s">
        <v>135</v>
      </c>
      <c r="V11" s="50" t="str">
        <f>VLOOKUP(D11,工资明细表!C:C,1,FALSE)</f>
        <v>盛杰</v>
      </c>
    </row>
    <row r="12" spans="1:22" ht="27" customHeight="1" x14ac:dyDescent="0.25">
      <c r="A12" s="54">
        <v>9</v>
      </c>
      <c r="B12" s="66">
        <v>101419</v>
      </c>
      <c r="C12" s="56" t="s">
        <v>129</v>
      </c>
      <c r="D12" s="67" t="s">
        <v>83</v>
      </c>
      <c r="E12" s="56" t="s">
        <v>78</v>
      </c>
      <c r="F12" s="56" t="s">
        <v>81</v>
      </c>
      <c r="G12" s="68">
        <v>45040</v>
      </c>
      <c r="H12" s="59" t="s">
        <v>39</v>
      </c>
      <c r="I12" s="77">
        <v>28</v>
      </c>
      <c r="J12" s="77"/>
      <c r="K12" s="77"/>
      <c r="L12" s="77"/>
      <c r="M12" s="77">
        <f>13.5/8</f>
        <v>1.6875</v>
      </c>
      <c r="N12" s="77"/>
      <c r="O12" s="77"/>
      <c r="P12" s="77"/>
      <c r="Q12" s="77"/>
      <c r="R12" s="77"/>
      <c r="S12" s="77"/>
      <c r="T12" s="77"/>
      <c r="U12" s="83" t="s">
        <v>136</v>
      </c>
      <c r="V12" s="50" t="str">
        <f>VLOOKUP(D12,工资明细表!C:C,1,FALSE)</f>
        <v>孙岩成</v>
      </c>
    </row>
    <row r="13" spans="1:22" ht="27" customHeight="1" x14ac:dyDescent="0.25">
      <c r="A13" s="54">
        <v>10</v>
      </c>
      <c r="B13" s="55">
        <v>101430</v>
      </c>
      <c r="C13" s="56" t="s">
        <v>129</v>
      </c>
      <c r="D13" s="57" t="s">
        <v>71</v>
      </c>
      <c r="E13" s="56" t="s">
        <v>72</v>
      </c>
      <c r="F13" s="56" t="s">
        <v>73</v>
      </c>
      <c r="G13" s="58">
        <v>44866</v>
      </c>
      <c r="H13" s="59" t="s">
        <v>39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80" t="s">
        <v>137</v>
      </c>
      <c r="V13" s="50" t="str">
        <f>VLOOKUP(D13,工资明细表!C:C,1,FALSE)</f>
        <v>梅佳策</v>
      </c>
    </row>
    <row r="14" spans="1:22" ht="27" customHeight="1" x14ac:dyDescent="0.25">
      <c r="A14" s="54">
        <v>11</v>
      </c>
      <c r="B14" s="55">
        <v>101529</v>
      </c>
      <c r="C14" s="56" t="s">
        <v>129</v>
      </c>
      <c r="D14" s="57" t="s">
        <v>74</v>
      </c>
      <c r="E14" s="56" t="s">
        <v>72</v>
      </c>
      <c r="F14" s="56" t="s">
        <v>73</v>
      </c>
      <c r="G14" s="58">
        <v>45159</v>
      </c>
      <c r="H14" s="59" t="s">
        <v>39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80" t="s">
        <v>138</v>
      </c>
      <c r="V14" s="50" t="str">
        <f>VLOOKUP(D14,工资明细表!C:C,1,FALSE)</f>
        <v>董大蔚</v>
      </c>
    </row>
    <row r="15" spans="1:22" ht="27" customHeight="1" x14ac:dyDescent="0.25">
      <c r="A15" s="54">
        <v>12</v>
      </c>
      <c r="B15" s="61">
        <v>101532</v>
      </c>
      <c r="C15" s="62" t="s">
        <v>129</v>
      </c>
      <c r="D15" s="63" t="s">
        <v>100</v>
      </c>
      <c r="E15" s="62" t="s">
        <v>72</v>
      </c>
      <c r="F15" s="62" t="s">
        <v>73</v>
      </c>
      <c r="G15" s="64">
        <v>45167</v>
      </c>
      <c r="H15" s="65" t="s">
        <v>139</v>
      </c>
      <c r="I15" s="76"/>
      <c r="J15" s="76"/>
      <c r="K15" s="76"/>
      <c r="L15" s="76"/>
      <c r="M15" s="76"/>
      <c r="N15" s="76"/>
      <c r="O15" s="76"/>
      <c r="P15" s="76"/>
      <c r="Q15" s="76"/>
      <c r="R15" s="76" t="s">
        <v>140</v>
      </c>
      <c r="S15" s="76"/>
      <c r="T15" s="76"/>
      <c r="U15" s="76"/>
      <c r="V15" s="50" t="e">
        <f>VLOOKUP(D15,工资明细表!C:C,1,FALSE)</f>
        <v>#N/A</v>
      </c>
    </row>
    <row r="16" spans="1:22" ht="27" customHeight="1" x14ac:dyDescent="0.25">
      <c r="A16" s="54">
        <v>13</v>
      </c>
      <c r="B16" s="55">
        <v>101530</v>
      </c>
      <c r="C16" s="56" t="s">
        <v>129</v>
      </c>
      <c r="D16" s="57" t="s">
        <v>66</v>
      </c>
      <c r="E16" s="56" t="s">
        <v>141</v>
      </c>
      <c r="F16" s="56" t="s">
        <v>73</v>
      </c>
      <c r="G16" s="58">
        <v>45162</v>
      </c>
      <c r="H16" s="59" t="s">
        <v>39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84" t="s">
        <v>142</v>
      </c>
      <c r="T16" s="75"/>
      <c r="U16" s="79"/>
      <c r="V16" s="50" t="str">
        <f>VLOOKUP(D16,工资明细表!C:C,1,FALSE)</f>
        <v>高李杨</v>
      </c>
    </row>
    <row r="17" spans="1:24" ht="27" customHeight="1" x14ac:dyDescent="0.25">
      <c r="A17" s="54">
        <v>14</v>
      </c>
      <c r="B17" s="55">
        <v>101327</v>
      </c>
      <c r="C17" s="56" t="s">
        <v>129</v>
      </c>
      <c r="D17" s="56" t="s">
        <v>40</v>
      </c>
      <c r="E17" s="56" t="s">
        <v>37</v>
      </c>
      <c r="F17" s="56" t="s">
        <v>38</v>
      </c>
      <c r="G17" s="58">
        <v>44566</v>
      </c>
      <c r="H17" s="59" t="s">
        <v>39</v>
      </c>
      <c r="I17" s="75">
        <v>40</v>
      </c>
      <c r="J17" s="75"/>
      <c r="K17" s="75"/>
      <c r="L17" s="75"/>
      <c r="M17" s="75">
        <f>140/60/8</f>
        <v>0.29166666666666702</v>
      </c>
      <c r="N17" s="75"/>
      <c r="O17" s="75"/>
      <c r="P17" s="75"/>
      <c r="Q17" s="75"/>
      <c r="R17" s="75"/>
      <c r="S17" s="75"/>
      <c r="T17" s="75"/>
      <c r="U17" s="79"/>
      <c r="V17" s="50" t="str">
        <f>VLOOKUP(D17,工资明细表!C:C,1,FALSE)</f>
        <v>齐战军</v>
      </c>
    </row>
    <row r="18" spans="1:24" ht="27" customHeight="1" x14ac:dyDescent="0.25">
      <c r="A18" s="54">
        <v>15</v>
      </c>
      <c r="B18" s="55">
        <v>101401</v>
      </c>
      <c r="C18" s="56" t="s">
        <v>129</v>
      </c>
      <c r="D18" s="56" t="s">
        <v>36</v>
      </c>
      <c r="E18" s="56" t="s">
        <v>37</v>
      </c>
      <c r="F18" s="56" t="s">
        <v>41</v>
      </c>
      <c r="G18" s="58">
        <v>44795</v>
      </c>
      <c r="H18" s="59" t="s">
        <v>39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80"/>
      <c r="V18" s="50" t="str">
        <f>VLOOKUP(D18,工资明细表!C:C,1,FALSE)</f>
        <v>欧锡玉</v>
      </c>
      <c r="X18" s="85"/>
    </row>
    <row r="19" spans="1:24" ht="27" customHeight="1" x14ac:dyDescent="0.25">
      <c r="A19" s="54">
        <v>16</v>
      </c>
      <c r="B19" s="55">
        <v>101510</v>
      </c>
      <c r="C19" s="56" t="s">
        <v>129</v>
      </c>
      <c r="D19" s="56" t="s">
        <v>42</v>
      </c>
      <c r="E19" s="56" t="s">
        <v>37</v>
      </c>
      <c r="F19" s="56" t="s">
        <v>38</v>
      </c>
      <c r="G19" s="58">
        <v>45121</v>
      </c>
      <c r="H19" s="59" t="s">
        <v>39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82" t="s">
        <v>143</v>
      </c>
      <c r="V19" s="50" t="str">
        <f>VLOOKUP(D19,工资明细表!C:C,1,FALSE)</f>
        <v>胡彪</v>
      </c>
    </row>
    <row r="20" spans="1:24" ht="46.8" x14ac:dyDescent="0.25">
      <c r="A20" s="54">
        <v>17</v>
      </c>
      <c r="B20" s="55">
        <v>101293</v>
      </c>
      <c r="C20" s="56" t="s">
        <v>129</v>
      </c>
      <c r="D20" s="56" t="s">
        <v>52</v>
      </c>
      <c r="E20" s="56" t="s">
        <v>53</v>
      </c>
      <c r="F20" s="69" t="s">
        <v>144</v>
      </c>
      <c r="G20" s="58">
        <v>44454</v>
      </c>
      <c r="H20" s="59" t="s">
        <v>39</v>
      </c>
      <c r="I20" s="75">
        <v>44</v>
      </c>
      <c r="J20" s="75"/>
      <c r="K20" s="75"/>
      <c r="L20" s="75"/>
      <c r="M20" s="75">
        <v>18</v>
      </c>
      <c r="N20" s="75"/>
      <c r="O20" s="75"/>
      <c r="P20" s="75"/>
      <c r="Q20" s="75"/>
      <c r="R20" s="75"/>
      <c r="S20" s="84" t="s">
        <v>145</v>
      </c>
      <c r="T20" s="75"/>
      <c r="U20" s="80" t="s">
        <v>146</v>
      </c>
      <c r="V20" s="50" t="str">
        <f>VLOOKUP(D20,工资明细表!C:C,1,FALSE)</f>
        <v>王仁刚</v>
      </c>
    </row>
    <row r="21" spans="1:24" ht="46.8" x14ac:dyDescent="0.25">
      <c r="A21" s="54">
        <v>18</v>
      </c>
      <c r="B21" s="55">
        <v>101541</v>
      </c>
      <c r="C21" s="56" t="s">
        <v>129</v>
      </c>
      <c r="D21" s="56" t="s">
        <v>55</v>
      </c>
      <c r="E21" s="56" t="s">
        <v>53</v>
      </c>
      <c r="F21" s="69" t="s">
        <v>147</v>
      </c>
      <c r="G21" s="58">
        <v>45183</v>
      </c>
      <c r="H21" s="59" t="s">
        <v>39</v>
      </c>
      <c r="I21" s="75">
        <v>18</v>
      </c>
      <c r="J21" s="75"/>
      <c r="K21" s="75"/>
      <c r="L21" s="75"/>
      <c r="M21" s="75"/>
      <c r="N21" s="75"/>
      <c r="O21" s="75"/>
      <c r="P21" s="75"/>
      <c r="Q21" s="75"/>
      <c r="R21" s="75"/>
      <c r="S21" s="84" t="s">
        <v>148</v>
      </c>
      <c r="T21" s="75"/>
      <c r="U21" s="80" t="s">
        <v>149</v>
      </c>
      <c r="V21" s="50" t="str">
        <f>VLOOKUP(D21,工资明细表!C:C,1,FALSE)</f>
        <v>张俊</v>
      </c>
    </row>
    <row r="22" spans="1:24" ht="46.8" x14ac:dyDescent="0.25">
      <c r="A22" s="54">
        <v>19</v>
      </c>
      <c r="B22" s="55">
        <v>101267</v>
      </c>
      <c r="C22" s="56" t="s">
        <v>129</v>
      </c>
      <c r="D22" s="56" t="s">
        <v>59</v>
      </c>
      <c r="E22" s="56" t="s">
        <v>53</v>
      </c>
      <c r="F22" s="56" t="s">
        <v>60</v>
      </c>
      <c r="G22" s="58">
        <v>44345</v>
      </c>
      <c r="H22" s="59" t="s">
        <v>39</v>
      </c>
      <c r="I22" s="75">
        <v>2</v>
      </c>
      <c r="J22" s="75"/>
      <c r="K22" s="75"/>
      <c r="L22" s="75"/>
      <c r="M22" s="75"/>
      <c r="N22" s="75"/>
      <c r="O22" s="75"/>
      <c r="P22" s="75"/>
      <c r="Q22" s="75"/>
      <c r="R22" s="75"/>
      <c r="S22" s="75" t="s">
        <v>150</v>
      </c>
      <c r="T22" s="75"/>
      <c r="U22" s="80" t="s">
        <v>151</v>
      </c>
      <c r="V22" s="50" t="str">
        <f>VLOOKUP(D22,工资明细表!C:C,1,FALSE)</f>
        <v>刘国章</v>
      </c>
    </row>
    <row r="23" spans="1:24" s="51" customFormat="1" ht="46.8" x14ac:dyDescent="0.25">
      <c r="A23" s="54">
        <v>20</v>
      </c>
      <c r="B23" s="55">
        <v>101373</v>
      </c>
      <c r="C23" s="56" t="s">
        <v>129</v>
      </c>
      <c r="D23" s="56" t="s">
        <v>57</v>
      </c>
      <c r="E23" s="56" t="s">
        <v>53</v>
      </c>
      <c r="F23" s="56" t="s">
        <v>58</v>
      </c>
      <c r="G23" s="58">
        <v>44704</v>
      </c>
      <c r="H23" s="59" t="s">
        <v>39</v>
      </c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 t="s">
        <v>152</v>
      </c>
      <c r="T23" s="75"/>
      <c r="U23" s="80" t="s">
        <v>153</v>
      </c>
      <c r="V23" s="50" t="str">
        <f>VLOOKUP(D23,工资明细表!C:C,1,FALSE)</f>
        <v>徐舟</v>
      </c>
    </row>
    <row r="24" spans="1:24" ht="46.8" x14ac:dyDescent="0.25">
      <c r="A24" s="54">
        <v>21</v>
      </c>
      <c r="B24" s="55">
        <v>101518</v>
      </c>
      <c r="C24" s="56" t="s">
        <v>129</v>
      </c>
      <c r="D24" s="56" t="s">
        <v>65</v>
      </c>
      <c r="E24" s="56" t="s">
        <v>53</v>
      </c>
      <c r="F24" s="56" t="s">
        <v>58</v>
      </c>
      <c r="G24" s="58">
        <v>45139</v>
      </c>
      <c r="H24" s="59" t="s">
        <v>39</v>
      </c>
      <c r="I24" s="75">
        <v>8</v>
      </c>
      <c r="J24" s="75"/>
      <c r="K24" s="75"/>
      <c r="L24" s="75"/>
      <c r="M24" s="75"/>
      <c r="N24" s="75"/>
      <c r="O24" s="75"/>
      <c r="P24" s="75"/>
      <c r="Q24" s="75"/>
      <c r="R24" s="75"/>
      <c r="S24" s="75" t="s">
        <v>154</v>
      </c>
      <c r="T24" s="75"/>
      <c r="U24" s="80" t="s">
        <v>155</v>
      </c>
      <c r="V24" s="50" t="str">
        <f>VLOOKUP(D24,工资明细表!C:C,1,FALSE)</f>
        <v>刘俊</v>
      </c>
    </row>
    <row r="25" spans="1:24" ht="27" customHeight="1" x14ac:dyDescent="0.25">
      <c r="A25" s="54">
        <v>22</v>
      </c>
      <c r="B25" s="55">
        <v>101536</v>
      </c>
      <c r="C25" s="56" t="s">
        <v>129</v>
      </c>
      <c r="D25" s="56" t="s">
        <v>61</v>
      </c>
      <c r="E25" s="56" t="s">
        <v>53</v>
      </c>
      <c r="F25" s="56" t="s">
        <v>60</v>
      </c>
      <c r="G25" s="58">
        <v>45173</v>
      </c>
      <c r="H25" s="59" t="s">
        <v>39</v>
      </c>
      <c r="I25" s="75">
        <v>33</v>
      </c>
      <c r="J25" s="75"/>
      <c r="K25" s="75"/>
      <c r="L25" s="75"/>
      <c r="M25" s="75">
        <f>220/60/8</f>
        <v>0.45833333333333298</v>
      </c>
      <c r="N25" s="75"/>
      <c r="O25" s="75"/>
      <c r="P25" s="75"/>
      <c r="Q25" s="75"/>
      <c r="R25" s="75"/>
      <c r="S25" s="75" t="s">
        <v>156</v>
      </c>
      <c r="T25" s="75"/>
      <c r="U25" s="80" t="s">
        <v>157</v>
      </c>
      <c r="V25" s="50" t="str">
        <f>VLOOKUP(D25,工资明细表!C:C,1,FALSE)</f>
        <v>刘海峰</v>
      </c>
    </row>
    <row r="26" spans="1:24" ht="27" customHeight="1" x14ac:dyDescent="0.25">
      <c r="A26" s="60">
        <v>23</v>
      </c>
      <c r="B26" s="61">
        <v>101545</v>
      </c>
      <c r="C26" s="62" t="s">
        <v>129</v>
      </c>
      <c r="D26" s="62" t="s">
        <v>103</v>
      </c>
      <c r="E26" s="62" t="s">
        <v>53</v>
      </c>
      <c r="F26" s="62" t="s">
        <v>60</v>
      </c>
      <c r="G26" s="64">
        <v>45190</v>
      </c>
      <c r="H26" s="65" t="s">
        <v>158</v>
      </c>
      <c r="I26" s="76">
        <v>7</v>
      </c>
      <c r="J26" s="76"/>
      <c r="K26" s="76"/>
      <c r="L26" s="76"/>
      <c r="M26" s="76"/>
      <c r="N26" s="76"/>
      <c r="O26" s="76"/>
      <c r="P26" s="76"/>
      <c r="Q26" s="76"/>
      <c r="R26" s="76" t="s">
        <v>159</v>
      </c>
      <c r="S26" s="76"/>
      <c r="T26" s="76"/>
      <c r="U26" s="81"/>
      <c r="V26" s="50" t="e">
        <f>VLOOKUP(D26,工资明细表!C:C,1,FALSE)</f>
        <v>#N/A</v>
      </c>
    </row>
    <row r="27" spans="1:24" ht="62.4" x14ac:dyDescent="0.25">
      <c r="A27" s="54">
        <v>24</v>
      </c>
      <c r="B27" s="55">
        <v>101546</v>
      </c>
      <c r="C27" s="56" t="s">
        <v>129</v>
      </c>
      <c r="D27" s="57" t="s">
        <v>63</v>
      </c>
      <c r="E27" s="56" t="s">
        <v>53</v>
      </c>
      <c r="F27" s="56" t="s">
        <v>60</v>
      </c>
      <c r="G27" s="58">
        <v>45194</v>
      </c>
      <c r="H27" s="59" t="s">
        <v>39</v>
      </c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80"/>
      <c r="V27" s="50" t="str">
        <f>VLOOKUP(D27,工资明细表!C:C,1,FALSE)</f>
        <v>LOBOA MENDOZA BRAYAN</v>
      </c>
    </row>
    <row r="28" spans="1:24" ht="32.4" x14ac:dyDescent="0.25">
      <c r="A28" s="60">
        <v>25</v>
      </c>
      <c r="B28" s="61">
        <v>101537</v>
      </c>
      <c r="C28" s="62" t="s">
        <v>129</v>
      </c>
      <c r="D28" s="63" t="s">
        <v>105</v>
      </c>
      <c r="E28" s="62" t="s">
        <v>53</v>
      </c>
      <c r="F28" s="62" t="s">
        <v>60</v>
      </c>
      <c r="G28" s="64">
        <v>45173</v>
      </c>
      <c r="H28" s="65" t="s">
        <v>160</v>
      </c>
      <c r="I28" s="76"/>
      <c r="J28" s="76"/>
      <c r="K28" s="76"/>
      <c r="L28" s="76"/>
      <c r="M28" s="76"/>
      <c r="N28" s="76"/>
      <c r="O28" s="76"/>
      <c r="P28" s="76"/>
      <c r="Q28" s="76"/>
      <c r="R28" s="81" t="s">
        <v>161</v>
      </c>
      <c r="S28" s="76"/>
      <c r="T28" s="76"/>
      <c r="U28" s="81"/>
      <c r="V28" s="50" t="e">
        <f>VLOOKUP(D28,工资明细表!C:C,1,FALSE)</f>
        <v>#N/A</v>
      </c>
    </row>
    <row r="29" spans="1:24" ht="15.6" x14ac:dyDescent="0.25">
      <c r="A29" s="54">
        <v>26</v>
      </c>
      <c r="B29" s="55">
        <v>101501</v>
      </c>
      <c r="C29" s="56" t="s">
        <v>129</v>
      </c>
      <c r="D29" s="56" t="s">
        <v>91</v>
      </c>
      <c r="E29" s="56" t="s">
        <v>85</v>
      </c>
      <c r="F29" s="56" t="s">
        <v>162</v>
      </c>
      <c r="G29" s="58">
        <v>45103</v>
      </c>
      <c r="H29" s="59" t="s">
        <v>39</v>
      </c>
      <c r="I29" s="75"/>
      <c r="J29" s="75"/>
      <c r="K29" s="75"/>
      <c r="L29" s="75"/>
      <c r="M29" s="75"/>
      <c r="N29" s="75"/>
      <c r="O29" s="75"/>
      <c r="P29" s="75"/>
      <c r="Q29" s="75"/>
      <c r="R29" s="75" t="s">
        <v>163</v>
      </c>
      <c r="S29" s="75"/>
      <c r="T29" s="75"/>
      <c r="U29" s="80"/>
      <c r="V29" s="50" t="str">
        <f>VLOOKUP(D29,工资明细表!C:C,1,FALSE)</f>
        <v>陈小九</v>
      </c>
    </row>
    <row r="30" spans="1:24" ht="15.6" x14ac:dyDescent="0.25">
      <c r="A30" s="54">
        <v>27</v>
      </c>
      <c r="B30" s="55">
        <v>101405</v>
      </c>
      <c r="C30" s="56" t="s">
        <v>129</v>
      </c>
      <c r="D30" s="57" t="s">
        <v>89</v>
      </c>
      <c r="E30" s="56" t="s">
        <v>85</v>
      </c>
      <c r="F30" s="56" t="s">
        <v>164</v>
      </c>
      <c r="G30" s="58">
        <v>44803</v>
      </c>
      <c r="H30" s="59" t="s">
        <v>39</v>
      </c>
      <c r="I30" s="75"/>
      <c r="J30" s="75"/>
      <c r="K30" s="75"/>
      <c r="L30" s="75"/>
      <c r="M30" s="75"/>
      <c r="N30" s="75"/>
      <c r="O30" s="75"/>
      <c r="P30" s="75"/>
      <c r="Q30" s="75"/>
      <c r="R30" s="79" t="s">
        <v>165</v>
      </c>
      <c r="S30" s="75"/>
      <c r="T30" s="75"/>
      <c r="U30" s="79"/>
      <c r="V30" s="50" t="str">
        <f>VLOOKUP(D30,工资明细表!C:C,1,FALSE)</f>
        <v>姚雄</v>
      </c>
    </row>
    <row r="31" spans="1:24" ht="46.8" x14ac:dyDescent="0.25">
      <c r="A31" s="70">
        <v>1</v>
      </c>
      <c r="B31" s="70">
        <v>101117</v>
      </c>
      <c r="C31" s="71" t="s">
        <v>166</v>
      </c>
      <c r="D31" s="71" t="s">
        <v>84</v>
      </c>
      <c r="E31" s="71" t="s">
        <v>85</v>
      </c>
      <c r="F31" s="71" t="s">
        <v>167</v>
      </c>
      <c r="G31" s="72">
        <v>43607</v>
      </c>
      <c r="H31" s="73" t="s">
        <v>39</v>
      </c>
      <c r="I31" s="75">
        <v>43</v>
      </c>
      <c r="J31" s="75"/>
      <c r="K31" s="75"/>
      <c r="L31" s="75"/>
      <c r="M31" s="75">
        <f>2.5/8</f>
        <v>0.3125</v>
      </c>
      <c r="N31" s="75"/>
      <c r="O31" s="75"/>
      <c r="P31" s="75"/>
      <c r="Q31" s="75"/>
      <c r="R31" s="75"/>
      <c r="S31" s="75"/>
      <c r="T31" s="75"/>
      <c r="U31" s="82" t="s">
        <v>168</v>
      </c>
      <c r="V31" s="50" t="str">
        <f>VLOOKUP(D31,工资明细表!C:C,1,FALSE)</f>
        <v>林凯</v>
      </c>
    </row>
    <row r="32" spans="1:24" ht="15.6" x14ac:dyDescent="0.25">
      <c r="A32" s="74">
        <v>2</v>
      </c>
      <c r="B32" s="74">
        <v>101379</v>
      </c>
      <c r="C32" s="71" t="s">
        <v>166</v>
      </c>
      <c r="D32" s="71" t="s">
        <v>92</v>
      </c>
      <c r="E32" s="71" t="s">
        <v>85</v>
      </c>
      <c r="F32" s="71" t="s">
        <v>169</v>
      </c>
      <c r="G32" s="72">
        <v>44718</v>
      </c>
      <c r="H32" s="73" t="s">
        <v>39</v>
      </c>
      <c r="I32" s="75"/>
      <c r="J32" s="75"/>
      <c r="K32" s="75"/>
      <c r="L32" s="75"/>
      <c r="M32" s="75"/>
      <c r="N32" s="75"/>
      <c r="O32" s="75"/>
      <c r="P32" s="75"/>
      <c r="Q32" s="75"/>
      <c r="R32" s="75" t="s">
        <v>170</v>
      </c>
      <c r="S32" s="86"/>
      <c r="T32" s="86"/>
      <c r="U32" s="80"/>
      <c r="V32" s="50" t="str">
        <f>VLOOKUP(D32,工资明细表!C:C,1,FALSE)</f>
        <v>吴鑫奇</v>
      </c>
    </row>
    <row r="33" spans="6:8" ht="14.4" x14ac:dyDescent="0.25">
      <c r="F33"/>
      <c r="G33"/>
      <c r="H33"/>
    </row>
    <row r="34" spans="6:8" ht="14.4" x14ac:dyDescent="0.25">
      <c r="F34"/>
      <c r="G34"/>
      <c r="H34"/>
    </row>
    <row r="35" spans="6:8" ht="14.4" x14ac:dyDescent="0.25">
      <c r="F35"/>
      <c r="G35"/>
      <c r="H35"/>
    </row>
    <row r="36" spans="6:8" ht="14.4" x14ac:dyDescent="0.25">
      <c r="F36"/>
      <c r="G36"/>
      <c r="H36"/>
    </row>
    <row r="37" spans="6:8" ht="14.4" x14ac:dyDescent="0.25">
      <c r="F37"/>
      <c r="G37"/>
      <c r="H37"/>
    </row>
  </sheetData>
  <sheetProtection formatCells="0" insertHyperlinks="0" autoFilter="0"/>
  <mergeCells count="20">
    <mergeCell ref="O2:O3"/>
    <mergeCell ref="P2:P3"/>
    <mergeCell ref="Q2:Q3"/>
    <mergeCell ref="R2:R3"/>
    <mergeCell ref="A1:U1"/>
    <mergeCell ref="S2:T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51" type="noConversion"/>
  <conditionalFormatting sqref="AQ5:AR26">
    <cfRule type="cellIs" dxfId="28" priority="5" operator="greaterThan">
      <formula>0</formula>
    </cfRule>
  </conditionalFormatting>
  <conditionalFormatting sqref="AT5:AX26">
    <cfRule type="cellIs" dxfId="27" priority="4" operator="greaterThan">
      <formula>0</formula>
    </cfRule>
  </conditionalFormatting>
  <pageMargins left="7.7777777777777807E-2" right="0.74791666666666701" top="7.7777777777777807E-2" bottom="3.8888888888888903E-2" header="0.51180555555555596" footer="0.51180555555555596"/>
  <pageSetup paperSize="9" scale="95" orientation="landscape" verticalDpi="20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12"/>
  <sheetViews>
    <sheetView workbookViewId="0">
      <selection activeCell="E10" sqref="E10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5" style="2" customWidth="1"/>
    <col min="4" max="4" width="22.33203125" style="2" customWidth="1"/>
    <col min="5" max="5" width="13.88671875" style="3" customWidth="1"/>
    <col min="6" max="16384" width="9" style="46"/>
  </cols>
  <sheetData>
    <row r="1" spans="1:5" ht="27" customHeight="1" x14ac:dyDescent="0.25">
      <c r="A1" s="190" t="s">
        <v>171</v>
      </c>
      <c r="B1" s="191"/>
      <c r="C1" s="190"/>
      <c r="D1" s="190"/>
      <c r="E1" s="192"/>
    </row>
    <row r="2" spans="1:5" s="47" customFormat="1" ht="27" customHeight="1" x14ac:dyDescent="0.25">
      <c r="A2" s="7" t="s">
        <v>172</v>
      </c>
      <c r="B2" s="7" t="s">
        <v>10</v>
      </c>
      <c r="C2" s="7" t="s">
        <v>173</v>
      </c>
      <c r="D2" s="7" t="s">
        <v>174</v>
      </c>
      <c r="E2" s="48" t="s">
        <v>175</v>
      </c>
    </row>
    <row r="3" spans="1:5" s="47" customFormat="1" ht="16.05" customHeight="1" x14ac:dyDescent="0.25">
      <c r="A3" s="8">
        <v>1</v>
      </c>
      <c r="B3" s="8" t="s">
        <v>57</v>
      </c>
      <c r="C3" s="8" t="s">
        <v>58</v>
      </c>
      <c r="D3" s="8" t="s">
        <v>176</v>
      </c>
      <c r="E3" s="11">
        <v>545.78285714285698</v>
      </c>
    </row>
    <row r="4" spans="1:5" s="47" customFormat="1" ht="16.05" customHeight="1" x14ac:dyDescent="0.25">
      <c r="A4" s="8">
        <v>2</v>
      </c>
      <c r="B4" s="8" t="s">
        <v>59</v>
      </c>
      <c r="C4" s="8" t="s">
        <v>60</v>
      </c>
      <c r="D4" s="8" t="s">
        <v>176</v>
      </c>
      <c r="E4" s="11">
        <v>353.89714285714302</v>
      </c>
    </row>
    <row r="5" spans="1:5" s="47" customFormat="1" ht="16.05" customHeight="1" x14ac:dyDescent="0.25">
      <c r="A5" s="8">
        <v>3</v>
      </c>
      <c r="B5" s="8" t="s">
        <v>65</v>
      </c>
      <c r="C5" s="8" t="s">
        <v>62</v>
      </c>
      <c r="D5" s="8" t="s">
        <v>176</v>
      </c>
      <c r="E5" s="11">
        <v>567.54</v>
      </c>
    </row>
    <row r="6" spans="1:5" s="47" customFormat="1" ht="16.05" customHeight="1" x14ac:dyDescent="0.25">
      <c r="A6" s="8">
        <v>4</v>
      </c>
      <c r="B6" s="8" t="s">
        <v>61</v>
      </c>
      <c r="C6" s="8" t="s">
        <v>62</v>
      </c>
      <c r="D6" s="8" t="s">
        <v>176</v>
      </c>
      <c r="E6" s="11">
        <v>272.154285714286</v>
      </c>
    </row>
    <row r="7" spans="1:5" s="47" customFormat="1" ht="16.05" customHeight="1" x14ac:dyDescent="0.25">
      <c r="A7" s="8">
        <v>5</v>
      </c>
      <c r="B7" s="8" t="s">
        <v>55</v>
      </c>
      <c r="C7" s="8" t="s">
        <v>56</v>
      </c>
      <c r="D7" s="8" t="s">
        <v>176</v>
      </c>
      <c r="E7" s="11">
        <v>198.78563265306099</v>
      </c>
    </row>
    <row r="8" spans="1:5" s="47" customFormat="1" ht="16.05" customHeight="1" x14ac:dyDescent="0.25">
      <c r="A8" s="8">
        <v>6</v>
      </c>
      <c r="B8" s="8"/>
      <c r="C8" s="8"/>
      <c r="D8" s="8"/>
      <c r="E8" s="10"/>
    </row>
    <row r="9" spans="1:5" s="47" customFormat="1" ht="16.05" customHeight="1" x14ac:dyDescent="0.25">
      <c r="A9" s="8">
        <v>7</v>
      </c>
      <c r="B9" s="8"/>
      <c r="C9" s="8"/>
      <c r="D9" s="8"/>
      <c r="E9" s="10"/>
    </row>
    <row r="10" spans="1:5" s="47" customFormat="1" ht="24" customHeight="1" x14ac:dyDescent="0.25">
      <c r="A10" s="191" t="s">
        <v>98</v>
      </c>
      <c r="B10" s="191"/>
      <c r="C10" s="191"/>
      <c r="D10" s="191"/>
      <c r="E10" s="48">
        <f>SUM(E3:E9)</f>
        <v>1938.15991836735</v>
      </c>
    </row>
    <row r="11" spans="1:5" s="47" customFormat="1" ht="27" customHeight="1" x14ac:dyDescent="0.25">
      <c r="A11" s="193"/>
      <c r="B11" s="193"/>
      <c r="C11" s="193"/>
      <c r="D11" s="193"/>
      <c r="E11" s="194"/>
    </row>
    <row r="12" spans="1:5" s="47" customFormat="1" ht="27" customHeight="1" x14ac:dyDescent="0.25">
      <c r="A12" s="1"/>
      <c r="C12" s="1"/>
      <c r="D12" s="1"/>
      <c r="E12" s="49"/>
    </row>
  </sheetData>
  <sheetProtection formatCells="0" insertHyperlinks="0" autoFilter="0"/>
  <mergeCells count="3">
    <mergeCell ref="A1:E1"/>
    <mergeCell ref="A10:D10"/>
    <mergeCell ref="A11:E11"/>
  </mergeCells>
  <phoneticPr fontId="51" type="noConversion"/>
  <conditionalFormatting sqref="E3:E7">
    <cfRule type="containsText" dxfId="26" priority="8" operator="containsText" text="离职">
      <formula>NOT(ISERROR(SEARCH("离职",E3)))</formula>
    </cfRule>
  </conditionalFormatting>
  <conditionalFormatting sqref="F3">
    <cfRule type="duplicateValues" dxfId="25" priority="34"/>
    <cfRule type="duplicateValues" dxfId="24" priority="38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H21"/>
  <sheetViews>
    <sheetView workbookViewId="0">
      <selection activeCell="H4" sqref="H4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0.77734375" style="2" customWidth="1"/>
    <col min="4" max="4" width="49.33203125" style="37" customWidth="1"/>
    <col min="5" max="5" width="13.88671875" style="3" customWidth="1"/>
    <col min="6" max="16384" width="9" style="2"/>
  </cols>
  <sheetData>
    <row r="1" spans="1:8" ht="27" customHeight="1" x14ac:dyDescent="0.25">
      <c r="A1" s="190" t="s">
        <v>177</v>
      </c>
      <c r="B1" s="191"/>
      <c r="C1" s="190"/>
      <c r="D1" s="195"/>
      <c r="E1" s="192"/>
    </row>
    <row r="2" spans="1:8" ht="27" customHeight="1" x14ac:dyDescent="0.25">
      <c r="A2" s="4" t="s">
        <v>172</v>
      </c>
      <c r="B2" s="7" t="s">
        <v>10</v>
      </c>
      <c r="C2" s="4" t="s">
        <v>173</v>
      </c>
      <c r="D2" s="16" t="s">
        <v>178</v>
      </c>
      <c r="E2" s="14" t="s">
        <v>179</v>
      </c>
      <c r="G2" s="17" t="s">
        <v>15</v>
      </c>
      <c r="H2" s="17" t="s">
        <v>180</v>
      </c>
    </row>
    <row r="3" spans="1:8" s="1" customFormat="1" ht="22.05" customHeight="1" x14ac:dyDescent="0.25">
      <c r="A3" s="8">
        <v>1</v>
      </c>
      <c r="B3" s="38" t="s">
        <v>57</v>
      </c>
      <c r="C3" s="9" t="s">
        <v>58</v>
      </c>
      <c r="D3" s="11" t="s">
        <v>181</v>
      </c>
      <c r="E3" s="10">
        <f t="shared" ref="E3:E9" si="0">G3/30*H3</f>
        <v>11.6666666666667</v>
      </c>
      <c r="G3" s="8">
        <f>VLOOKUP(B3,工资明细表!C:H,6,FALSE)</f>
        <v>1400</v>
      </c>
      <c r="H3" s="17">
        <f>2/8</f>
        <v>0.25</v>
      </c>
    </row>
    <row r="4" spans="1:8" s="1" customFormat="1" ht="22.05" customHeight="1" x14ac:dyDescent="0.25">
      <c r="A4" s="8">
        <v>2</v>
      </c>
      <c r="B4" s="38" t="s">
        <v>59</v>
      </c>
      <c r="C4" s="9" t="s">
        <v>60</v>
      </c>
      <c r="D4" s="11" t="s">
        <v>181</v>
      </c>
      <c r="E4" s="10">
        <f t="shared" si="0"/>
        <v>175</v>
      </c>
      <c r="F4" s="39"/>
      <c r="G4" s="8">
        <f>VLOOKUP(B4,工资明细表!C:H,6,FALSE)</f>
        <v>1400</v>
      </c>
      <c r="H4" s="17">
        <f>30/8</f>
        <v>3.75</v>
      </c>
    </row>
    <row r="5" spans="1:8" s="1" customFormat="1" ht="22.05" customHeight="1" x14ac:dyDescent="0.25">
      <c r="A5" s="8">
        <v>3</v>
      </c>
      <c r="B5" s="38" t="s">
        <v>65</v>
      </c>
      <c r="C5" s="9" t="s">
        <v>62</v>
      </c>
      <c r="D5" s="11" t="s">
        <v>181</v>
      </c>
      <c r="E5" s="10">
        <f t="shared" si="0"/>
        <v>58.3333333333333</v>
      </c>
      <c r="G5" s="8">
        <f>VLOOKUP(B5,工资明细表!C:H,6,FALSE)</f>
        <v>1400</v>
      </c>
      <c r="H5" s="17">
        <f>10/8</f>
        <v>1.25</v>
      </c>
    </row>
    <row r="6" spans="1:8" s="1" customFormat="1" ht="22.05" customHeight="1" x14ac:dyDescent="0.25">
      <c r="A6" s="8">
        <v>4</v>
      </c>
      <c r="B6" s="38" t="s">
        <v>66</v>
      </c>
      <c r="C6" s="9" t="s">
        <v>67</v>
      </c>
      <c r="D6" s="11" t="s">
        <v>181</v>
      </c>
      <c r="E6" s="10">
        <f t="shared" si="0"/>
        <v>105</v>
      </c>
      <c r="G6" s="8">
        <f>VLOOKUP(B6,工资明细表!C:H,6,FALSE)</f>
        <v>1400</v>
      </c>
      <c r="H6" s="17">
        <f>18/8</f>
        <v>2.25</v>
      </c>
    </row>
    <row r="7" spans="1:8" s="1" customFormat="1" ht="22.05" customHeight="1" x14ac:dyDescent="0.25">
      <c r="A7" s="8">
        <v>5</v>
      </c>
      <c r="B7" s="38" t="s">
        <v>61</v>
      </c>
      <c r="C7" s="9" t="s">
        <v>62</v>
      </c>
      <c r="D7" s="11" t="s">
        <v>181</v>
      </c>
      <c r="E7" s="10">
        <f t="shared" si="0"/>
        <v>11.6666666666667</v>
      </c>
      <c r="G7" s="8">
        <f>VLOOKUP(B7,工资明细表!C:H,6,FALSE)</f>
        <v>1400</v>
      </c>
      <c r="H7" s="17">
        <f>2/8</f>
        <v>0.25</v>
      </c>
    </row>
    <row r="8" spans="1:8" s="1" customFormat="1" ht="22.05" customHeight="1" x14ac:dyDescent="0.25">
      <c r="A8" s="8">
        <v>6</v>
      </c>
      <c r="B8" s="40" t="s">
        <v>55</v>
      </c>
      <c r="C8" s="9" t="s">
        <v>56</v>
      </c>
      <c r="D8" s="11" t="s">
        <v>181</v>
      </c>
      <c r="E8" s="10">
        <f t="shared" si="0"/>
        <v>100</v>
      </c>
      <c r="G8" s="8">
        <f>VLOOKUP(B8,工资明细表!C:H,6,FALSE)</f>
        <v>1500</v>
      </c>
      <c r="H8" s="17">
        <f>16/8</f>
        <v>2</v>
      </c>
    </row>
    <row r="9" spans="1:8" s="1" customFormat="1" ht="22.05" customHeight="1" x14ac:dyDescent="0.25">
      <c r="A9" s="8">
        <v>7</v>
      </c>
      <c r="B9" s="40" t="s">
        <v>52</v>
      </c>
      <c r="C9" s="9" t="s">
        <v>54</v>
      </c>
      <c r="D9" s="11" t="s">
        <v>181</v>
      </c>
      <c r="E9" s="10">
        <f t="shared" si="0"/>
        <v>99.1666666666667</v>
      </c>
      <c r="G9" s="8">
        <f>VLOOKUP(B9,工资明细表!C:H,6,FALSE)</f>
        <v>1700</v>
      </c>
      <c r="H9" s="8">
        <f>14/8</f>
        <v>1.75</v>
      </c>
    </row>
    <row r="10" spans="1:8" ht="22.05" customHeight="1" x14ac:dyDescent="0.25">
      <c r="A10" s="8">
        <v>8</v>
      </c>
      <c r="B10" s="38" t="s">
        <v>57</v>
      </c>
      <c r="C10" s="9" t="s">
        <v>58</v>
      </c>
      <c r="D10" s="41" t="s">
        <v>182</v>
      </c>
      <c r="E10" s="10">
        <v>30</v>
      </c>
    </row>
    <row r="11" spans="1:8" ht="22.05" customHeight="1" x14ac:dyDescent="0.25">
      <c r="A11" s="8">
        <v>9</v>
      </c>
      <c r="B11" s="38" t="s">
        <v>59</v>
      </c>
      <c r="C11" s="9" t="s">
        <v>60</v>
      </c>
      <c r="D11" s="41" t="s">
        <v>182</v>
      </c>
      <c r="E11" s="10">
        <v>30</v>
      </c>
    </row>
    <row r="12" spans="1:8" ht="22.05" customHeight="1" x14ac:dyDescent="0.25">
      <c r="A12" s="8">
        <v>10</v>
      </c>
      <c r="B12" s="38" t="s">
        <v>65</v>
      </c>
      <c r="C12" s="9" t="s">
        <v>62</v>
      </c>
      <c r="D12" s="41" t="s">
        <v>182</v>
      </c>
      <c r="E12" s="10">
        <v>30</v>
      </c>
    </row>
    <row r="13" spans="1:8" ht="22.05" customHeight="1" x14ac:dyDescent="0.25">
      <c r="A13" s="8">
        <v>11</v>
      </c>
      <c r="B13" s="40" t="s">
        <v>55</v>
      </c>
      <c r="C13" s="9" t="s">
        <v>56</v>
      </c>
      <c r="D13" s="41" t="s">
        <v>182</v>
      </c>
      <c r="E13" s="10">
        <v>30</v>
      </c>
    </row>
    <row r="14" spans="1:8" ht="22.05" customHeight="1" x14ac:dyDescent="0.25">
      <c r="A14" s="8">
        <v>12</v>
      </c>
      <c r="B14" s="42"/>
      <c r="C14" s="43"/>
      <c r="D14" s="44"/>
      <c r="E14" s="45"/>
    </row>
    <row r="15" spans="1:8" ht="22.05" customHeight="1" x14ac:dyDescent="0.25">
      <c r="A15" s="8">
        <v>13</v>
      </c>
      <c r="B15" s="42"/>
      <c r="C15" s="43"/>
      <c r="D15" s="44"/>
      <c r="E15" s="45"/>
    </row>
    <row r="16" spans="1:8" ht="22.05" customHeight="1" x14ac:dyDescent="0.25">
      <c r="A16" s="8">
        <v>14</v>
      </c>
      <c r="B16" s="42"/>
      <c r="C16" s="43"/>
      <c r="D16" s="44"/>
      <c r="E16" s="45"/>
    </row>
    <row r="17" spans="1:5" ht="22.05" customHeight="1" x14ac:dyDescent="0.25">
      <c r="A17" s="8">
        <v>15</v>
      </c>
      <c r="B17" s="42"/>
      <c r="C17" s="43"/>
      <c r="D17" s="44"/>
      <c r="E17" s="45"/>
    </row>
    <row r="18" spans="1:5" ht="22.05" customHeight="1" x14ac:dyDescent="0.25">
      <c r="A18" s="8">
        <v>16</v>
      </c>
      <c r="B18" s="42"/>
      <c r="C18" s="43"/>
      <c r="D18" s="44"/>
      <c r="E18" s="45"/>
    </row>
    <row r="19" spans="1:5" ht="22.05" customHeight="1" x14ac:dyDescent="0.25">
      <c r="A19" s="8">
        <v>17</v>
      </c>
      <c r="B19" s="42"/>
      <c r="C19" s="43"/>
      <c r="D19" s="44"/>
      <c r="E19" s="45"/>
    </row>
    <row r="20" spans="1:5" ht="24" customHeight="1" x14ac:dyDescent="0.25">
      <c r="A20" s="196" t="s">
        <v>98</v>
      </c>
      <c r="B20" s="191"/>
      <c r="C20" s="196"/>
      <c r="D20" s="197"/>
      <c r="E20" s="14">
        <f>SUM(E3:E19)</f>
        <v>680.83333333333303</v>
      </c>
    </row>
    <row r="21" spans="1:5" ht="27" customHeight="1" x14ac:dyDescent="0.25">
      <c r="A21" s="198"/>
      <c r="B21" s="199"/>
      <c r="C21" s="198"/>
      <c r="D21" s="200"/>
      <c r="E21" s="201"/>
    </row>
  </sheetData>
  <sheetProtection formatCells="0" insertHyperlinks="0" autoFilter="0"/>
  <mergeCells count="3">
    <mergeCell ref="A1:E1"/>
    <mergeCell ref="A20:D20"/>
    <mergeCell ref="A21:E21"/>
  </mergeCells>
  <phoneticPr fontId="51" type="noConversion"/>
  <conditionalFormatting sqref="B3 D3:D15 B5">
    <cfRule type="containsText" dxfId="23" priority="3" operator="containsText" text="离职">
      <formula>NOT(ISERROR(SEARCH("离职",B3)))</formula>
    </cfRule>
  </conditionalFormatting>
  <conditionalFormatting sqref="B10 B12">
    <cfRule type="containsText" dxfId="22" priority="1" operator="containsText" text="离职">
      <formula>NOT(ISERROR(SEARCH("离职",B10)))</formula>
    </cfRule>
  </conditionalFormatting>
  <conditionalFormatting sqref="C14:C15">
    <cfRule type="containsText" dxfId="21" priority="18" operator="containsText" text="离职">
      <formula>NOT(ISERROR(SEARCH("离职",C14)))</formula>
    </cfRule>
  </conditionalFormatting>
  <conditionalFormatting sqref="F3">
    <cfRule type="duplicateValues" dxfId="20" priority="8"/>
    <cfRule type="duplicateValues" dxfId="19" priority="9"/>
  </conditionalFormatting>
  <conditionalFormatting sqref="F4">
    <cfRule type="duplicateValues" dxfId="18" priority="16"/>
    <cfRule type="duplicateValues" dxfId="17" priority="17"/>
  </conditionalFormatting>
  <conditionalFormatting sqref="F5">
    <cfRule type="duplicateValues" dxfId="16" priority="11"/>
    <cfRule type="duplicateValues" dxfId="15" priority="12"/>
  </conditionalFormatting>
  <conditionalFormatting sqref="F6">
    <cfRule type="duplicateValues" dxfId="14" priority="31"/>
    <cfRule type="duplicateValues" dxfId="13" priority="32"/>
  </conditionalFormatting>
  <conditionalFormatting sqref="F11">
    <cfRule type="duplicateValues" dxfId="12" priority="35"/>
    <cfRule type="duplicateValues" dxfId="11" priority="36"/>
  </conditionalFormatting>
  <pageMargins left="0.75" right="0.75" top="1" bottom="1" header="0.51180555555555596" footer="0.51180555555555596"/>
  <ignoredErrors>
    <ignoredError sqref="H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9"/>
  <sheetViews>
    <sheetView workbookViewId="0">
      <selection activeCell="O12" sqref="O12"/>
    </sheetView>
  </sheetViews>
  <sheetFormatPr defaultColWidth="9" defaultRowHeight="27" customHeight="1" x14ac:dyDescent="0.25"/>
  <cols>
    <col min="1" max="1" width="9" style="23"/>
    <col min="2" max="2" width="7.33203125" style="23" customWidth="1"/>
    <col min="3" max="3" width="9" style="23" customWidth="1"/>
    <col min="4" max="4" width="9.33203125" style="23" customWidth="1"/>
    <col min="5" max="5" width="9.109375" style="23" customWidth="1"/>
    <col min="6" max="8" width="10.33203125" style="23" customWidth="1"/>
    <col min="9" max="9" width="9.77734375" style="23" customWidth="1"/>
    <col min="10" max="10" width="10.77734375" style="23" customWidth="1"/>
    <col min="11" max="11" width="12.6640625" style="23" customWidth="1"/>
    <col min="12" max="12" width="12.21875" style="21" customWidth="1"/>
    <col min="13" max="14" width="9" style="24"/>
    <col min="15" max="15" width="15.21875" style="24" customWidth="1"/>
    <col min="16" max="16384" width="9" style="21"/>
  </cols>
  <sheetData>
    <row r="1" spans="1:26" ht="27" customHeight="1" x14ac:dyDescent="0.25">
      <c r="A1" s="25"/>
      <c r="B1" s="202" t="s">
        <v>183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Q1" s="208" t="s">
        <v>184</v>
      </c>
      <c r="R1" s="209"/>
      <c r="S1" s="209"/>
      <c r="T1" s="209"/>
      <c r="U1" s="209"/>
      <c r="V1" s="209"/>
      <c r="W1" s="209"/>
      <c r="X1" s="209"/>
      <c r="Y1" s="209"/>
      <c r="Z1" s="210"/>
    </row>
    <row r="2" spans="1:26" ht="27" customHeight="1" x14ac:dyDescent="0.25">
      <c r="A2" s="25" t="s">
        <v>185</v>
      </c>
      <c r="B2" s="26" t="s">
        <v>172</v>
      </c>
      <c r="C2" s="26" t="s">
        <v>10</v>
      </c>
      <c r="D2" s="26" t="s">
        <v>186</v>
      </c>
      <c r="E2" s="26" t="s">
        <v>187</v>
      </c>
      <c r="F2" s="26" t="s">
        <v>188</v>
      </c>
      <c r="G2" s="26" t="s">
        <v>189</v>
      </c>
      <c r="H2" s="26" t="s">
        <v>190</v>
      </c>
      <c r="I2" s="26" t="s">
        <v>191</v>
      </c>
      <c r="J2" s="26" t="s">
        <v>192</v>
      </c>
      <c r="K2" s="26" t="s">
        <v>193</v>
      </c>
      <c r="L2" s="26" t="s">
        <v>98</v>
      </c>
      <c r="M2" s="33" t="s">
        <v>194</v>
      </c>
      <c r="N2" s="33" t="s">
        <v>195</v>
      </c>
      <c r="O2" s="33" t="s">
        <v>196</v>
      </c>
      <c r="Q2" s="211"/>
      <c r="R2" s="212"/>
      <c r="S2" s="212"/>
      <c r="T2" s="212"/>
      <c r="U2" s="212"/>
      <c r="V2" s="212"/>
      <c r="W2" s="212"/>
      <c r="X2" s="212"/>
      <c r="Y2" s="212"/>
      <c r="Z2" s="213"/>
    </row>
    <row r="3" spans="1:26" s="22" customFormat="1" ht="20.100000000000001" customHeight="1" x14ac:dyDescent="0.25">
      <c r="A3" s="27" t="s">
        <v>166</v>
      </c>
      <c r="B3" s="27">
        <v>1</v>
      </c>
      <c r="C3" s="28" t="s">
        <v>92</v>
      </c>
      <c r="D3" s="28"/>
      <c r="E3" s="29">
        <v>23</v>
      </c>
      <c r="F3" s="27">
        <f>E3*20</f>
        <v>460</v>
      </c>
      <c r="G3" s="27">
        <f>330/26*E3</f>
        <v>291.92307692307702</v>
      </c>
      <c r="H3" s="27">
        <f>300/26*E3</f>
        <v>265.38461538461502</v>
      </c>
      <c r="I3" s="27" t="s">
        <v>197</v>
      </c>
      <c r="J3" s="27" t="s">
        <v>197</v>
      </c>
      <c r="K3" s="27" t="s">
        <v>197</v>
      </c>
      <c r="L3" s="34">
        <f>SUM(F3:K3)</f>
        <v>1017.30769230769</v>
      </c>
      <c r="M3" s="35" t="s">
        <v>197</v>
      </c>
      <c r="N3" s="35" t="s">
        <v>197</v>
      </c>
      <c r="O3" s="35" t="s">
        <v>197</v>
      </c>
      <c r="Q3" s="214"/>
      <c r="R3" s="214"/>
      <c r="S3" s="214"/>
      <c r="T3" s="214"/>
      <c r="U3" s="214"/>
      <c r="V3" s="214"/>
      <c r="W3" s="214"/>
      <c r="X3" s="214"/>
      <c r="Y3" s="214"/>
      <c r="Z3" s="214"/>
    </row>
    <row r="4" spans="1:26" s="22" customFormat="1" ht="20.100000000000001" customHeight="1" x14ac:dyDescent="0.25">
      <c r="A4" s="206" t="s">
        <v>129</v>
      </c>
      <c r="B4" s="27">
        <v>1</v>
      </c>
      <c r="C4" s="27" t="s">
        <v>89</v>
      </c>
      <c r="D4" s="27" t="s">
        <v>198</v>
      </c>
      <c r="E4" s="29">
        <v>26</v>
      </c>
      <c r="F4" s="27" t="s">
        <v>197</v>
      </c>
      <c r="G4" s="27" t="s">
        <v>197</v>
      </c>
      <c r="H4" s="27" t="s">
        <v>197</v>
      </c>
      <c r="I4" s="27" t="s">
        <v>197</v>
      </c>
      <c r="J4" s="27" t="s">
        <v>197</v>
      </c>
      <c r="K4" s="27">
        <v>1100</v>
      </c>
      <c r="L4" s="34">
        <f>SUM(F4:K4)</f>
        <v>1100</v>
      </c>
      <c r="M4" s="35" t="s">
        <v>199</v>
      </c>
      <c r="N4" s="35" t="s">
        <v>197</v>
      </c>
      <c r="O4" s="35" t="s">
        <v>197</v>
      </c>
      <c r="Q4" s="214"/>
      <c r="R4" s="214"/>
      <c r="S4" s="214"/>
      <c r="T4" s="214"/>
      <c r="U4" s="214"/>
      <c r="V4" s="214"/>
      <c r="W4" s="214"/>
      <c r="X4" s="214"/>
      <c r="Y4" s="214"/>
      <c r="Z4" s="214"/>
    </row>
    <row r="5" spans="1:26" s="22" customFormat="1" ht="20.100000000000001" customHeight="1" x14ac:dyDescent="0.25">
      <c r="A5" s="207"/>
      <c r="B5" s="27">
        <v>2</v>
      </c>
      <c r="C5" s="27" t="s">
        <v>91</v>
      </c>
      <c r="D5" s="27" t="s">
        <v>200</v>
      </c>
      <c r="E5" s="29">
        <v>9</v>
      </c>
      <c r="F5" s="27" t="s">
        <v>197</v>
      </c>
      <c r="G5" s="27">
        <v>300</v>
      </c>
      <c r="H5" s="27">
        <v>300</v>
      </c>
      <c r="I5" s="27">
        <v>300</v>
      </c>
      <c r="J5" s="27">
        <v>200</v>
      </c>
      <c r="K5" s="27" t="s">
        <v>197</v>
      </c>
      <c r="L5" s="34">
        <f>SUM(F5:K5)</f>
        <v>1100</v>
      </c>
      <c r="M5" s="35" t="s">
        <v>199</v>
      </c>
      <c r="N5" s="35">
        <v>65</v>
      </c>
      <c r="O5" s="35">
        <v>29</v>
      </c>
      <c r="Q5" s="214"/>
      <c r="R5" s="214"/>
      <c r="S5" s="214"/>
      <c r="T5" s="214"/>
      <c r="U5" s="214"/>
      <c r="V5" s="214"/>
      <c r="W5" s="214"/>
      <c r="X5" s="214"/>
      <c r="Y5" s="214"/>
      <c r="Z5" s="214"/>
    </row>
    <row r="6" spans="1:26" s="22" customFormat="1" ht="20.100000000000001" customHeight="1" x14ac:dyDescent="0.25">
      <c r="A6" s="203" t="s">
        <v>98</v>
      </c>
      <c r="B6" s="204"/>
      <c r="C6" s="204"/>
      <c r="D6" s="204"/>
      <c r="E6" s="205"/>
      <c r="F6" s="30">
        <f>SUM(F3:F5)</f>
        <v>460</v>
      </c>
      <c r="G6" s="30">
        <f t="shared" ref="G6:L6" si="0">SUM(G3:G5)</f>
        <v>591.92307692307702</v>
      </c>
      <c r="H6" s="30">
        <f t="shared" si="0"/>
        <v>565.38461538461502</v>
      </c>
      <c r="I6" s="30">
        <f t="shared" si="0"/>
        <v>300</v>
      </c>
      <c r="J6" s="30">
        <f t="shared" si="0"/>
        <v>200</v>
      </c>
      <c r="K6" s="30">
        <f t="shared" si="0"/>
        <v>1100</v>
      </c>
      <c r="L6" s="30">
        <f t="shared" si="0"/>
        <v>3217.3076923076901</v>
      </c>
      <c r="M6" s="36"/>
      <c r="N6" s="36"/>
      <c r="O6" s="36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r="7" spans="1:26" s="22" customFormat="1" ht="20.100000000000001" customHeight="1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36"/>
      <c r="N7" s="36"/>
      <c r="O7" s="36"/>
      <c r="Q7" s="214"/>
      <c r="R7" s="214"/>
      <c r="S7" s="214"/>
      <c r="T7" s="214"/>
      <c r="U7" s="214"/>
      <c r="V7" s="214"/>
      <c r="W7" s="214"/>
      <c r="X7" s="214"/>
      <c r="Y7" s="214"/>
      <c r="Z7" s="214"/>
    </row>
    <row r="8" spans="1:26" s="22" customFormat="1" ht="20.100000000000001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1"/>
      <c r="M8" s="36"/>
      <c r="N8" s="36"/>
      <c r="O8" s="36"/>
      <c r="Q8" s="214"/>
      <c r="R8" s="214"/>
      <c r="S8" s="214"/>
      <c r="T8" s="214"/>
      <c r="U8" s="214"/>
      <c r="V8" s="214"/>
      <c r="W8" s="214"/>
      <c r="X8" s="214"/>
      <c r="Y8" s="214"/>
      <c r="Z8" s="214"/>
    </row>
    <row r="9" spans="1:26" s="22" customFormat="1" ht="20.100000000000001" customHeight="1" x14ac:dyDescent="0.25">
      <c r="A9" s="31"/>
      <c r="B9" s="23"/>
      <c r="C9" s="23"/>
      <c r="D9" s="23"/>
      <c r="E9" s="32"/>
      <c r="F9" s="31"/>
      <c r="G9" s="23"/>
      <c r="H9" s="23"/>
      <c r="I9" s="23"/>
      <c r="J9" s="23"/>
      <c r="K9" s="23"/>
      <c r="L9" s="21"/>
      <c r="M9" s="36"/>
      <c r="N9" s="36"/>
      <c r="O9" s="36"/>
      <c r="Q9" s="214"/>
      <c r="R9" s="214"/>
      <c r="S9" s="214"/>
      <c r="T9" s="214"/>
      <c r="U9" s="214"/>
      <c r="V9" s="214"/>
      <c r="W9" s="214"/>
      <c r="X9" s="214"/>
      <c r="Y9" s="214"/>
      <c r="Z9" s="214"/>
    </row>
    <row r="10" spans="1:26" s="22" customFormat="1" ht="20.100000000000001" customHeight="1" x14ac:dyDescent="0.25">
      <c r="A10" s="23"/>
      <c r="B10" s="23"/>
      <c r="C10" s="23"/>
      <c r="D10" s="23"/>
      <c r="E10" s="23"/>
      <c r="F10" s="23"/>
      <c r="G10" s="23"/>
      <c r="H10" s="31"/>
      <c r="I10" s="31"/>
      <c r="J10" s="31"/>
      <c r="K10" s="31"/>
      <c r="L10" s="31"/>
      <c r="M10" s="36"/>
      <c r="N10" s="36"/>
      <c r="O10" s="36"/>
      <c r="Q10" s="214"/>
      <c r="R10" s="214"/>
      <c r="S10" s="214"/>
      <c r="T10" s="214"/>
      <c r="U10" s="214"/>
      <c r="V10" s="214"/>
      <c r="W10" s="214"/>
      <c r="X10" s="214"/>
      <c r="Y10" s="214"/>
      <c r="Z10" s="214"/>
    </row>
    <row r="11" spans="1:26" ht="27" customHeight="1" x14ac:dyDescent="0.25">
      <c r="H11" s="31"/>
      <c r="I11" s="31"/>
      <c r="J11" s="31"/>
      <c r="K11" s="31"/>
      <c r="L11" s="31"/>
      <c r="Q11" s="214"/>
      <c r="R11" s="214"/>
      <c r="S11" s="214"/>
      <c r="T11" s="214"/>
      <c r="U11" s="214"/>
      <c r="V11" s="214"/>
      <c r="W11" s="214"/>
      <c r="X11" s="214"/>
      <c r="Y11" s="214"/>
      <c r="Z11" s="214"/>
    </row>
    <row r="12" spans="1:26" ht="27" customHeight="1" x14ac:dyDescent="0.25">
      <c r="H12" s="31"/>
      <c r="I12" s="31"/>
      <c r="J12" s="31"/>
      <c r="K12" s="31"/>
      <c r="L12" s="31"/>
      <c r="Q12" s="214"/>
      <c r="R12" s="214"/>
      <c r="S12" s="214"/>
      <c r="T12" s="214"/>
      <c r="U12" s="214"/>
      <c r="V12" s="214"/>
      <c r="W12" s="214"/>
      <c r="X12" s="214"/>
      <c r="Y12" s="214"/>
      <c r="Z12" s="214"/>
    </row>
    <row r="13" spans="1:26" ht="27" customHeight="1" x14ac:dyDescent="0.25">
      <c r="Q13" s="208" t="s">
        <v>201</v>
      </c>
      <c r="R13" s="209"/>
      <c r="S13" s="209"/>
      <c r="T13" s="209"/>
      <c r="U13" s="209"/>
      <c r="V13" s="209"/>
      <c r="W13" s="209"/>
      <c r="X13" s="209"/>
      <c r="Y13" s="209"/>
      <c r="Z13" s="210"/>
    </row>
    <row r="14" spans="1:26" ht="27" customHeight="1" x14ac:dyDescent="0.25">
      <c r="Q14" s="211"/>
      <c r="R14" s="212"/>
      <c r="S14" s="212"/>
      <c r="T14" s="212"/>
      <c r="U14" s="212"/>
      <c r="V14" s="212"/>
      <c r="W14" s="212"/>
      <c r="X14" s="212"/>
      <c r="Y14" s="212"/>
      <c r="Z14" s="213"/>
    </row>
    <row r="15" spans="1:26" ht="27" customHeight="1" x14ac:dyDescent="0.25">
      <c r="Q15" s="214"/>
      <c r="R15" s="214"/>
      <c r="S15" s="214"/>
      <c r="T15" s="214"/>
      <c r="U15" s="214"/>
      <c r="V15" s="214"/>
      <c r="W15" s="214"/>
      <c r="X15" s="214"/>
      <c r="Y15" s="214"/>
      <c r="Z15" s="214"/>
    </row>
    <row r="16" spans="1:26" ht="27" customHeight="1" x14ac:dyDescent="0.25">
      <c r="Q16" s="214"/>
      <c r="R16" s="214"/>
      <c r="S16" s="214"/>
      <c r="T16" s="214"/>
      <c r="U16" s="214"/>
      <c r="V16" s="214"/>
      <c r="W16" s="214"/>
      <c r="X16" s="214"/>
      <c r="Y16" s="214"/>
      <c r="Z16" s="214"/>
    </row>
    <row r="17" spans="17:26" ht="27" customHeight="1" x14ac:dyDescent="0.25">
      <c r="Q17" s="214"/>
      <c r="R17" s="214"/>
      <c r="S17" s="214"/>
      <c r="T17" s="214"/>
      <c r="U17" s="214"/>
      <c r="V17" s="214"/>
      <c r="W17" s="214"/>
      <c r="X17" s="214"/>
      <c r="Y17" s="214"/>
      <c r="Z17" s="214"/>
    </row>
    <row r="18" spans="17:26" ht="27" customHeight="1" x14ac:dyDescent="0.25">
      <c r="Q18" s="214"/>
      <c r="R18" s="214"/>
      <c r="S18" s="214"/>
      <c r="T18" s="214"/>
      <c r="U18" s="214"/>
      <c r="V18" s="214"/>
      <c r="W18" s="214"/>
      <c r="X18" s="214"/>
      <c r="Y18" s="214"/>
      <c r="Z18" s="214"/>
    </row>
    <row r="19" spans="17:26" ht="27" customHeight="1" x14ac:dyDescent="0.25">
      <c r="Q19" s="214"/>
      <c r="R19" s="214"/>
      <c r="S19" s="214"/>
      <c r="T19" s="214"/>
      <c r="U19" s="214"/>
      <c r="V19" s="214"/>
      <c r="W19" s="214"/>
      <c r="X19" s="214"/>
      <c r="Y19" s="214"/>
      <c r="Z19" s="214"/>
    </row>
    <row r="20" spans="17:26" ht="27" customHeight="1" x14ac:dyDescent="0.25">
      <c r="Q20" s="214"/>
      <c r="R20" s="214"/>
      <c r="S20" s="214"/>
      <c r="T20" s="214"/>
      <c r="U20" s="214"/>
      <c r="V20" s="214"/>
      <c r="W20" s="214"/>
      <c r="X20" s="214"/>
      <c r="Y20" s="214"/>
      <c r="Z20" s="214"/>
    </row>
    <row r="21" spans="17:26" ht="27" customHeight="1" x14ac:dyDescent="0.25"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 spans="17:26" ht="27" customHeight="1" x14ac:dyDescent="0.25"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r="23" spans="17:26" ht="27" customHeight="1" x14ac:dyDescent="0.25">
      <c r="Q23" s="214"/>
      <c r="R23" s="214"/>
      <c r="S23" s="214"/>
      <c r="T23" s="214"/>
      <c r="U23" s="214"/>
      <c r="V23" s="214"/>
      <c r="W23" s="214"/>
      <c r="X23" s="214"/>
      <c r="Y23" s="214"/>
      <c r="Z23" s="214"/>
    </row>
    <row r="24" spans="17:26" ht="27" customHeight="1" x14ac:dyDescent="0.25">
      <c r="Q24" s="214"/>
      <c r="R24" s="214"/>
      <c r="S24" s="214"/>
      <c r="T24" s="214"/>
      <c r="U24" s="214"/>
      <c r="V24" s="214"/>
      <c r="W24" s="214"/>
      <c r="X24" s="214"/>
      <c r="Y24" s="214"/>
      <c r="Z24" s="214"/>
    </row>
    <row r="25" spans="17:26" ht="27" customHeight="1" x14ac:dyDescent="0.25">
      <c r="Q25" s="214"/>
      <c r="R25" s="214"/>
      <c r="S25" s="214"/>
      <c r="T25" s="214"/>
      <c r="U25" s="214"/>
      <c r="V25" s="214"/>
      <c r="W25" s="214"/>
      <c r="X25" s="214"/>
      <c r="Y25" s="214"/>
      <c r="Z25" s="214"/>
    </row>
    <row r="26" spans="17:26" ht="27" customHeight="1" x14ac:dyDescent="0.25"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r="27" spans="17:26" ht="27" customHeight="1" x14ac:dyDescent="0.25">
      <c r="Q27" s="214"/>
      <c r="R27" s="214"/>
      <c r="S27" s="214"/>
      <c r="T27" s="214"/>
      <c r="U27" s="214"/>
      <c r="V27" s="214"/>
      <c r="W27" s="214"/>
      <c r="X27" s="214"/>
      <c r="Y27" s="214"/>
      <c r="Z27" s="214"/>
    </row>
    <row r="28" spans="17:26" ht="27" customHeight="1" x14ac:dyDescent="0.25">
      <c r="Q28" s="214"/>
      <c r="R28" s="214"/>
      <c r="S28" s="214"/>
      <c r="T28" s="214"/>
      <c r="U28" s="214"/>
      <c r="V28" s="214"/>
      <c r="W28" s="214"/>
      <c r="X28" s="214"/>
      <c r="Y28" s="214"/>
      <c r="Z28" s="214"/>
    </row>
    <row r="29" spans="17:26" ht="27" customHeight="1" x14ac:dyDescent="0.25">
      <c r="Q29" s="214"/>
      <c r="R29" s="214"/>
      <c r="S29" s="214"/>
      <c r="T29" s="214"/>
      <c r="U29" s="214"/>
      <c r="V29" s="214"/>
      <c r="W29" s="214"/>
      <c r="X29" s="214"/>
      <c r="Y29" s="214"/>
      <c r="Z29" s="214"/>
    </row>
    <row r="30" spans="17:26" ht="27" customHeight="1" x14ac:dyDescent="0.25"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r="31" spans="17:26" ht="27" customHeight="1" x14ac:dyDescent="0.25">
      <c r="Q31" s="214"/>
      <c r="R31" s="214"/>
      <c r="S31" s="214"/>
      <c r="T31" s="214"/>
      <c r="U31" s="214"/>
      <c r="V31" s="214"/>
      <c r="W31" s="214"/>
      <c r="X31" s="214"/>
      <c r="Y31" s="214"/>
      <c r="Z31" s="214"/>
    </row>
    <row r="32" spans="17:26" ht="27" customHeight="1" x14ac:dyDescent="0.25">
      <c r="Q32" s="214"/>
      <c r="R32" s="214"/>
      <c r="S32" s="214"/>
      <c r="T32" s="214"/>
      <c r="U32" s="214"/>
      <c r="V32" s="214"/>
      <c r="W32" s="214"/>
      <c r="X32" s="214"/>
      <c r="Y32" s="214"/>
      <c r="Z32" s="214"/>
    </row>
    <row r="33" spans="17:26" ht="27" customHeight="1" x14ac:dyDescent="0.25">
      <c r="Q33" s="214"/>
      <c r="R33" s="214"/>
      <c r="S33" s="214"/>
      <c r="T33" s="214"/>
      <c r="U33" s="214"/>
      <c r="V33" s="214"/>
      <c r="W33" s="214"/>
      <c r="X33" s="214"/>
      <c r="Y33" s="214"/>
      <c r="Z33" s="214"/>
    </row>
    <row r="34" spans="17:26" ht="27" customHeight="1" x14ac:dyDescent="0.25">
      <c r="Q34" s="214"/>
      <c r="R34" s="214"/>
      <c r="S34" s="214"/>
      <c r="T34" s="214"/>
      <c r="U34" s="214"/>
      <c r="V34" s="214"/>
      <c r="W34" s="214"/>
      <c r="X34" s="214"/>
      <c r="Y34" s="214"/>
      <c r="Z34" s="214"/>
    </row>
    <row r="35" spans="17:26" ht="27" customHeight="1" x14ac:dyDescent="0.25"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r="36" spans="17:26" ht="27" customHeight="1" x14ac:dyDescent="0.25">
      <c r="Q36" s="214"/>
      <c r="R36" s="214"/>
      <c r="S36" s="214"/>
      <c r="T36" s="214"/>
      <c r="U36" s="214"/>
      <c r="V36" s="214"/>
      <c r="W36" s="214"/>
      <c r="X36" s="214"/>
      <c r="Y36" s="214"/>
      <c r="Z36" s="214"/>
    </row>
    <row r="37" spans="17:26" ht="27" customHeight="1" x14ac:dyDescent="0.25"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r="38" spans="17:26" ht="27" customHeight="1" x14ac:dyDescent="0.25">
      <c r="Q38" s="214"/>
      <c r="R38" s="214"/>
      <c r="S38" s="214"/>
      <c r="T38" s="214"/>
      <c r="U38" s="214"/>
      <c r="V38" s="214"/>
      <c r="W38" s="214"/>
      <c r="X38" s="214"/>
      <c r="Y38" s="214"/>
      <c r="Z38" s="214"/>
    </row>
    <row r="39" spans="17:26" ht="27" customHeight="1" x14ac:dyDescent="0.25">
      <c r="Q39" s="214"/>
      <c r="R39" s="214"/>
      <c r="S39" s="214"/>
      <c r="T39" s="214"/>
      <c r="U39" s="214"/>
      <c r="V39" s="214"/>
      <c r="W39" s="214"/>
      <c r="X39" s="214"/>
      <c r="Y39" s="214"/>
      <c r="Z39" s="214"/>
    </row>
    <row r="40" spans="17:26" ht="27" customHeight="1" x14ac:dyDescent="0.25">
      <c r="Q40" s="214"/>
      <c r="R40" s="214"/>
      <c r="S40" s="214"/>
      <c r="T40" s="214"/>
      <c r="U40" s="214"/>
      <c r="V40" s="214"/>
      <c r="W40" s="214"/>
      <c r="X40" s="214"/>
      <c r="Y40" s="214"/>
      <c r="Z40" s="214"/>
    </row>
    <row r="41" spans="17:26" ht="27" customHeight="1" x14ac:dyDescent="0.25">
      <c r="Q41" s="214"/>
      <c r="R41" s="214"/>
      <c r="S41" s="214"/>
      <c r="T41" s="214"/>
      <c r="U41" s="214"/>
      <c r="V41" s="214"/>
      <c r="W41" s="214"/>
      <c r="X41" s="214"/>
      <c r="Y41" s="214"/>
      <c r="Z41" s="214"/>
    </row>
    <row r="42" spans="17:26" ht="27" customHeight="1" x14ac:dyDescent="0.25">
      <c r="Q42" s="214"/>
      <c r="R42" s="214"/>
      <c r="S42" s="214"/>
      <c r="T42" s="214"/>
      <c r="U42" s="214"/>
      <c r="V42" s="214"/>
      <c r="W42" s="214"/>
      <c r="X42" s="214"/>
      <c r="Y42" s="214"/>
      <c r="Z42" s="214"/>
    </row>
    <row r="43" spans="17:26" ht="27" customHeight="1" x14ac:dyDescent="0.25">
      <c r="Q43" s="214"/>
      <c r="R43" s="214"/>
      <c r="S43" s="214"/>
      <c r="T43" s="214"/>
      <c r="U43" s="214"/>
      <c r="V43" s="214"/>
      <c r="W43" s="214"/>
      <c r="X43" s="214"/>
      <c r="Y43" s="214"/>
      <c r="Z43" s="214"/>
    </row>
    <row r="44" spans="17:26" ht="27" customHeight="1" x14ac:dyDescent="0.25">
      <c r="Q44" s="214"/>
      <c r="R44" s="214"/>
      <c r="S44" s="214"/>
      <c r="T44" s="214"/>
      <c r="U44" s="214"/>
      <c r="V44" s="214"/>
      <c r="W44" s="214"/>
      <c r="X44" s="214"/>
      <c r="Y44" s="214"/>
      <c r="Z44" s="214"/>
    </row>
    <row r="45" spans="17:26" ht="27" customHeight="1" x14ac:dyDescent="0.25">
      <c r="Q45" s="214"/>
      <c r="R45" s="214"/>
      <c r="S45" s="214"/>
      <c r="T45" s="214"/>
      <c r="U45" s="214"/>
      <c r="V45" s="214"/>
      <c r="W45" s="214"/>
      <c r="X45" s="214"/>
      <c r="Y45" s="214"/>
      <c r="Z45" s="214"/>
    </row>
    <row r="46" spans="17:26" ht="27" customHeight="1" x14ac:dyDescent="0.25">
      <c r="Q46" s="214"/>
      <c r="R46" s="214"/>
      <c r="S46" s="214"/>
      <c r="T46" s="214"/>
      <c r="U46" s="214"/>
      <c r="V46" s="214"/>
      <c r="W46" s="214"/>
      <c r="X46" s="214"/>
      <c r="Y46" s="214"/>
      <c r="Z46" s="214"/>
    </row>
    <row r="47" spans="17:26" ht="27" customHeight="1" x14ac:dyDescent="0.25">
      <c r="Q47" s="214"/>
      <c r="R47" s="214"/>
      <c r="S47" s="214"/>
      <c r="T47" s="214"/>
      <c r="U47" s="214"/>
      <c r="V47" s="214"/>
      <c r="W47" s="214"/>
      <c r="X47" s="214"/>
      <c r="Y47" s="214"/>
      <c r="Z47" s="214"/>
    </row>
    <row r="48" spans="17:26" ht="27" customHeight="1" x14ac:dyDescent="0.25">
      <c r="Q48" s="214"/>
      <c r="R48" s="214"/>
      <c r="S48" s="214"/>
      <c r="T48" s="214"/>
      <c r="U48" s="214"/>
      <c r="V48" s="214"/>
      <c r="W48" s="214"/>
      <c r="X48" s="214"/>
      <c r="Y48" s="214"/>
      <c r="Z48" s="214"/>
    </row>
    <row r="49" spans="17:26" ht="27" customHeight="1" x14ac:dyDescent="0.25">
      <c r="Q49" s="214"/>
      <c r="R49" s="214"/>
      <c r="S49" s="214"/>
      <c r="T49" s="214"/>
      <c r="U49" s="214"/>
      <c r="V49" s="214"/>
      <c r="W49" s="214"/>
      <c r="X49" s="214"/>
      <c r="Y49" s="214"/>
      <c r="Z49" s="214"/>
    </row>
  </sheetData>
  <mergeCells count="7">
    <mergeCell ref="Q13:Z14"/>
    <mergeCell ref="Q15:Z49"/>
    <mergeCell ref="B1:L1"/>
    <mergeCell ref="A6:E6"/>
    <mergeCell ref="A4:A5"/>
    <mergeCell ref="Q1:Z2"/>
    <mergeCell ref="Q3:Z12"/>
  </mergeCells>
  <phoneticPr fontId="51" type="noConversion"/>
  <pageMargins left="0.75" right="0.75" top="1" bottom="1" header="0.5" footer="0.5"/>
  <pageSetup paperSize="121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E15" sqref="E15"/>
    </sheetView>
  </sheetViews>
  <sheetFormatPr defaultColWidth="9" defaultRowHeight="27" customHeight="1" x14ac:dyDescent="0.25"/>
  <cols>
    <col min="1" max="1" width="7.33203125" style="2" customWidth="1"/>
    <col min="2" max="2" width="12.6640625" style="1" customWidth="1"/>
    <col min="3" max="3" width="17" style="2" customWidth="1"/>
    <col min="4" max="4" width="49.33203125" style="15" customWidth="1"/>
    <col min="5" max="5" width="13.88671875" style="2" customWidth="1"/>
    <col min="6" max="6" width="12.77734375" style="2" customWidth="1"/>
    <col min="7" max="7" width="10.88671875" style="2" customWidth="1"/>
    <col min="8" max="8" width="12.6640625" style="2"/>
    <col min="9" max="16384" width="9" style="2"/>
  </cols>
  <sheetData>
    <row r="1" spans="1:5" ht="27" customHeight="1" x14ac:dyDescent="0.25">
      <c r="A1" s="190" t="s">
        <v>202</v>
      </c>
      <c r="B1" s="191"/>
      <c r="C1" s="190"/>
      <c r="D1" s="215"/>
      <c r="E1" s="190"/>
    </row>
    <row r="2" spans="1:5" ht="27" customHeight="1" x14ac:dyDescent="0.25">
      <c r="A2" s="4" t="s">
        <v>172</v>
      </c>
      <c r="B2" s="7" t="s">
        <v>10</v>
      </c>
      <c r="C2" s="4" t="s">
        <v>173</v>
      </c>
      <c r="D2" s="16" t="s">
        <v>178</v>
      </c>
      <c r="E2" s="4" t="s">
        <v>179</v>
      </c>
    </row>
    <row r="3" spans="1:5" ht="31.95" customHeight="1" x14ac:dyDescent="0.25">
      <c r="A3" s="17">
        <v>1</v>
      </c>
      <c r="B3" s="18"/>
      <c r="C3" s="18"/>
      <c r="D3" s="18"/>
      <c r="E3" s="18"/>
    </row>
    <row r="4" spans="1:5" ht="30" customHeight="1" x14ac:dyDescent="0.25">
      <c r="A4" s="17">
        <v>2</v>
      </c>
      <c r="B4" s="18"/>
      <c r="C4" s="18"/>
      <c r="D4" s="18"/>
      <c r="E4" s="18"/>
    </row>
    <row r="5" spans="1:5" ht="28.05" customHeight="1" x14ac:dyDescent="0.25">
      <c r="A5" s="17">
        <v>3</v>
      </c>
      <c r="B5" s="18"/>
      <c r="C5" s="18"/>
      <c r="D5" s="18"/>
      <c r="E5" s="18"/>
    </row>
    <row r="6" spans="1:5" ht="16.05" customHeight="1" x14ac:dyDescent="0.25">
      <c r="A6" s="17">
        <v>4</v>
      </c>
      <c r="B6" s="18"/>
      <c r="C6" s="18"/>
      <c r="D6" s="19"/>
      <c r="E6" s="18"/>
    </row>
    <row r="7" spans="1:5" ht="16.05" customHeight="1" x14ac:dyDescent="0.25">
      <c r="A7" s="17">
        <v>5</v>
      </c>
      <c r="B7" s="18"/>
      <c r="C7" s="18"/>
      <c r="D7" s="19"/>
      <c r="E7" s="18"/>
    </row>
    <row r="8" spans="1:5" ht="16.05" customHeight="1" x14ac:dyDescent="0.25">
      <c r="A8" s="17">
        <v>6</v>
      </c>
      <c r="B8" s="18"/>
      <c r="C8" s="18"/>
      <c r="D8" s="19"/>
      <c r="E8" s="18"/>
    </row>
    <row r="9" spans="1:5" ht="16.05" customHeight="1" x14ac:dyDescent="0.25">
      <c r="A9" s="17">
        <v>7</v>
      </c>
      <c r="B9" s="18"/>
      <c r="C9" s="18"/>
      <c r="D9" s="19"/>
      <c r="E9" s="18"/>
    </row>
    <row r="10" spans="1:5" ht="16.05" customHeight="1" x14ac:dyDescent="0.25">
      <c r="A10" s="17">
        <v>8</v>
      </c>
      <c r="B10" s="18"/>
      <c r="C10" s="18"/>
      <c r="D10" s="19"/>
      <c r="E10" s="18"/>
    </row>
    <row r="11" spans="1:5" ht="16.05" customHeight="1" x14ac:dyDescent="0.25">
      <c r="A11" s="17">
        <v>9</v>
      </c>
      <c r="B11" s="18"/>
      <c r="C11" s="18"/>
      <c r="D11" s="19"/>
      <c r="E11" s="18"/>
    </row>
    <row r="12" spans="1:5" ht="24" customHeight="1" x14ac:dyDescent="0.25">
      <c r="A12" s="196" t="s">
        <v>98</v>
      </c>
      <c r="B12" s="191"/>
      <c r="C12" s="196"/>
      <c r="D12" s="216"/>
      <c r="E12" s="20">
        <f>SUM(E3:E11)</f>
        <v>0</v>
      </c>
    </row>
    <row r="13" spans="1:5" ht="27" customHeight="1" x14ac:dyDescent="0.25">
      <c r="A13" s="198"/>
      <c r="B13" s="199"/>
      <c r="C13" s="198"/>
      <c r="D13" s="217"/>
      <c r="E13" s="198"/>
    </row>
  </sheetData>
  <mergeCells count="3">
    <mergeCell ref="A1:E1"/>
    <mergeCell ref="A12:D12"/>
    <mergeCell ref="A13:E13"/>
  </mergeCells>
  <phoneticPr fontId="51" type="noConversion"/>
  <conditionalFormatting sqref="F3">
    <cfRule type="duplicateValues" dxfId="10" priority="3"/>
    <cfRule type="duplicateValues" dxfId="9" priority="4"/>
  </conditionalFormatting>
  <conditionalFormatting sqref="F4">
    <cfRule type="duplicateValues" dxfId="8" priority="6"/>
    <cfRule type="duplicateValues" dxfId="7" priority="7"/>
  </conditionalFormatting>
  <conditionalFormatting sqref="F5">
    <cfRule type="duplicateValues" dxfId="6" priority="21"/>
    <cfRule type="duplicateValues" dxfId="5" priority="22"/>
  </conditionalFormatting>
  <conditionalFormatting sqref="F10">
    <cfRule type="duplicateValues" dxfId="4" priority="25"/>
    <cfRule type="duplicateValues" dxfId="3" priority="26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H20"/>
  <sheetViews>
    <sheetView workbookViewId="0">
      <selection activeCell="E6" sqref="E6"/>
    </sheetView>
  </sheetViews>
  <sheetFormatPr defaultColWidth="8.77734375" defaultRowHeight="27" customHeight="1" x14ac:dyDescent="0.25"/>
  <cols>
    <col min="1" max="1" width="4.109375" style="2" customWidth="1"/>
    <col min="2" max="2" width="10" style="2" customWidth="1"/>
    <col min="3" max="3" width="11.6640625" style="2" customWidth="1"/>
    <col min="4" max="4" width="52.6640625" style="2" customWidth="1"/>
    <col min="5" max="5" width="13.21875" style="3" customWidth="1"/>
    <col min="6" max="7" width="9" style="2"/>
    <col min="8" max="8" width="9.21875" style="2"/>
    <col min="9" max="28" width="9" style="2"/>
    <col min="29" max="16384" width="8.77734375" style="2"/>
  </cols>
  <sheetData>
    <row r="1" spans="1:8" ht="27" customHeight="1" x14ac:dyDescent="0.25">
      <c r="A1" s="190" t="s">
        <v>203</v>
      </c>
      <c r="B1" s="190"/>
      <c r="C1" s="190"/>
      <c r="D1" s="190"/>
      <c r="E1" s="192"/>
    </row>
    <row r="2" spans="1:8" ht="27" customHeight="1" x14ac:dyDescent="0.25">
      <c r="A2" s="4" t="s">
        <v>172</v>
      </c>
      <c r="B2" s="5" t="s">
        <v>10</v>
      </c>
      <c r="C2" s="5" t="s">
        <v>173</v>
      </c>
      <c r="D2" s="5" t="s">
        <v>204</v>
      </c>
      <c r="E2" s="6" t="s">
        <v>205</v>
      </c>
    </row>
    <row r="3" spans="1:8" s="1" customFormat="1" ht="34.049999999999997" customHeight="1" x14ac:dyDescent="0.25">
      <c r="A3" s="7">
        <v>1</v>
      </c>
      <c r="B3" s="8" t="s">
        <v>80</v>
      </c>
      <c r="C3" s="9" t="s">
        <v>81</v>
      </c>
      <c r="D3" s="8" t="s">
        <v>206</v>
      </c>
      <c r="E3" s="10">
        <v>322.23</v>
      </c>
    </row>
    <row r="4" spans="1:8" s="1" customFormat="1" ht="34.049999999999997" customHeight="1" x14ac:dyDescent="0.25">
      <c r="A4" s="7">
        <v>2</v>
      </c>
      <c r="B4" s="8" t="s">
        <v>82</v>
      </c>
      <c r="C4" s="9" t="s">
        <v>81</v>
      </c>
      <c r="D4" s="8" t="s">
        <v>206</v>
      </c>
      <c r="E4" s="10">
        <v>79.58</v>
      </c>
    </row>
    <row r="5" spans="1:8" s="1" customFormat="1" ht="34.049999999999997" customHeight="1" x14ac:dyDescent="0.25">
      <c r="A5" s="7">
        <v>3</v>
      </c>
      <c r="B5" s="8" t="s">
        <v>83</v>
      </c>
      <c r="C5" s="9" t="s">
        <v>81</v>
      </c>
      <c r="D5" s="8" t="s">
        <v>206</v>
      </c>
      <c r="E5" s="10">
        <v>127.88</v>
      </c>
    </row>
    <row r="6" spans="1:8" s="1" customFormat="1" ht="34.049999999999997" customHeight="1" x14ac:dyDescent="0.25">
      <c r="A6" s="7">
        <v>4</v>
      </c>
      <c r="B6" s="11" t="s">
        <v>52</v>
      </c>
      <c r="C6" s="11" t="s">
        <v>207</v>
      </c>
      <c r="D6" s="11" t="s">
        <v>208</v>
      </c>
      <c r="E6" s="11">
        <f>521.88/30*18</f>
        <v>313.12799999999999</v>
      </c>
    </row>
    <row r="7" spans="1:8" s="1" customFormat="1" ht="20.100000000000001" customHeight="1" x14ac:dyDescent="0.25">
      <c r="A7" s="7">
        <v>5</v>
      </c>
      <c r="B7" s="11" t="s">
        <v>103</v>
      </c>
      <c r="C7" s="11" t="s">
        <v>62</v>
      </c>
      <c r="D7" s="11" t="s">
        <v>209</v>
      </c>
      <c r="E7" s="11">
        <f>300*5%</f>
        <v>15</v>
      </c>
    </row>
    <row r="8" spans="1:8" s="1" customFormat="1" ht="20.100000000000001" customHeight="1" x14ac:dyDescent="0.25">
      <c r="A8" s="7">
        <v>6</v>
      </c>
      <c r="B8" s="11"/>
      <c r="C8" s="8"/>
      <c r="D8" s="12"/>
      <c r="E8" s="10"/>
    </row>
    <row r="9" spans="1:8" s="1" customFormat="1" ht="20.100000000000001" customHeight="1" x14ac:dyDescent="0.25">
      <c r="A9" s="7">
        <v>7</v>
      </c>
      <c r="B9" s="11"/>
      <c r="C9" s="8"/>
      <c r="D9" s="12"/>
      <c r="E9" s="10"/>
      <c r="H9" s="1" t="s">
        <v>210</v>
      </c>
    </row>
    <row r="10" spans="1:8" s="1" customFormat="1" ht="20.100000000000001" customHeight="1" x14ac:dyDescent="0.25">
      <c r="A10" s="7">
        <v>8</v>
      </c>
      <c r="B10" s="11"/>
      <c r="C10" s="8"/>
      <c r="D10" s="12"/>
      <c r="E10" s="10"/>
    </row>
    <row r="11" spans="1:8" s="1" customFormat="1" ht="20.100000000000001" customHeight="1" x14ac:dyDescent="0.25">
      <c r="A11" s="7">
        <v>9</v>
      </c>
      <c r="B11" s="8"/>
      <c r="C11" s="8"/>
      <c r="D11" s="8"/>
      <c r="E11" s="10"/>
    </row>
    <row r="12" spans="1:8" s="1" customFormat="1" ht="20.100000000000001" customHeight="1" x14ac:dyDescent="0.25">
      <c r="A12" s="7">
        <v>10</v>
      </c>
      <c r="B12" s="13"/>
      <c r="C12" s="8"/>
      <c r="D12" s="8"/>
      <c r="E12" s="10"/>
    </row>
    <row r="13" spans="1:8" s="1" customFormat="1" ht="20.100000000000001" customHeight="1" x14ac:dyDescent="0.25">
      <c r="A13" s="7"/>
      <c r="B13" s="4"/>
      <c r="C13" s="4"/>
      <c r="D13" s="4"/>
      <c r="E13" s="14">
        <f>SUM(E3:E12)</f>
        <v>857.81799999999998</v>
      </c>
    </row>
    <row r="14" spans="1:8" ht="20.100000000000001" customHeight="1" x14ac:dyDescent="0.25">
      <c r="A14" s="198"/>
      <c r="B14" s="198"/>
      <c r="C14" s="198"/>
      <c r="D14" s="198"/>
      <c r="E14" s="201"/>
    </row>
    <row r="15" spans="1:8" ht="20.100000000000001" customHeight="1" x14ac:dyDescent="0.25"/>
    <row r="16" spans="1:8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sheetProtection formatCells="0" insertHyperlinks="0" autoFilter="0"/>
  <mergeCells count="2">
    <mergeCell ref="A1:E1"/>
    <mergeCell ref="A14:E14"/>
  </mergeCells>
  <phoneticPr fontId="51" type="noConversion"/>
  <conditionalFormatting sqref="B8:B10">
    <cfRule type="containsText" dxfId="2" priority="4" operator="containsText" text="离职">
      <formula>NOT(ISERROR(SEARCH("离职",B8)))</formula>
    </cfRule>
  </conditionalFormatting>
  <conditionalFormatting sqref="B12">
    <cfRule type="containsText" dxfId="1" priority="16" operator="containsText" text="离职">
      <formula>NOT(ISERROR(SEARCH("离职",B12)))</formula>
    </cfRule>
  </conditionalFormatting>
  <conditionalFormatting sqref="B6:E7">
    <cfRule type="containsText" dxfId="0" priority="1" operator="containsText" text="离职">
      <formula>NOT(ISERROR(SEARCH("离职",B6)))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工资明细表</vt:lpstr>
      <vt:lpstr>离职人员薪资部分</vt:lpstr>
      <vt:lpstr>考勤表</vt:lpstr>
      <vt:lpstr>业绩明细表</vt:lpstr>
      <vt:lpstr>其他补贴表</vt:lpstr>
      <vt:lpstr>业务员专项补贴表</vt:lpstr>
      <vt:lpstr>补发工资表</vt:lpstr>
      <vt:lpstr>其他扣款表</vt:lpstr>
      <vt:lpstr>离职人员薪资部分!Print_Area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 biao</cp:lastModifiedBy>
  <cp:lastPrinted>2023-11-16T12:45:11Z</cp:lastPrinted>
  <dcterms:created xsi:type="dcterms:W3CDTF">2019-07-13T04:20:00Z</dcterms:created>
  <dcterms:modified xsi:type="dcterms:W3CDTF">2023-11-16T12:45:19Z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2052-12.1.0.15933</vt:lpwstr>
  </property>
  <property fmtid="{D5CDD505-2E9C-101B-9397-08002B2CF9AE}" pid="3" name="KSORubyTemplateID" linkTarget="0">
    <vt:lpwstr>1</vt:lpwstr>
  </property>
  <property fmtid="{D5CDD505-2E9C-101B-9397-08002B2CF9AE}" pid="4" name="KSOReadingLayout">
    <vt:bool>true</vt:bool>
  </property>
  <property fmtid="{D5CDD505-2E9C-101B-9397-08002B2CF9AE}" pid="5" name="ICV">
    <vt:lpwstr>A7416279819042D9BDC8D75693D8C075_13</vt:lpwstr>
  </property>
</Properties>
</file>