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ELLY\2023年\清关公司发票\报关\"/>
    </mc:Choice>
  </mc:AlternateContent>
  <xr:revisionPtr revIDLastSave="0" documentId="13_ncr:1_{7969C5DC-5818-4B9E-B44A-B5294EAEA516}" xr6:coauthVersionLast="47" xr6:coauthVersionMax="47" xr10:uidLastSave="{00000000-0000-0000-0000-000000000000}"/>
  <bookViews>
    <workbookView xWindow="-120" yWindow="-120" windowWidth="29040" windowHeight="15720" activeTab="1" xr2:uid="{A239ED38-3BF0-4D97-BD25-6A2A94CB89CE}"/>
  </bookViews>
  <sheets>
    <sheet name="OOLU9596768 (2)" sheetId="24" r:id="rId1"/>
    <sheet name="checklistOOLU9596768 (2)" sheetId="23" r:id="rId2"/>
    <sheet name="单据明细" sheetId="13" r:id="rId3"/>
    <sheet name="汇总" sheetId="7" r:id="rId4"/>
    <sheet name="checklistOOLU9596768" sheetId="22" r:id="rId5"/>
    <sheet name="OOLU9596768" sheetId="21" r:id="rId6"/>
    <sheet name="checklistTLLU5909523" sheetId="20" r:id="rId7"/>
    <sheet name="TLLU5909523" sheetId="19" r:id="rId8"/>
    <sheet name="checklistEITU9255937" sheetId="18" r:id="rId9"/>
    <sheet name="EITU9255937" sheetId="12" r:id="rId10"/>
    <sheet name="checklist FANU1283452" sheetId="17" r:id="rId11"/>
    <sheet name="FANU1283452" sheetId="14" r:id="rId12"/>
    <sheet name="checklist CAAU6388079" sheetId="16" r:id="rId13"/>
    <sheet name="CAAU6388079" sheetId="11" r:id="rId14"/>
    <sheet name="checklist" sheetId="15" r:id="rId15"/>
    <sheet name="MRKU3257819" sheetId="8" r:id="rId16"/>
    <sheet name="HK" sheetId="9" r:id="rId17"/>
    <sheet name="FUZHOU" sheetId="10" r:id="rId18"/>
    <sheet name="KSBU0101367" sheetId="5" r:id="rId19"/>
    <sheet name="EITU9221367" sheetId="2" r:id="rId20"/>
    <sheet name="TRLU7438892" sheetId="1" r:id="rId21"/>
    <sheet name="8.23 FEDEX" sheetId="6" r:id="rId22"/>
    <sheet name="MAGU5350515" sheetId="3" r:id="rId23"/>
  </sheets>
  <definedNames>
    <definedName name="_xlnm._FilterDatabase" localSheetId="17" hidden="1">FUZHOU!$A$1:$I$4</definedName>
    <definedName name="_xlnm._FilterDatabase" localSheetId="16" hidden="1">HK!$A$1:$G$6</definedName>
    <definedName name="_xlnm._FilterDatabase" localSheetId="5" hidden="1">OOLU9596768!$A$7:$O$23</definedName>
    <definedName name="_xlnm._FilterDatabase" localSheetId="0" hidden="1">'OOLU9596768 (2)'!$A$7:$O$23</definedName>
    <definedName name="_xlnm._FilterDatabase" localSheetId="7" hidden="1">TLLU5909523!$A$7:$O$24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1" i="24" l="1"/>
  <c r="U30" i="24"/>
  <c r="U29" i="24"/>
  <c r="U24" i="24"/>
  <c r="U23" i="24"/>
  <c r="K23" i="24"/>
  <c r="J23" i="24"/>
  <c r="H23" i="24"/>
  <c r="G23" i="24"/>
  <c r="F23" i="24"/>
  <c r="E23" i="24"/>
  <c r="D23" i="24"/>
  <c r="C23" i="24"/>
  <c r="U22" i="24"/>
  <c r="U21" i="24"/>
  <c r="U20" i="24"/>
  <c r="L20" i="24"/>
  <c r="M20" i="24"/>
  <c r="N20" i="24"/>
  <c r="O20" i="24"/>
  <c r="F20" i="24"/>
  <c r="D20" i="24"/>
  <c r="U19" i="24"/>
  <c r="I19" i="24"/>
  <c r="L19" i="24"/>
  <c r="M19" i="24"/>
  <c r="N19" i="24"/>
  <c r="O19" i="24"/>
  <c r="H19" i="24"/>
  <c r="F19" i="24"/>
  <c r="D19" i="24"/>
  <c r="U18" i="24"/>
  <c r="F18" i="24"/>
  <c r="I18" i="24"/>
  <c r="L18" i="24"/>
  <c r="M18" i="24"/>
  <c r="N18" i="24"/>
  <c r="O18" i="24"/>
  <c r="D18" i="24"/>
  <c r="U17" i="24"/>
  <c r="L17" i="24"/>
  <c r="M17" i="24"/>
  <c r="N17" i="24"/>
  <c r="O17" i="24"/>
  <c r="F17" i="24"/>
  <c r="D17" i="24"/>
  <c r="U16" i="24"/>
  <c r="F16" i="24"/>
  <c r="L16" i="24"/>
  <c r="M16" i="24"/>
  <c r="N16" i="24"/>
  <c r="O16" i="24"/>
  <c r="D16" i="24"/>
  <c r="U15" i="24"/>
  <c r="L15" i="24"/>
  <c r="M15" i="24"/>
  <c r="N15" i="24"/>
  <c r="O15" i="24"/>
  <c r="F15" i="24"/>
  <c r="D15" i="24"/>
  <c r="U14" i="24"/>
  <c r="L14" i="24"/>
  <c r="M14" i="24"/>
  <c r="N14" i="24"/>
  <c r="O14" i="24"/>
  <c r="F14" i="24"/>
  <c r="D14" i="24"/>
  <c r="U13" i="24"/>
  <c r="U31" i="24"/>
  <c r="S13" i="24"/>
  <c r="L13" i="24"/>
  <c r="M13" i="24"/>
  <c r="N13" i="24"/>
  <c r="O13" i="24"/>
  <c r="I13" i="24"/>
  <c r="F13" i="24"/>
  <c r="D13" i="24"/>
  <c r="U12" i="24"/>
  <c r="I12" i="24"/>
  <c r="L12" i="24"/>
  <c r="M12" i="24"/>
  <c r="N12" i="24"/>
  <c r="O12" i="24"/>
  <c r="F12" i="24"/>
  <c r="D12" i="24"/>
  <c r="U11" i="24"/>
  <c r="I11" i="24"/>
  <c r="L11" i="24"/>
  <c r="M11" i="24"/>
  <c r="N11" i="24"/>
  <c r="O11" i="24"/>
  <c r="F11" i="24"/>
  <c r="D11" i="24"/>
  <c r="U10" i="24"/>
  <c r="I10" i="24"/>
  <c r="L10" i="24"/>
  <c r="M10" i="24"/>
  <c r="N10" i="24"/>
  <c r="O10" i="24"/>
  <c r="F10" i="24"/>
  <c r="D10" i="24"/>
  <c r="U9" i="24"/>
  <c r="I9" i="24"/>
  <c r="L9" i="24"/>
  <c r="M9" i="24"/>
  <c r="N9" i="24"/>
  <c r="O9" i="24"/>
  <c r="F9" i="24"/>
  <c r="D9" i="24"/>
  <c r="U8" i="24"/>
  <c r="I8" i="24"/>
  <c r="I23" i="24"/>
  <c r="F8" i="24"/>
  <c r="D8" i="24"/>
  <c r="U7" i="24"/>
  <c r="U6" i="24"/>
  <c r="U5" i="24"/>
  <c r="E5" i="24"/>
  <c r="B11" i="23"/>
  <c r="B10" i="23"/>
  <c r="B11" i="22"/>
  <c r="B10" i="22"/>
  <c r="E22" i="19"/>
  <c r="E23" i="21"/>
  <c r="C23" i="21"/>
  <c r="D20" i="21"/>
  <c r="F20" i="21"/>
  <c r="H19" i="21"/>
  <c r="D19" i="21"/>
  <c r="F19" i="21"/>
  <c r="I19" i="21"/>
  <c r="U24" i="21"/>
  <c r="U23" i="21"/>
  <c r="U22" i="21"/>
  <c r="U21" i="21"/>
  <c r="U20" i="21"/>
  <c r="U19" i="21"/>
  <c r="U18" i="21"/>
  <c r="D18" i="21"/>
  <c r="F18" i="21"/>
  <c r="I18" i="21"/>
  <c r="U17" i="21"/>
  <c r="D17" i="21"/>
  <c r="F17" i="21"/>
  <c r="U16" i="21"/>
  <c r="D16" i="21"/>
  <c r="F16" i="21"/>
  <c r="I13" i="21"/>
  <c r="D13" i="21"/>
  <c r="F13" i="21"/>
  <c r="D9" i="21"/>
  <c r="F9" i="21"/>
  <c r="I9" i="21"/>
  <c r="U15" i="21"/>
  <c r="S13" i="21"/>
  <c r="U13" i="21"/>
  <c r="K23" i="21"/>
  <c r="J23" i="21"/>
  <c r="G23" i="21"/>
  <c r="U30" i="21"/>
  <c r="U29" i="21"/>
  <c r="D15" i="21"/>
  <c r="F15" i="21"/>
  <c r="U14" i="21"/>
  <c r="D14" i="21"/>
  <c r="F14" i="21"/>
  <c r="U12" i="21"/>
  <c r="D12" i="21"/>
  <c r="F12" i="21"/>
  <c r="I12" i="21"/>
  <c r="U11" i="21"/>
  <c r="D11" i="21"/>
  <c r="F11" i="21"/>
  <c r="I11" i="21"/>
  <c r="U10" i="21"/>
  <c r="D10" i="21"/>
  <c r="F10" i="21"/>
  <c r="I10" i="21"/>
  <c r="U9" i="21"/>
  <c r="U8" i="21"/>
  <c r="D8" i="21"/>
  <c r="F8" i="21"/>
  <c r="I8" i="21"/>
  <c r="U7" i="21"/>
  <c r="U6" i="21"/>
  <c r="U5" i="21"/>
  <c r="E5" i="21"/>
  <c r="N17" i="8"/>
  <c r="O17" i="8"/>
  <c r="P17" i="8"/>
  <c r="L17" i="8"/>
  <c r="M17" i="8"/>
  <c r="K17" i="8"/>
  <c r="H13" i="3"/>
  <c r="J19" i="2"/>
  <c r="O27" i="8"/>
  <c r="O32" i="8"/>
  <c r="N27" i="8"/>
  <c r="I20" i="13"/>
  <c r="I15" i="13"/>
  <c r="I17" i="13"/>
  <c r="I21" i="13"/>
  <c r="G12" i="8"/>
  <c r="G10" i="8"/>
  <c r="G11" i="8"/>
  <c r="G9" i="8"/>
  <c r="E7" i="14"/>
  <c r="C13" i="8"/>
  <c r="C12" i="8"/>
  <c r="C11" i="8"/>
  <c r="C10" i="8"/>
  <c r="D21" i="19"/>
  <c r="E21" i="19"/>
  <c r="F21" i="19"/>
  <c r="G21" i="19"/>
  <c r="H21" i="19"/>
  <c r="I21" i="19"/>
  <c r="J21" i="19"/>
  <c r="K21" i="19"/>
  <c r="L21" i="19"/>
  <c r="M21" i="19"/>
  <c r="N21" i="19"/>
  <c r="O21" i="19"/>
  <c r="C21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C20" i="19"/>
  <c r="H19" i="19"/>
  <c r="D19" i="19"/>
  <c r="F19" i="19"/>
  <c r="I19" i="19"/>
  <c r="E17" i="19"/>
  <c r="G17" i="19"/>
  <c r="J17" i="19"/>
  <c r="K17" i="19"/>
  <c r="C17" i="19"/>
  <c r="I10" i="19"/>
  <c r="D9" i="19"/>
  <c r="F9" i="19"/>
  <c r="I9" i="19"/>
  <c r="H9" i="19"/>
  <c r="D10" i="19"/>
  <c r="F10" i="19"/>
  <c r="H10" i="19"/>
  <c r="D11" i="19"/>
  <c r="F11" i="19"/>
  <c r="I11" i="19"/>
  <c r="H11" i="19"/>
  <c r="D12" i="19"/>
  <c r="F12" i="19"/>
  <c r="H12" i="19"/>
  <c r="D13" i="19"/>
  <c r="F13" i="19"/>
  <c r="I13" i="19"/>
  <c r="H13" i="19"/>
  <c r="D14" i="19"/>
  <c r="F14" i="19"/>
  <c r="H14" i="19"/>
  <c r="D15" i="19"/>
  <c r="F15" i="19"/>
  <c r="I15" i="19"/>
  <c r="H15" i="19"/>
  <c r="D16" i="19"/>
  <c r="F16" i="19"/>
  <c r="H16" i="19"/>
  <c r="H8" i="19"/>
  <c r="D8" i="19"/>
  <c r="F8" i="19"/>
  <c r="I8" i="19"/>
  <c r="E6" i="19"/>
  <c r="E5" i="19"/>
  <c r="S17" i="19"/>
  <c r="U9" i="19"/>
  <c r="U10" i="19"/>
  <c r="U11" i="19"/>
  <c r="U12" i="19"/>
  <c r="U13" i="19"/>
  <c r="U14" i="19"/>
  <c r="U15" i="19"/>
  <c r="U16" i="19"/>
  <c r="U5" i="19"/>
  <c r="U6" i="19"/>
  <c r="U7" i="19"/>
  <c r="U8" i="19"/>
  <c r="L8" i="19"/>
  <c r="M8" i="19"/>
  <c r="N8" i="19"/>
  <c r="O8" i="19"/>
  <c r="H17" i="19"/>
  <c r="L19" i="19"/>
  <c r="M19" i="19"/>
  <c r="N19" i="19"/>
  <c r="O19" i="19"/>
  <c r="L10" i="19"/>
  <c r="M10" i="19"/>
  <c r="N10" i="19"/>
  <c r="O10" i="19"/>
  <c r="I17" i="19"/>
  <c r="F17" i="19"/>
  <c r="D17" i="19"/>
  <c r="L16" i="19"/>
  <c r="M16" i="19"/>
  <c r="N16" i="19"/>
  <c r="O16" i="19"/>
  <c r="L15" i="19"/>
  <c r="M15" i="19"/>
  <c r="N15" i="19"/>
  <c r="O15" i="19"/>
  <c r="L14" i="19"/>
  <c r="M14" i="19"/>
  <c r="N14" i="19"/>
  <c r="O14" i="19"/>
  <c r="L13" i="19"/>
  <c r="M13" i="19"/>
  <c r="N13" i="19"/>
  <c r="O13" i="19"/>
  <c r="L12" i="19"/>
  <c r="M12" i="19"/>
  <c r="N12" i="19"/>
  <c r="O12" i="19"/>
  <c r="L11" i="19"/>
  <c r="M11" i="19"/>
  <c r="N11" i="19"/>
  <c r="O11" i="19"/>
  <c r="L9" i="19"/>
  <c r="M9" i="19"/>
  <c r="N9" i="19"/>
  <c r="O9" i="19"/>
  <c r="U17" i="19"/>
  <c r="L18" i="14"/>
  <c r="K18" i="14"/>
  <c r="H5" i="14"/>
  <c r="H25" i="14"/>
  <c r="H24" i="14"/>
  <c r="I24" i="14"/>
  <c r="I27" i="14"/>
  <c r="I26" i="14"/>
  <c r="H27" i="14"/>
  <c r="D27" i="14"/>
  <c r="F27" i="14"/>
  <c r="H26" i="14"/>
  <c r="D26" i="14"/>
  <c r="F26" i="14"/>
  <c r="I25" i="14"/>
  <c r="D25" i="14"/>
  <c r="F25" i="14"/>
  <c r="D24" i="14"/>
  <c r="E5" i="14"/>
  <c r="K17" i="14"/>
  <c r="D30" i="14"/>
  <c r="K29" i="14"/>
  <c r="J29" i="14"/>
  <c r="G29" i="14"/>
  <c r="E29" i="14"/>
  <c r="C29" i="14"/>
  <c r="L16" i="14"/>
  <c r="M16" i="14"/>
  <c r="L15" i="14"/>
  <c r="M15" i="14"/>
  <c r="L14" i="14"/>
  <c r="M14" i="14"/>
  <c r="O13" i="14"/>
  <c r="P13" i="14"/>
  <c r="L13" i="14"/>
  <c r="M13" i="14"/>
  <c r="L12" i="14"/>
  <c r="M12" i="14"/>
  <c r="L11" i="14"/>
  <c r="M11" i="14"/>
  <c r="M9" i="14"/>
  <c r="U8" i="14"/>
  <c r="T8" i="14"/>
  <c r="S8" i="14"/>
  <c r="M8" i="14"/>
  <c r="V7" i="14"/>
  <c r="M7" i="14"/>
  <c r="V6" i="14"/>
  <c r="M6" i="14"/>
  <c r="V5" i="14"/>
  <c r="M5" i="14"/>
  <c r="O13" i="8"/>
  <c r="P13" i="8"/>
  <c r="V5" i="8"/>
  <c r="V7" i="8"/>
  <c r="V6" i="8"/>
  <c r="D22" i="9"/>
  <c r="F21" i="9"/>
  <c r="D21" i="9"/>
  <c r="D8" i="11"/>
  <c r="F8" i="11"/>
  <c r="E5" i="11"/>
  <c r="S17" i="11"/>
  <c r="S20" i="11"/>
  <c r="T7" i="11"/>
  <c r="K9" i="11"/>
  <c r="J9" i="11"/>
  <c r="H9" i="11"/>
  <c r="G9" i="11"/>
  <c r="E9" i="11"/>
  <c r="C9" i="11"/>
  <c r="T16" i="11"/>
  <c r="U16" i="11"/>
  <c r="T15" i="11"/>
  <c r="U15" i="11"/>
  <c r="T14" i="11"/>
  <c r="U14" i="11"/>
  <c r="T13" i="11"/>
  <c r="U13" i="11"/>
  <c r="T12" i="11"/>
  <c r="U12" i="11"/>
  <c r="T11" i="11"/>
  <c r="U9" i="11"/>
  <c r="U8" i="11"/>
  <c r="U7" i="11"/>
  <c r="U6" i="11"/>
  <c r="U5" i="11"/>
  <c r="E31" i="8"/>
  <c r="G31" i="8"/>
  <c r="J31" i="8"/>
  <c r="K31" i="8"/>
  <c r="C31" i="8"/>
  <c r="D27" i="8"/>
  <c r="E27" i="8"/>
  <c r="F27" i="8"/>
  <c r="G27" i="8"/>
  <c r="H27" i="8"/>
  <c r="I27" i="8"/>
  <c r="J27" i="8"/>
  <c r="K27" i="8"/>
  <c r="K32" i="8"/>
  <c r="L27" i="8"/>
  <c r="M27" i="8"/>
  <c r="C27" i="8"/>
  <c r="C32" i="8"/>
  <c r="O24" i="8"/>
  <c r="O25" i="8"/>
  <c r="O26" i="8"/>
  <c r="I29" i="8"/>
  <c r="I31" i="8"/>
  <c r="H30" i="8"/>
  <c r="H29" i="8"/>
  <c r="H28" i="8"/>
  <c r="H31" i="8"/>
  <c r="D29" i="8"/>
  <c r="F29" i="8"/>
  <c r="D30" i="8"/>
  <c r="F30" i="8"/>
  <c r="D33" i="8"/>
  <c r="D28" i="8"/>
  <c r="E5" i="8"/>
  <c r="E6" i="8"/>
  <c r="G5" i="10"/>
  <c r="D21" i="10"/>
  <c r="E21" i="10"/>
  <c r="F21" i="10"/>
  <c r="H5" i="10"/>
  <c r="D19" i="9"/>
  <c r="D18" i="9"/>
  <c r="D17" i="9"/>
  <c r="D16" i="9"/>
  <c r="D15" i="9"/>
  <c r="L18" i="8"/>
  <c r="K18" i="8"/>
  <c r="T8" i="8"/>
  <c r="U8" i="8"/>
  <c r="S8" i="8"/>
  <c r="L16" i="8"/>
  <c r="M16" i="8"/>
  <c r="L15" i="8"/>
  <c r="M15" i="8"/>
  <c r="L14" i="8"/>
  <c r="M14" i="8"/>
  <c r="L13" i="8"/>
  <c r="M13" i="8"/>
  <c r="L12" i="8"/>
  <c r="M12" i="8"/>
  <c r="L11" i="8"/>
  <c r="M11" i="8"/>
  <c r="M6" i="8"/>
  <c r="L7" i="8"/>
  <c r="M7" i="8"/>
  <c r="M8" i="8"/>
  <c r="M9" i="8"/>
  <c r="M5" i="8"/>
  <c r="D20" i="2"/>
  <c r="G17" i="2"/>
  <c r="C8" i="3"/>
  <c r="C7" i="3"/>
  <c r="B20" i="6"/>
  <c r="B19" i="6"/>
  <c r="B15" i="6"/>
  <c r="B9" i="6"/>
  <c r="B11" i="6"/>
  <c r="B14" i="6"/>
  <c r="B16" i="6"/>
  <c r="B17" i="6"/>
  <c r="B5" i="6"/>
  <c r="C5" i="6"/>
  <c r="C6" i="6"/>
  <c r="C6" i="2"/>
  <c r="E6" i="5"/>
  <c r="C7" i="5"/>
  <c r="B11" i="5"/>
  <c r="K8" i="5"/>
  <c r="K13" i="5"/>
  <c r="I18" i="5"/>
  <c r="J15" i="5"/>
  <c r="K15" i="5"/>
  <c r="J14" i="5"/>
  <c r="K14" i="5"/>
  <c r="J12" i="5"/>
  <c r="K12" i="5"/>
  <c r="J11" i="5"/>
  <c r="K11" i="5"/>
  <c r="J10" i="5"/>
  <c r="K10" i="5"/>
  <c r="J9" i="5"/>
  <c r="K9" i="5"/>
  <c r="J7" i="5"/>
  <c r="K7" i="5"/>
  <c r="C6" i="5"/>
  <c r="B10" i="5"/>
  <c r="J6" i="5"/>
  <c r="K6" i="5"/>
  <c r="J5" i="5"/>
  <c r="K5" i="5"/>
  <c r="K6" i="3"/>
  <c r="K5" i="3"/>
  <c r="I7" i="3"/>
  <c r="L20" i="3"/>
  <c r="H20" i="3"/>
  <c r="L12" i="3"/>
  <c r="L13" i="3"/>
  <c r="L14" i="3"/>
  <c r="L15" i="3"/>
  <c r="L16" i="3"/>
  <c r="L17" i="3"/>
  <c r="L18" i="3"/>
  <c r="L19" i="3"/>
  <c r="L11" i="3"/>
  <c r="H12" i="3"/>
  <c r="H14" i="3"/>
  <c r="H15" i="3"/>
  <c r="G11" i="3"/>
  <c r="G13" i="3"/>
  <c r="G17" i="3"/>
  <c r="F11" i="3"/>
  <c r="F13" i="3"/>
  <c r="F16" i="3"/>
  <c r="F18" i="3"/>
  <c r="F19" i="3"/>
  <c r="E17" i="3"/>
  <c r="E11" i="3"/>
  <c r="E13" i="3"/>
  <c r="D11" i="3"/>
  <c r="D13" i="3"/>
  <c r="D16" i="3"/>
  <c r="C11" i="3"/>
  <c r="C13" i="3"/>
  <c r="C16" i="3"/>
  <c r="C18" i="3"/>
  <c r="C19" i="3"/>
  <c r="B11" i="3"/>
  <c r="H11" i="3"/>
  <c r="J11" i="3"/>
  <c r="J13" i="3"/>
  <c r="J16" i="3"/>
  <c r="K11" i="3"/>
  <c r="K13" i="3"/>
  <c r="I11" i="3"/>
  <c r="I13" i="3"/>
  <c r="I16" i="3"/>
  <c r="I18" i="3"/>
  <c r="I19" i="3"/>
  <c r="Q15" i="3"/>
  <c r="Q16" i="3"/>
  <c r="Q14" i="3"/>
  <c r="Q13" i="3"/>
  <c r="P7" i="3"/>
  <c r="Q7" i="3"/>
  <c r="O8" i="3"/>
  <c r="O10" i="3"/>
  <c r="Q9" i="3"/>
  <c r="P6" i="3"/>
  <c r="Q6" i="3"/>
  <c r="P5" i="3"/>
  <c r="Q5" i="3"/>
  <c r="B12" i="5"/>
  <c r="J18" i="5"/>
  <c r="Q18" i="3"/>
  <c r="G16" i="3"/>
  <c r="G18" i="3"/>
  <c r="G19" i="3"/>
  <c r="E16" i="3"/>
  <c r="D17" i="3"/>
  <c r="H17" i="3"/>
  <c r="D18" i="3"/>
  <c r="D19" i="3"/>
  <c r="B13" i="3"/>
  <c r="J18" i="3"/>
  <c r="K17" i="3"/>
  <c r="K16" i="3"/>
  <c r="Q8" i="3"/>
  <c r="P10" i="3"/>
  <c r="Q10" i="3"/>
  <c r="B13" i="5"/>
  <c r="B16" i="3"/>
  <c r="K18" i="3"/>
  <c r="K19" i="3"/>
  <c r="E18" i="3"/>
  <c r="E19" i="3"/>
  <c r="J19" i="3"/>
  <c r="B16" i="5"/>
  <c r="B17" i="5"/>
  <c r="B18" i="5"/>
  <c r="K17" i="5"/>
  <c r="K16" i="5"/>
  <c r="B18" i="3"/>
  <c r="H16" i="3"/>
  <c r="K18" i="5"/>
  <c r="B19" i="3"/>
  <c r="H19" i="3"/>
  <c r="H18" i="3"/>
  <c r="H19" i="2"/>
  <c r="F19" i="2"/>
  <c r="E19" i="2"/>
  <c r="K6" i="2"/>
  <c r="L6" i="2"/>
  <c r="K7" i="2"/>
  <c r="L7" i="2"/>
  <c r="K8" i="2"/>
  <c r="L8" i="2"/>
  <c r="K9" i="2"/>
  <c r="L9" i="2"/>
  <c r="K10" i="2"/>
  <c r="L10" i="2"/>
  <c r="J14" i="2"/>
  <c r="D17" i="2"/>
  <c r="I17" i="2"/>
  <c r="D18" i="2"/>
  <c r="G18" i="2"/>
  <c r="I18" i="2"/>
  <c r="I19" i="2"/>
  <c r="D24" i="2"/>
  <c r="K5" i="2"/>
  <c r="L5" i="2"/>
  <c r="L4" i="2"/>
  <c r="J6" i="1"/>
  <c r="K4" i="1"/>
  <c r="L4" i="1"/>
  <c r="K5" i="1"/>
  <c r="L5" i="1"/>
  <c r="K3" i="1"/>
  <c r="L3" i="1"/>
  <c r="D14" i="1"/>
  <c r="D15" i="1"/>
  <c r="E12" i="1"/>
  <c r="F12" i="1"/>
  <c r="D12" i="1"/>
  <c r="G7" i="1"/>
  <c r="G9" i="1"/>
  <c r="G12" i="1"/>
  <c r="G14" i="1"/>
  <c r="G15" i="1"/>
  <c r="D7" i="1"/>
  <c r="D9" i="1"/>
  <c r="G19" i="2"/>
  <c r="L14" i="2"/>
  <c r="K18" i="2"/>
  <c r="K14" i="2"/>
  <c r="K6" i="1"/>
  <c r="L6" i="1"/>
  <c r="K17" i="2"/>
  <c r="D22" i="2"/>
  <c r="D23" i="2"/>
  <c r="D25" i="2"/>
  <c r="D26" i="2"/>
  <c r="L19" i="2"/>
  <c r="K19" i="2"/>
  <c r="O17" i="19"/>
  <c r="M17" i="19"/>
  <c r="L17" i="19"/>
  <c r="N17" i="19"/>
  <c r="L27" i="14"/>
  <c r="M27" i="14"/>
  <c r="N27" i="14"/>
  <c r="O27" i="14"/>
  <c r="L26" i="14"/>
  <c r="M26" i="14"/>
  <c r="N26" i="14"/>
  <c r="O26" i="14"/>
  <c r="L25" i="14"/>
  <c r="M25" i="14"/>
  <c r="N25" i="14"/>
  <c r="O25" i="14"/>
  <c r="D29" i="14"/>
  <c r="H29" i="14"/>
  <c r="F24" i="14"/>
  <c r="L17" i="14"/>
  <c r="M17" i="14"/>
  <c r="V8" i="14"/>
  <c r="M18" i="14"/>
  <c r="I32" i="8"/>
  <c r="G32" i="8"/>
  <c r="J32" i="8"/>
  <c r="H32" i="8"/>
  <c r="L29" i="8"/>
  <c r="M29" i="8"/>
  <c r="N29" i="8"/>
  <c r="O29" i="8"/>
  <c r="E32" i="8"/>
  <c r="D31" i="8"/>
  <c r="D32" i="8"/>
  <c r="F28" i="8"/>
  <c r="U11" i="11"/>
  <c r="U18" i="11"/>
  <c r="L30" i="8"/>
  <c r="M30" i="8"/>
  <c r="N30" i="8"/>
  <c r="O30" i="8"/>
  <c r="M18" i="8"/>
  <c r="V8" i="8"/>
  <c r="L24" i="14"/>
  <c r="I29" i="14"/>
  <c r="M20" i="14"/>
  <c r="F31" i="8"/>
  <c r="F32" i="8"/>
  <c r="L28" i="8"/>
  <c r="M20" i="8"/>
  <c r="L29" i="14"/>
  <c r="M24" i="14"/>
  <c r="L31" i="8"/>
  <c r="L32" i="8"/>
  <c r="M28" i="8"/>
  <c r="M29" i="14"/>
  <c r="N24" i="14"/>
  <c r="M31" i="8"/>
  <c r="M32" i="8"/>
  <c r="N28" i="8"/>
  <c r="N29" i="14"/>
  <c r="O24" i="14"/>
  <c r="O29" i="14"/>
  <c r="N31" i="8"/>
  <c r="N32" i="8"/>
  <c r="O28" i="8"/>
  <c r="O31" i="8"/>
  <c r="K20" i="14"/>
  <c r="L20" i="14"/>
  <c r="F29" i="14"/>
  <c r="L8" i="24"/>
  <c r="S31" i="21"/>
  <c r="U31" i="21"/>
  <c r="L13" i="21"/>
  <c r="M13" i="21"/>
  <c r="N13" i="21"/>
  <c r="O13" i="21"/>
  <c r="L20" i="21"/>
  <c r="M20" i="21"/>
  <c r="N20" i="21"/>
  <c r="O20" i="21"/>
  <c r="L19" i="21"/>
  <c r="M19" i="21"/>
  <c r="N19" i="21"/>
  <c r="O19" i="21"/>
  <c r="L18" i="21"/>
  <c r="M18" i="21"/>
  <c r="N18" i="21"/>
  <c r="O18" i="21"/>
  <c r="L16" i="21"/>
  <c r="M16" i="21"/>
  <c r="N16" i="21"/>
  <c r="O16" i="21"/>
  <c r="L17" i="21"/>
  <c r="M17" i="21"/>
  <c r="N17" i="21"/>
  <c r="O17" i="21"/>
  <c r="L15" i="21"/>
  <c r="M15" i="21"/>
  <c r="N15" i="21"/>
  <c r="O15" i="21"/>
  <c r="L9" i="21"/>
  <c r="M9" i="21"/>
  <c r="N9" i="21"/>
  <c r="O9" i="21"/>
  <c r="L11" i="21"/>
  <c r="M11" i="21"/>
  <c r="N11" i="21"/>
  <c r="O11" i="21"/>
  <c r="L14" i="21"/>
  <c r="M14" i="21"/>
  <c r="N14" i="21"/>
  <c r="O14" i="21"/>
  <c r="L10" i="21"/>
  <c r="M10" i="21"/>
  <c r="N10" i="21"/>
  <c r="O10" i="21"/>
  <c r="H23" i="21"/>
  <c r="I23" i="21"/>
  <c r="L8" i="21"/>
  <c r="L12" i="21"/>
  <c r="M12" i="21"/>
  <c r="N12" i="21"/>
  <c r="O12" i="21"/>
  <c r="D23" i="21"/>
  <c r="F23" i="21"/>
  <c r="I8" i="11"/>
  <c r="I9" i="11"/>
  <c r="F9" i="11"/>
  <c r="D9" i="11"/>
  <c r="T17" i="11"/>
  <c r="T20" i="11"/>
  <c r="U17" i="11"/>
  <c r="U20" i="11"/>
  <c r="L23" i="24"/>
  <c r="M8" i="24"/>
  <c r="M8" i="21"/>
  <c r="L23" i="21"/>
  <c r="L8" i="11"/>
  <c r="M23" i="24"/>
  <c r="N8" i="24"/>
  <c r="M23" i="21"/>
  <c r="N8" i="21"/>
  <c r="L9" i="11"/>
  <c r="M8" i="11"/>
  <c r="O8" i="24"/>
  <c r="O23" i="24"/>
  <c r="N23" i="24"/>
  <c r="N23" i="21"/>
  <c r="O8" i="21"/>
  <c r="O23" i="21"/>
  <c r="N8" i="11"/>
  <c r="M9" i="11"/>
  <c r="N9" i="11"/>
  <c r="O8" i="11"/>
  <c r="O9" i="11"/>
  <c r="K20" i="8"/>
  <c r="L20" i="8"/>
</calcChain>
</file>

<file path=xl/sharedStrings.xml><?xml version="1.0" encoding="utf-8"?>
<sst xmlns="http://schemas.openxmlformats.org/spreadsheetml/2006/main" count="1617" uniqueCount="499">
  <si>
    <t>货物发票</t>
    <phoneticPr fontId="4" type="noConversion"/>
  </si>
  <si>
    <t>HK USLINK TRADING LIMITED</t>
    <phoneticPr fontId="4" type="noConversion"/>
  </si>
  <si>
    <t>UNICO-220803-1</t>
    <phoneticPr fontId="4" type="noConversion"/>
  </si>
  <si>
    <t>金额</t>
    <phoneticPr fontId="4" type="noConversion"/>
  </si>
  <si>
    <t>FUZHOU USLING TRADING CO., LTD</t>
    <phoneticPr fontId="4" type="noConversion"/>
  </si>
  <si>
    <t>UNICO-220803-2</t>
    <phoneticPr fontId="4" type="noConversion"/>
  </si>
  <si>
    <t>发票号码</t>
    <phoneticPr fontId="4" type="noConversion"/>
  </si>
  <si>
    <t>运输公司</t>
    <phoneticPr fontId="4" type="noConversion"/>
  </si>
  <si>
    <t>深圳市华嘉供应链有限公司</t>
    <phoneticPr fontId="4" type="noConversion"/>
  </si>
  <si>
    <t>NEW TRANS HONG KONG LIMITED</t>
    <phoneticPr fontId="4" type="noConversion"/>
  </si>
  <si>
    <t>TRLU7438892</t>
    <phoneticPr fontId="4" type="noConversion"/>
  </si>
  <si>
    <t>SZXHJ022880</t>
    <phoneticPr fontId="4" type="noConversion"/>
  </si>
  <si>
    <t>SZXHJ022881</t>
  </si>
  <si>
    <t>货物价值</t>
    <phoneticPr fontId="4" type="noConversion"/>
  </si>
  <si>
    <t>海运费</t>
    <phoneticPr fontId="4" type="noConversion"/>
  </si>
  <si>
    <t>46 CIF</t>
    <phoneticPr fontId="4" type="noConversion"/>
  </si>
  <si>
    <t>保险</t>
    <phoneticPr fontId="4" type="noConversion"/>
  </si>
  <si>
    <t>T-3+descarga</t>
    <phoneticPr fontId="4" type="noConversion"/>
  </si>
  <si>
    <t>ADUANA</t>
    <phoneticPr fontId="4" type="noConversion"/>
  </si>
  <si>
    <t>IVA</t>
    <phoneticPr fontId="4" type="noConversion"/>
  </si>
  <si>
    <t>IVA基数</t>
    <phoneticPr fontId="4" type="noConversion"/>
  </si>
  <si>
    <t>代理报关费用</t>
    <phoneticPr fontId="4" type="noConversion"/>
  </si>
  <si>
    <t>LA ESPADA</t>
    <phoneticPr fontId="4" type="noConversion"/>
  </si>
  <si>
    <t>DOS PROVEEDORES</t>
    <phoneticPr fontId="4" type="noConversion"/>
  </si>
  <si>
    <t>FORFAIT GASTOS FOB</t>
    <phoneticPr fontId="4" type="noConversion"/>
  </si>
  <si>
    <t>TRANSPORTE MINIMO A ESCANER Y REVISION</t>
    <phoneticPr fontId="4" type="noConversion"/>
  </si>
  <si>
    <t>汇率</t>
    <phoneticPr fontId="4" type="noConversion"/>
  </si>
  <si>
    <t>美金原价</t>
    <phoneticPr fontId="4" type="noConversion"/>
  </si>
  <si>
    <t>欧元申报</t>
    <phoneticPr fontId="4" type="noConversion"/>
  </si>
  <si>
    <t>EITU9221367柜子的清关资料</t>
    <phoneticPr fontId="4" type="noConversion"/>
  </si>
  <si>
    <t>UNICO-2200902-1</t>
    <phoneticPr fontId="4" type="noConversion"/>
  </si>
  <si>
    <t>EVERGREEN LINE</t>
    <phoneticPr fontId="4" type="noConversion"/>
  </si>
  <si>
    <t>WTD LOGISTICS HK LIMITED</t>
  </si>
  <si>
    <t>COMERCIAL INVOICE</t>
    <phoneticPr fontId="4" type="noConversion"/>
  </si>
  <si>
    <t>NO FACTURA</t>
    <phoneticPr fontId="4" type="noConversion"/>
  </si>
  <si>
    <t>IMPORTE</t>
    <phoneticPr fontId="4" type="noConversion"/>
  </si>
  <si>
    <t>TRANSPORTE</t>
    <phoneticPr fontId="4" type="noConversion"/>
  </si>
  <si>
    <t>AGENCIA DE TRANSPORTE</t>
    <phoneticPr fontId="4" type="noConversion"/>
  </si>
  <si>
    <t>BILL OF LADING</t>
    <phoneticPr fontId="4" type="noConversion"/>
  </si>
  <si>
    <t>MAEA2209206718</t>
    <phoneticPr fontId="4" type="noConversion"/>
  </si>
  <si>
    <t>SEA TRANSPORTE/FLETE</t>
    <phoneticPr fontId="4" type="noConversion"/>
  </si>
  <si>
    <t>WALL EQUIPO MEDICO, S.L.</t>
    <phoneticPr fontId="4" type="noConversion"/>
  </si>
  <si>
    <t>GASTOS DESTINO EXENTOS IVA</t>
    <phoneticPr fontId="4" type="noConversion"/>
  </si>
  <si>
    <t>GASTOS DESTINOSUJETOS IVA</t>
    <phoneticPr fontId="4" type="noConversion"/>
  </si>
  <si>
    <t>DESPACHO IMOORTACION</t>
    <phoneticPr fontId="4" type="noConversion"/>
  </si>
  <si>
    <t>SOIVRE</t>
    <phoneticPr fontId="4" type="noConversion"/>
  </si>
  <si>
    <t>1H PARALIZACION DESCARGA</t>
    <phoneticPr fontId="4" type="noConversion"/>
  </si>
  <si>
    <t>DEMORAS</t>
    <phoneticPr fontId="4" type="noConversion"/>
  </si>
  <si>
    <t>STORAGES</t>
    <phoneticPr fontId="4" type="noConversion"/>
  </si>
  <si>
    <t>海运分摊</t>
    <phoneticPr fontId="4" type="noConversion"/>
  </si>
  <si>
    <t>DUA</t>
    <phoneticPr fontId="4" type="noConversion"/>
  </si>
  <si>
    <t>BI BASE DE IVA</t>
    <phoneticPr fontId="4" type="noConversion"/>
  </si>
  <si>
    <t>BASE DE DUA</t>
    <phoneticPr fontId="4" type="noConversion"/>
  </si>
  <si>
    <t>海运保险</t>
    <phoneticPr fontId="4" type="noConversion"/>
  </si>
  <si>
    <t>到期日</t>
    <phoneticPr fontId="4" type="noConversion"/>
  </si>
  <si>
    <t>MAGU5350515</t>
  </si>
  <si>
    <t>UNICO-220703-1</t>
    <phoneticPr fontId="4" type="noConversion"/>
  </si>
  <si>
    <t>UNICO-220703-2</t>
    <phoneticPr fontId="4" type="noConversion"/>
  </si>
  <si>
    <t>hunicorn shipping co., ltd</t>
  </si>
  <si>
    <t>S0722070052B</t>
    <phoneticPr fontId="4" type="noConversion"/>
  </si>
  <si>
    <t>S0722070052A</t>
    <phoneticPr fontId="4" type="noConversion"/>
  </si>
  <si>
    <t>COMMERCIAL INVOICE</t>
    <phoneticPr fontId="4" type="noConversion"/>
  </si>
  <si>
    <t>FA NO</t>
    <phoneticPr fontId="4" type="noConversion"/>
  </si>
  <si>
    <t>PRESENTE</t>
    <phoneticPr fontId="4" type="noConversion"/>
  </si>
  <si>
    <t>FLETE</t>
    <phoneticPr fontId="4" type="noConversion"/>
  </si>
  <si>
    <t>PRECIO</t>
    <phoneticPr fontId="4" type="noConversion"/>
  </si>
  <si>
    <t>QUEBRANTO BANCARIO 1%</t>
    <phoneticPr fontId="4" type="noConversion"/>
  </si>
  <si>
    <t>OCUPACIONES</t>
    <phoneticPr fontId="4" type="noConversion"/>
  </si>
  <si>
    <t>9/1-9/10</t>
    <phoneticPr fontId="4" type="noConversion"/>
  </si>
  <si>
    <t>9/11-9/09</t>
    <phoneticPr fontId="4" type="noConversion"/>
  </si>
  <si>
    <t>9/4-9/10</t>
    <phoneticPr fontId="4" type="noConversion"/>
  </si>
  <si>
    <t>9/11-9/13</t>
    <phoneticPr fontId="4" type="noConversion"/>
  </si>
  <si>
    <t>FECHA</t>
    <phoneticPr fontId="4" type="noConversion"/>
  </si>
  <si>
    <t>DIAS</t>
    <phoneticPr fontId="4" type="noConversion"/>
  </si>
  <si>
    <t>CON IVA</t>
    <phoneticPr fontId="4" type="noConversion"/>
  </si>
  <si>
    <t>STORAGE CARRIER IMPORT</t>
    <phoneticPr fontId="4" type="noConversion"/>
  </si>
  <si>
    <t>深圳灏东船务有限公司</t>
    <phoneticPr fontId="4" type="noConversion"/>
  </si>
  <si>
    <t>TOTAL</t>
    <phoneticPr fontId="4" type="noConversion"/>
  </si>
  <si>
    <t>欧元申报</t>
  </si>
  <si>
    <t>total</t>
    <phoneticPr fontId="4" type="noConversion"/>
  </si>
  <si>
    <t>suma</t>
    <phoneticPr fontId="4" type="noConversion"/>
  </si>
  <si>
    <t>ES00461131980351</t>
    <phoneticPr fontId="4" type="noConversion"/>
  </si>
  <si>
    <t>ES00461131980260</t>
    <phoneticPr fontId="4" type="noConversion"/>
  </si>
  <si>
    <t>KSBU0101367-40HC-HLG2016901</t>
    <phoneticPr fontId="4" type="noConversion"/>
  </si>
  <si>
    <t>BL HLCUNG12209DAZP3-843.00BLT.-10130KG-64.50 M3</t>
    <phoneticPr fontId="4" type="noConversion"/>
  </si>
  <si>
    <t>transporte dentro puerto para inspeccion dia id logistics</t>
    <phoneticPr fontId="4" type="noConversion"/>
  </si>
  <si>
    <t>PILAS NAVIERA</t>
    <phoneticPr fontId="4" type="noConversion"/>
  </si>
  <si>
    <t>revision fisica</t>
    <phoneticPr fontId="4" type="noConversion"/>
  </si>
  <si>
    <t>despacho aduana</t>
    <phoneticPr fontId="4" type="noConversion"/>
  </si>
  <si>
    <t>cita posicionado</t>
    <phoneticPr fontId="4" type="noConversion"/>
  </si>
  <si>
    <t>t-3</t>
    <phoneticPr fontId="4" type="noConversion"/>
  </si>
  <si>
    <t>THC</t>
    <phoneticPr fontId="4" type="noConversion"/>
  </si>
  <si>
    <t>GASTOS ID LOGISTICS</t>
    <phoneticPr fontId="4" type="noConversion"/>
  </si>
  <si>
    <t>IVA. A</t>
    <phoneticPr fontId="4" type="noConversion"/>
  </si>
  <si>
    <t>UNICO-220905-1</t>
    <phoneticPr fontId="4" type="noConversion"/>
  </si>
  <si>
    <t>M &amp; W CHINA LIMITED</t>
  </si>
  <si>
    <t>M &amp; W CHINA LIMITED</t>
    <phoneticPr fontId="4" type="noConversion"/>
  </si>
  <si>
    <t>US002</t>
  </si>
  <si>
    <t>US002</t>
    <phoneticPr fontId="4" type="noConversion"/>
  </si>
  <si>
    <t>DESCARGA</t>
    <phoneticPr fontId="4" type="noConversion"/>
  </si>
  <si>
    <t>2022/32/1968</t>
    <phoneticPr fontId="4" type="noConversion"/>
  </si>
  <si>
    <t>18/11/2022</t>
    <phoneticPr fontId="4" type="noConversion"/>
  </si>
  <si>
    <t>17/01/2023</t>
    <phoneticPr fontId="4" type="noConversion"/>
  </si>
  <si>
    <t>22ES00461132495181</t>
    <phoneticPr fontId="4" type="noConversion"/>
  </si>
  <si>
    <t>2022/32/2006 11/11--11/16 7.04*6</t>
    <phoneticPr fontId="4" type="noConversion"/>
  </si>
  <si>
    <t>24/01/2023</t>
    <phoneticPr fontId="4" type="noConversion"/>
  </si>
  <si>
    <t>derechos aduana</t>
    <phoneticPr fontId="4" type="noConversion"/>
  </si>
  <si>
    <t>USL-220801</t>
    <phoneticPr fontId="4" type="noConversion"/>
  </si>
  <si>
    <t>22ES0028013 8888010</t>
  </si>
  <si>
    <t>FEDEX adm</t>
    <phoneticPr fontId="4" type="noConversion"/>
  </si>
  <si>
    <t>IVA FEDEX</t>
    <phoneticPr fontId="4" type="noConversion"/>
  </si>
  <si>
    <t>893648171</t>
    <phoneticPr fontId="4" type="noConversion"/>
  </si>
  <si>
    <t>FEDEX 8月23日报关信息</t>
    <phoneticPr fontId="4" type="noConversion"/>
  </si>
  <si>
    <t>柜号</t>
  </si>
  <si>
    <t>FEDEX 空运</t>
  </si>
  <si>
    <t>MAGU535015</t>
  </si>
  <si>
    <t>HK USLINK TRADING LIMITED</t>
  </si>
  <si>
    <t>FUZHOU USLING TRADING CO., LTD</t>
  </si>
  <si>
    <t>TRLU7438892</t>
  </si>
  <si>
    <t>EITU9221367</t>
  </si>
  <si>
    <t>KSBU0101367</t>
  </si>
  <si>
    <t>物料发票号码</t>
    <phoneticPr fontId="4" type="noConversion"/>
  </si>
  <si>
    <t>清关发票号码</t>
    <phoneticPr fontId="4" type="noConversion"/>
  </si>
  <si>
    <t>申报欧元</t>
    <phoneticPr fontId="4" type="noConversion"/>
  </si>
  <si>
    <t>USL-220801</t>
  </si>
  <si>
    <t>UNICO-220703-2</t>
  </si>
  <si>
    <t>UNICO-220703-1</t>
  </si>
  <si>
    <t>UNICO-220803-1</t>
  </si>
  <si>
    <t>UNICO-220803-2</t>
  </si>
  <si>
    <t>UNICO-2200902-1</t>
  </si>
  <si>
    <t>22ES00461132495181</t>
  </si>
  <si>
    <t>UNICO-220905-1</t>
  </si>
  <si>
    <t>IVA 基数</t>
    <phoneticPr fontId="4" type="noConversion"/>
  </si>
  <si>
    <t>22ES00461132162383</t>
  </si>
  <si>
    <t>22ES00461132162383</t>
    <phoneticPr fontId="4" type="noConversion"/>
  </si>
  <si>
    <t>22ES00461132162391</t>
  </si>
  <si>
    <t>22ES00461132162391</t>
    <phoneticPr fontId="4" type="noConversion"/>
  </si>
  <si>
    <t>22ES00461131980351</t>
    <phoneticPr fontId="4" type="noConversion"/>
  </si>
  <si>
    <t>22ES00461131980260</t>
    <phoneticPr fontId="4" type="noConversion"/>
  </si>
  <si>
    <t>22ES00461132433352</t>
  </si>
  <si>
    <t>22ES00461132433352</t>
    <phoneticPr fontId="4" type="noConversion"/>
  </si>
  <si>
    <r>
      <rPr>
        <i/>
        <sz val="10"/>
        <color theme="1"/>
        <rFont val="等线"/>
        <family val="2"/>
        <charset val="134"/>
      </rPr>
      <t>货物发票支付情况</t>
    </r>
    <phoneticPr fontId="4" type="noConversion"/>
  </si>
  <si>
    <r>
      <rPr>
        <i/>
        <sz val="10"/>
        <color theme="1"/>
        <rFont val="等线"/>
        <family val="2"/>
        <charset val="134"/>
      </rPr>
      <t>未付款金额</t>
    </r>
    <phoneticPr fontId="4" type="noConversion"/>
  </si>
  <si>
    <r>
      <rPr>
        <i/>
        <sz val="10"/>
        <color theme="1"/>
        <rFont val="宋体"/>
        <family val="2"/>
        <charset val="134"/>
      </rPr>
      <t>财务记账</t>
    </r>
    <r>
      <rPr>
        <i/>
        <sz val="10"/>
        <color theme="1"/>
        <rFont val="Arial"/>
        <family val="2"/>
      </rPr>
      <t>IVA</t>
    </r>
    <phoneticPr fontId="4" type="noConversion"/>
  </si>
  <si>
    <t>MRKU3257819-40HC-CN2311357</t>
    <phoneticPr fontId="4" type="noConversion"/>
  </si>
  <si>
    <t>BL 225723354 -1434.00 BLT.-9240KG-67.24 M3</t>
    <phoneticPr fontId="4" type="noConversion"/>
  </si>
  <si>
    <t>2023/MAR/1267</t>
    <phoneticPr fontId="4" type="noConversion"/>
  </si>
  <si>
    <t>27/06/2023</t>
    <phoneticPr fontId="4" type="noConversion"/>
  </si>
  <si>
    <t>FLETE 2250USD@0.92</t>
    <phoneticPr fontId="4" type="noConversion"/>
  </si>
  <si>
    <t>ENS 30 USD</t>
    <phoneticPr fontId="4" type="noConversion"/>
  </si>
  <si>
    <t>QUEBRANTO BANCARIOS 1%</t>
    <phoneticPr fontId="4" type="noConversion"/>
  </si>
  <si>
    <t>T-3</t>
    <phoneticPr fontId="4" type="noConversion"/>
  </si>
  <si>
    <t>FORFAIT GASTOS FOB VLC-PARLA FUTURE TELECOM</t>
    <phoneticPr fontId="4" type="noConversion"/>
  </si>
  <si>
    <t>ROHS 1 PARTIDA 45 EUROS</t>
    <phoneticPr fontId="4" type="noConversion"/>
  </si>
  <si>
    <t>ROHS PARTIDA ADICIONAL 2*25EUR</t>
    <phoneticPr fontId="4" type="noConversion"/>
  </si>
  <si>
    <t>RECARGO CARBURANTE SEGUN LEY</t>
    <phoneticPr fontId="4" type="noConversion"/>
  </si>
  <si>
    <t>DESPACHO ADUANA</t>
    <phoneticPr fontId="4" type="noConversion"/>
  </si>
  <si>
    <t>DESPACHO ADICIONAL 2*80</t>
    <phoneticPr fontId="4" type="noConversion"/>
  </si>
  <si>
    <t>关税</t>
    <phoneticPr fontId="4" type="noConversion"/>
  </si>
  <si>
    <t xml:space="preserve">PLASTICO FUNZHOU </t>
    <phoneticPr fontId="4" type="noConversion"/>
  </si>
  <si>
    <t>合计</t>
    <phoneticPr fontId="4" type="noConversion"/>
  </si>
  <si>
    <t>23023/MAR/1269</t>
    <phoneticPr fontId="4" type="noConversion"/>
  </si>
  <si>
    <t>23023/MAR/1270</t>
  </si>
  <si>
    <t>23ES00461130899206</t>
    <phoneticPr fontId="4" type="noConversion"/>
  </si>
  <si>
    <t>23ES00461130899214</t>
    <phoneticPr fontId="4" type="noConversion"/>
  </si>
  <si>
    <t>23ES00461130899257</t>
    <phoneticPr fontId="4" type="noConversion"/>
  </si>
  <si>
    <t>报关单号码</t>
    <phoneticPr fontId="4" type="noConversion"/>
  </si>
  <si>
    <t>ESP 发票号码</t>
    <phoneticPr fontId="4" type="noConversion"/>
  </si>
  <si>
    <t>供应商发票金额($)</t>
    <phoneticPr fontId="4" type="noConversion"/>
  </si>
  <si>
    <t>进口公司</t>
    <phoneticPr fontId="4" type="noConversion"/>
  </si>
  <si>
    <t>FUTURE</t>
    <phoneticPr fontId="4" type="noConversion"/>
  </si>
  <si>
    <t>关税ADUANA</t>
    <phoneticPr fontId="4" type="noConversion"/>
  </si>
  <si>
    <t>塑料税</t>
    <phoneticPr fontId="4" type="noConversion"/>
  </si>
  <si>
    <t>海运费</t>
  </si>
  <si>
    <r>
      <t>ADUANA</t>
    </r>
    <r>
      <rPr>
        <i/>
        <sz val="10"/>
        <color theme="1"/>
        <rFont val="微软雅黑"/>
        <family val="2"/>
        <charset val="134"/>
      </rPr>
      <t>税单号码</t>
    </r>
    <phoneticPr fontId="4" type="noConversion"/>
  </si>
  <si>
    <t>代理清关公司</t>
  </si>
  <si>
    <t>代理清关公司</t>
    <phoneticPr fontId="4" type="noConversion"/>
  </si>
  <si>
    <t>清关费用合计</t>
    <phoneticPr fontId="4" type="noConversion"/>
  </si>
  <si>
    <t>船运公司</t>
    <phoneticPr fontId="4" type="noConversion"/>
  </si>
  <si>
    <t>深圳灏东船务有限公司</t>
  </si>
  <si>
    <t>LA ESPADA</t>
  </si>
  <si>
    <t>FEDEX</t>
  </si>
  <si>
    <t>FEDEX</t>
    <phoneticPr fontId="4" type="noConversion"/>
  </si>
  <si>
    <t>深圳市华嘉供应链有限公司</t>
  </si>
  <si>
    <t>WALL EQUIPO MEDICO, S.L.</t>
  </si>
  <si>
    <t>WTD LOGISTICS HK LIMITED</t>
    <phoneticPr fontId="4" type="noConversion"/>
  </si>
  <si>
    <t>物料发票日期</t>
  </si>
  <si>
    <t>物料发票日期</t>
    <phoneticPr fontId="4" type="noConversion"/>
  </si>
  <si>
    <t>物料发票供应商</t>
  </si>
  <si>
    <t>物料发票供应商</t>
    <phoneticPr fontId="4" type="noConversion"/>
  </si>
  <si>
    <t>IVA</t>
  </si>
  <si>
    <t>ADUANA税单号码</t>
  </si>
  <si>
    <t>物料发票号码</t>
  </si>
  <si>
    <t>货物发票支付情况</t>
  </si>
  <si>
    <t>未付款金额</t>
  </si>
  <si>
    <t>22ES00461131980351</t>
  </si>
  <si>
    <t>22ES00461131980260</t>
  </si>
  <si>
    <t>付款时间</t>
    <phoneticPr fontId="4" type="noConversion"/>
  </si>
  <si>
    <t>中间行</t>
    <phoneticPr fontId="4" type="noConversion"/>
  </si>
  <si>
    <t>付款对应美金</t>
    <phoneticPr fontId="4" type="noConversion"/>
  </si>
  <si>
    <t>实际付款信息</t>
    <phoneticPr fontId="4" type="noConversion"/>
  </si>
  <si>
    <t>手续费</t>
    <phoneticPr fontId="4" type="noConversion"/>
  </si>
  <si>
    <t>UNICO-220703-2</t>
    <phoneticPr fontId="15" type="noConversion"/>
  </si>
  <si>
    <t>Ebury</t>
    <phoneticPr fontId="4" type="noConversion"/>
  </si>
  <si>
    <t>CAIXA</t>
  </si>
  <si>
    <t>BBVA</t>
    <phoneticPr fontId="4" type="noConversion"/>
  </si>
  <si>
    <t>iBanFirst</t>
    <phoneticPr fontId="4" type="noConversion"/>
  </si>
  <si>
    <t>CAIXA</t>
    <phoneticPr fontId="4" type="noConversion"/>
  </si>
  <si>
    <t>实际供应商付款信息</t>
    <phoneticPr fontId="4" type="noConversion"/>
  </si>
  <si>
    <t>付款日期</t>
  </si>
  <si>
    <t>付款银行</t>
    <phoneticPr fontId="4" type="noConversion"/>
  </si>
  <si>
    <t>银行转账金额</t>
    <phoneticPr fontId="4" type="noConversion"/>
  </si>
  <si>
    <t>换汇记录</t>
    <phoneticPr fontId="4" type="noConversion"/>
  </si>
  <si>
    <t>BBVA-EBURY</t>
    <phoneticPr fontId="4" type="noConversion"/>
  </si>
  <si>
    <t>LA CAIXA-EBURY</t>
    <phoneticPr fontId="4" type="noConversion"/>
  </si>
  <si>
    <t>LA CAIXA-EBURY</t>
  </si>
  <si>
    <t>CAJARURAL-EBURY</t>
    <phoneticPr fontId="4" type="noConversion"/>
  </si>
  <si>
    <t>BBVA-EBURY</t>
  </si>
  <si>
    <t>22-ago-22</t>
  </si>
  <si>
    <t>付款发票号码</t>
    <phoneticPr fontId="4" type="noConversion"/>
  </si>
  <si>
    <t>发票金额</t>
    <phoneticPr fontId="4" type="noConversion"/>
  </si>
  <si>
    <t>付款发票支付金额($)</t>
    <phoneticPr fontId="4" type="noConversion"/>
  </si>
  <si>
    <t>银行付款记录</t>
    <phoneticPr fontId="4" type="noConversion"/>
  </si>
  <si>
    <t>MRKU327819</t>
    <phoneticPr fontId="4" type="noConversion"/>
  </si>
  <si>
    <t>23ES00461130899206</t>
  </si>
  <si>
    <t>合计</t>
  </si>
  <si>
    <t>23023/MAR/1269</t>
  </si>
  <si>
    <t>货代</t>
    <phoneticPr fontId="4" type="noConversion"/>
  </si>
  <si>
    <t>FLETE 2250USD@0.92</t>
  </si>
  <si>
    <t>UNICO-230302-1</t>
    <phoneticPr fontId="4" type="noConversion"/>
  </si>
  <si>
    <t>FUZHOU USLINK TRADING LIMITED</t>
    <phoneticPr fontId="4" type="noConversion"/>
  </si>
  <si>
    <t>UNICO-230302-2</t>
    <phoneticPr fontId="4" type="noConversion"/>
  </si>
  <si>
    <t>到港时间</t>
    <phoneticPr fontId="4" type="noConversion"/>
  </si>
  <si>
    <t>VALUE</t>
    <phoneticPr fontId="4" type="noConversion"/>
  </si>
  <si>
    <t>CODE</t>
    <phoneticPr fontId="4" type="noConversion"/>
  </si>
  <si>
    <t>2023/MAR/1267</t>
  </si>
  <si>
    <t>HKUNICO-230302-1</t>
    <phoneticPr fontId="4" type="noConversion"/>
  </si>
  <si>
    <t>23ES00461130899214</t>
  </si>
  <si>
    <t>MIDBOX</t>
    <phoneticPr fontId="4" type="noConversion"/>
  </si>
  <si>
    <t>FUZHOU</t>
    <phoneticPr fontId="4" type="noConversion"/>
  </si>
  <si>
    <t>HK</t>
    <phoneticPr fontId="4" type="noConversion"/>
  </si>
  <si>
    <t>金额$</t>
    <phoneticPr fontId="4" type="noConversion"/>
  </si>
  <si>
    <t>EURO</t>
    <phoneticPr fontId="4" type="noConversion"/>
  </si>
  <si>
    <t>海关代码</t>
  </si>
  <si>
    <t>物料名称发票名</t>
  </si>
  <si>
    <t>8536909500</t>
  </si>
  <si>
    <t>单据汇率</t>
    <phoneticPr fontId="4" type="noConversion"/>
  </si>
  <si>
    <t>1PL</t>
  </si>
  <si>
    <t>PL</t>
  </si>
  <si>
    <t>8504409590</t>
  </si>
  <si>
    <t>原发票货物价值$</t>
  </si>
  <si>
    <t>8544429090</t>
  </si>
  <si>
    <t>小计</t>
  </si>
  <si>
    <t>adaptadores</t>
  </si>
  <si>
    <t>cargadores</t>
  </si>
  <si>
    <t>cable</t>
  </si>
  <si>
    <t>货物价值</t>
  </si>
  <si>
    <t>46 CIF</t>
  </si>
  <si>
    <t>ADUANA</t>
  </si>
  <si>
    <t>DESCARGA</t>
  </si>
  <si>
    <t>T-3+descarga</t>
  </si>
  <si>
    <t>IVA基数</t>
  </si>
  <si>
    <t>raton</t>
    <phoneticPr fontId="4" type="noConversion"/>
  </si>
  <si>
    <t>8471607000</t>
    <phoneticPr fontId="4" type="noConversion"/>
  </si>
  <si>
    <t>Auriculares bluetooth</t>
    <phoneticPr fontId="4" type="noConversion"/>
  </si>
  <si>
    <t>Reloj inteligente</t>
    <phoneticPr fontId="4" type="noConversion"/>
  </si>
  <si>
    <t>9102120000</t>
    <phoneticPr fontId="4" type="noConversion"/>
  </si>
  <si>
    <t>8517620000</t>
    <phoneticPr fontId="4" type="noConversion"/>
  </si>
  <si>
    <t>2023/MAR/1418</t>
    <phoneticPr fontId="4" type="noConversion"/>
  </si>
  <si>
    <t>23023/MAR/1418</t>
    <phoneticPr fontId="4" type="noConversion"/>
  </si>
  <si>
    <t>2023/MAR/1417</t>
    <phoneticPr fontId="4" type="noConversion"/>
  </si>
  <si>
    <t>CAAU6388079-40HC-CN2430580</t>
    <phoneticPr fontId="4" type="noConversion"/>
  </si>
  <si>
    <t>BL 226222161 -729.00 BLT.-8160KG-64 M3</t>
    <phoneticPr fontId="4" type="noConversion"/>
  </si>
  <si>
    <t>FLETE 2330USD@0.94</t>
    <phoneticPr fontId="4" type="noConversion"/>
  </si>
  <si>
    <t>11/07/2023</t>
    <phoneticPr fontId="4" type="noConversion"/>
  </si>
  <si>
    <t>UNICO-230402-1</t>
    <phoneticPr fontId="4" type="noConversion"/>
  </si>
  <si>
    <t>23ES00461131019441</t>
  </si>
  <si>
    <t>23ES00461131019441</t>
    <phoneticPr fontId="4" type="noConversion"/>
  </si>
  <si>
    <t>MRKU3257819-40HC-CN2311357</t>
  </si>
  <si>
    <t>CAAU6388079</t>
    <phoneticPr fontId="4" type="noConversion"/>
  </si>
  <si>
    <t>2023/MAR/1711</t>
  </si>
  <si>
    <t>2023/MAR/1711</t>
    <phoneticPr fontId="4" type="noConversion"/>
  </si>
  <si>
    <t>CAAU6388079</t>
  </si>
  <si>
    <t>集装箱号码</t>
    <phoneticPr fontId="4" type="noConversion"/>
  </si>
  <si>
    <t>清关费发票日期</t>
    <phoneticPr fontId="4" type="noConversion"/>
  </si>
  <si>
    <t>代理费发票号码</t>
    <phoneticPr fontId="4" type="noConversion"/>
  </si>
  <si>
    <t>商业发票</t>
    <phoneticPr fontId="4" type="noConversion"/>
  </si>
  <si>
    <t>装箱单</t>
    <phoneticPr fontId="4" type="noConversion"/>
  </si>
  <si>
    <t>2023/MAR/1267--2023/MAR/1711</t>
    <phoneticPr fontId="4" type="noConversion"/>
  </si>
  <si>
    <t>代理发票</t>
    <phoneticPr fontId="4" type="noConversion"/>
  </si>
  <si>
    <t>海运费发票</t>
    <phoneticPr fontId="4" type="noConversion"/>
  </si>
  <si>
    <t>HKUNICO-230403-1</t>
  </si>
  <si>
    <t>23ES00461131117312</t>
  </si>
  <si>
    <t>FANU1283452</t>
  </si>
  <si>
    <t>FANU1283452</t>
    <phoneticPr fontId="4" type="noConversion"/>
  </si>
  <si>
    <t>2023/MAR/1417</t>
  </si>
  <si>
    <t>23023/MAR/1268---2023/RMAR/111</t>
    <phoneticPr fontId="4" type="noConversion"/>
  </si>
  <si>
    <t>CNINICO-233002-02</t>
    <phoneticPr fontId="4" type="noConversion"/>
  </si>
  <si>
    <t>HKINICO-230302-1</t>
    <phoneticPr fontId="4" type="noConversion"/>
  </si>
  <si>
    <t>2023/MAR/1418</t>
  </si>
  <si>
    <t>23ES00461131117312</t>
    <phoneticPr fontId="4" type="noConversion"/>
  </si>
  <si>
    <t>序号</t>
  </si>
  <si>
    <t>到港时间</t>
  </si>
  <si>
    <t>到港国家</t>
  </si>
  <si>
    <t>悦港-庆</t>
  </si>
  <si>
    <t>MRKU3257819</t>
  </si>
  <si>
    <t>西班牙</t>
  </si>
  <si>
    <t>供应商</t>
  </si>
  <si>
    <t>货柜号</t>
  </si>
  <si>
    <t>开船时间</t>
  </si>
  <si>
    <t>达源（雯雯订柜）</t>
  </si>
  <si>
    <t>YMLU8808920</t>
  </si>
  <si>
    <t>美通</t>
  </si>
  <si>
    <t>EITU9255937 </t>
  </si>
  <si>
    <t>华嘉</t>
  </si>
  <si>
    <t>OOLU9596768</t>
  </si>
  <si>
    <t>清关代理发票</t>
    <phoneticPr fontId="4" type="noConversion"/>
  </si>
  <si>
    <t>号码</t>
    <phoneticPr fontId="4" type="noConversion"/>
  </si>
  <si>
    <t>是否收到</t>
    <phoneticPr fontId="4" type="noConversion"/>
  </si>
  <si>
    <t>正确否</t>
    <phoneticPr fontId="4" type="noConversion"/>
  </si>
  <si>
    <t>备注信息</t>
    <phoneticPr fontId="4" type="noConversion"/>
  </si>
  <si>
    <t>D.V.1</t>
    <phoneticPr fontId="4" type="noConversion"/>
  </si>
  <si>
    <t>YES</t>
    <phoneticPr fontId="4" type="noConversion"/>
  </si>
  <si>
    <t>C-10</t>
    <phoneticPr fontId="4" type="noConversion"/>
  </si>
  <si>
    <t>CALCULO</t>
    <phoneticPr fontId="4" type="noConversion"/>
  </si>
  <si>
    <t>CERTIFICADO DE IMPORTACION</t>
    <phoneticPr fontId="4" type="noConversion"/>
  </si>
  <si>
    <t>3P</t>
    <phoneticPr fontId="4" type="noConversion"/>
  </si>
  <si>
    <t>LEVANTE DE IMPORTACION</t>
    <phoneticPr fontId="4" type="noConversion"/>
  </si>
  <si>
    <t>LMBZ4UDS92LS99AX</t>
    <phoneticPr fontId="4" type="noConversion"/>
  </si>
  <si>
    <t>商业发票-COMMERCIAL INVOICE</t>
    <phoneticPr fontId="4" type="noConversion"/>
  </si>
  <si>
    <t>装箱单-PACKING LIST</t>
    <phoneticPr fontId="4" type="noConversion"/>
  </si>
  <si>
    <t>2023/RMAR/110</t>
    <phoneticPr fontId="4" type="noConversion"/>
  </si>
  <si>
    <t>flete -$153 y despacho -euro 80</t>
    <phoneticPr fontId="4" type="noConversion"/>
  </si>
  <si>
    <t>修订发票1267</t>
    <phoneticPr fontId="4" type="noConversion"/>
  </si>
  <si>
    <t>代理支付关税增值税发票</t>
    <phoneticPr fontId="4" type="noConversion"/>
  </si>
  <si>
    <t>HK USLINK</t>
    <phoneticPr fontId="4" type="noConversion"/>
  </si>
  <si>
    <t>FUZHOU USLINK</t>
    <phoneticPr fontId="4" type="noConversion"/>
  </si>
  <si>
    <t>23023/MAR/1343</t>
    <phoneticPr fontId="4" type="noConversion"/>
  </si>
  <si>
    <t>2023/MAR/1344</t>
    <phoneticPr fontId="4" type="noConversion"/>
  </si>
  <si>
    <t>23ES00461130899257</t>
  </si>
  <si>
    <t>3157.59金额有误</t>
    <phoneticPr fontId="4" type="noConversion"/>
  </si>
  <si>
    <t>XBD6FM2AR83KBC58</t>
    <phoneticPr fontId="4" type="noConversion"/>
  </si>
  <si>
    <t>BHN46V8G8EHLUFY6</t>
    <phoneticPr fontId="4" type="noConversion"/>
  </si>
  <si>
    <t>ROHS PATIDA ADICIONAL ABONO -25euro</t>
    <phoneticPr fontId="4" type="noConversion"/>
  </si>
  <si>
    <t>NO</t>
    <phoneticPr fontId="4" type="noConversion"/>
  </si>
  <si>
    <t>HKUSL-MID-230302-3</t>
    <phoneticPr fontId="4" type="noConversion"/>
  </si>
  <si>
    <t>CNINICO233002-02</t>
    <phoneticPr fontId="4" type="noConversion"/>
  </si>
  <si>
    <t>UNICO-230402-1</t>
  </si>
  <si>
    <t>船开</t>
    <phoneticPr fontId="4" type="noConversion"/>
  </si>
  <si>
    <t>电放单</t>
    <phoneticPr fontId="4" type="noConversion"/>
  </si>
  <si>
    <t>NB23043E1CCF</t>
    <phoneticPr fontId="4" type="noConversion"/>
  </si>
  <si>
    <t>2p</t>
    <phoneticPr fontId="4" type="noConversion"/>
  </si>
  <si>
    <t>后更正为43928.04</t>
    <phoneticPr fontId="4" type="noConversion"/>
  </si>
  <si>
    <t>2023/MAR/1638</t>
    <phoneticPr fontId="4" type="noConversion"/>
  </si>
  <si>
    <t>NB23043F0807</t>
    <phoneticPr fontId="4" type="noConversion"/>
  </si>
  <si>
    <t>UNICO-230403-1</t>
  </si>
  <si>
    <t>UNICO-230403-1</t>
    <phoneticPr fontId="4" type="noConversion"/>
  </si>
  <si>
    <t>金额/数量</t>
    <phoneticPr fontId="4" type="noConversion"/>
  </si>
  <si>
    <t>174750U</t>
    <phoneticPr fontId="4" type="noConversion"/>
  </si>
  <si>
    <t>USL-MID-230403-3</t>
    <phoneticPr fontId="4" type="noConversion"/>
  </si>
  <si>
    <t>14408 U</t>
    <phoneticPr fontId="4" type="noConversion"/>
  </si>
  <si>
    <t>FLETE 1975USD@0.94</t>
    <phoneticPr fontId="4" type="noConversion"/>
  </si>
  <si>
    <t>2023/MAR/1637</t>
  </si>
  <si>
    <t>2023/MAR/1637</t>
    <phoneticPr fontId="4" type="noConversion"/>
  </si>
  <si>
    <t>42029219 00</t>
  </si>
  <si>
    <t>FUNDAS DE PLASTICO PARA TELEFONOS MOVILES</t>
  </si>
  <si>
    <t>85444290 90</t>
    <phoneticPr fontId="4" type="noConversion"/>
  </si>
  <si>
    <t>CABLES DE CARGA CON PIEZAS DE CONEXION</t>
  </si>
  <si>
    <t>85437090  99</t>
    <phoneticPr fontId="4" type="noConversion"/>
  </si>
  <si>
    <t>39269097 90</t>
  </si>
  <si>
    <t>MANDOS DE CONTROL REMOTO PARA TV</t>
  </si>
  <si>
    <t>MANUFACTURAS DE PLASTICO</t>
  </si>
  <si>
    <t>21375 U</t>
    <phoneticPr fontId="4" type="noConversion"/>
  </si>
  <si>
    <t>1092U</t>
    <phoneticPr fontId="4" type="noConversion"/>
  </si>
  <si>
    <t>DECLARACION PLASTICO NO RECICLADO</t>
    <phoneticPr fontId="4" type="noConversion"/>
  </si>
  <si>
    <t>2023/MAR/1725</t>
  </si>
  <si>
    <t>ROHS PARTIDA ADICIONAL 4*25EUR</t>
    <phoneticPr fontId="4" type="noConversion"/>
  </si>
  <si>
    <t>GASTOS CONSIGNATARIOS SIN IVA GREEN</t>
  </si>
  <si>
    <t>GASTOS CONSIGNATARIO CON IVA GREEN</t>
  </si>
  <si>
    <t>2023/MAR/1724</t>
  </si>
  <si>
    <t>23ES00461131199063</t>
  </si>
  <si>
    <t>23ES00461131199063</t>
    <phoneticPr fontId="4" type="noConversion"/>
  </si>
  <si>
    <t>MAEA2304261711</t>
  </si>
  <si>
    <t>MT-230404-1</t>
    <phoneticPr fontId="4" type="noConversion"/>
  </si>
  <si>
    <t>海运分单</t>
    <phoneticPr fontId="4" type="noConversion"/>
  </si>
  <si>
    <t>EITU9255937 - 40HC - EMCSGV4722</t>
  </si>
  <si>
    <t>- 824.00 BLT. - 9346.00 KG. - 64.97 M3.</t>
  </si>
  <si>
    <t>85044095 90</t>
    <phoneticPr fontId="4" type="noConversion"/>
  </si>
  <si>
    <t>CONVERTIDORES ESTATICOS</t>
    <phoneticPr fontId="4" type="noConversion"/>
  </si>
  <si>
    <t>91021200 00</t>
    <phoneticPr fontId="4" type="noConversion"/>
  </si>
  <si>
    <t>SMART</t>
    <phoneticPr fontId="4" type="noConversion"/>
  </si>
  <si>
    <t>UNICO-230404-1</t>
  </si>
  <si>
    <t>UNICO-230404-1</t>
    <phoneticPr fontId="4" type="noConversion"/>
  </si>
  <si>
    <t>4P</t>
    <phoneticPr fontId="4" type="noConversion"/>
  </si>
  <si>
    <t>79387 U</t>
    <phoneticPr fontId="4" type="noConversion"/>
  </si>
  <si>
    <t>目录-catalogo</t>
    <phoneticPr fontId="4" type="noConversion"/>
  </si>
  <si>
    <t>FOB申报未含海运费</t>
    <phoneticPr fontId="4" type="noConversion"/>
  </si>
  <si>
    <t>EITU9255937 单据清单</t>
    <phoneticPr fontId="4" type="noConversion"/>
  </si>
  <si>
    <t>YMLU8808920</t>
    <phoneticPr fontId="4" type="noConversion"/>
  </si>
  <si>
    <t>EITU9255937</t>
    <phoneticPr fontId="4" type="noConversion"/>
  </si>
  <si>
    <t>ok</t>
    <phoneticPr fontId="4" type="noConversion"/>
  </si>
  <si>
    <t>无</t>
    <phoneticPr fontId="4" type="noConversion"/>
  </si>
  <si>
    <t>缺D.V.1, C-10 等</t>
    <phoneticPr fontId="4" type="noConversion"/>
  </si>
  <si>
    <t>达源（雯雯订柜）</t>
    <phoneticPr fontId="4" type="noConversion"/>
  </si>
  <si>
    <t>TLLU5909523 - 40HC - EMCSJK3632 单据清单</t>
    <phoneticPr fontId="4" type="noConversion"/>
  </si>
  <si>
    <t>2023/MAR/1996</t>
    <phoneticPr fontId="4" type="noConversion"/>
  </si>
  <si>
    <t>2023/MAR/1995</t>
    <phoneticPr fontId="4" type="noConversion"/>
  </si>
  <si>
    <t>TLLU5909523</t>
  </si>
  <si>
    <t>2023/MAR/1997</t>
    <phoneticPr fontId="4" type="noConversion"/>
  </si>
  <si>
    <t>23 ES004611 3 130175 4</t>
  </si>
  <si>
    <t>UNICO-230408-1</t>
    <phoneticPr fontId="4" type="noConversion"/>
  </si>
  <si>
    <t>23ES00461131301754</t>
    <phoneticPr fontId="4" type="noConversion"/>
  </si>
  <si>
    <t>MAEA2305266328A</t>
    <phoneticPr fontId="4" type="noConversion"/>
  </si>
  <si>
    <t>5P</t>
    <phoneticPr fontId="4" type="noConversion"/>
  </si>
  <si>
    <t>CIRCUITO VERDE</t>
    <phoneticPr fontId="4" type="noConversion"/>
  </si>
  <si>
    <t>N. ES146023428123</t>
    <phoneticPr fontId="4" type="noConversion"/>
  </si>
  <si>
    <t>13139KG</t>
    <phoneticPr fontId="4" type="noConversion"/>
  </si>
  <si>
    <t>88150U</t>
    <phoneticPr fontId="4" type="noConversion"/>
  </si>
  <si>
    <t>23ES00461131301746</t>
  </si>
  <si>
    <t>23ES00461131301746</t>
    <phoneticPr fontId="4" type="noConversion"/>
  </si>
  <si>
    <t>YSL-230408-2</t>
    <phoneticPr fontId="4" type="noConversion"/>
  </si>
  <si>
    <t>FUZHOU USLINK TRADING</t>
    <phoneticPr fontId="4" type="noConversion"/>
  </si>
  <si>
    <t>MAEA2305266328B</t>
    <phoneticPr fontId="4" type="noConversion"/>
  </si>
  <si>
    <t>2P</t>
    <phoneticPr fontId="4" type="noConversion"/>
  </si>
  <si>
    <t>5250KG</t>
    <phoneticPr fontId="4" type="noConversion"/>
  </si>
  <si>
    <t>201UF</t>
    <phoneticPr fontId="4" type="noConversion"/>
  </si>
  <si>
    <t>20/08/2023</t>
    <phoneticPr fontId="4" type="noConversion"/>
  </si>
  <si>
    <t>FLETE 23000USD@0.95</t>
    <phoneticPr fontId="4" type="noConversion"/>
  </si>
  <si>
    <t>ROHS 1 PARTIDA</t>
    <phoneticPr fontId="4" type="noConversion"/>
  </si>
  <si>
    <t xml:space="preserve">ROHS 10 PARTIDA ADICIONAL </t>
    <phoneticPr fontId="4" type="noConversion"/>
  </si>
  <si>
    <t>UNICO-230408-2</t>
  </si>
  <si>
    <t>APARATOS AUXILIARES DE RADIO PARA VEHICULOS AUTOMIVILES</t>
    <phoneticPr fontId="4" type="noConversion"/>
  </si>
  <si>
    <t>8527290090</t>
    <phoneticPr fontId="4" type="noConversion"/>
  </si>
  <si>
    <t>ASPIRADORES ELECTRICOS PARA VEHICULOS AUTOMOVILES</t>
    <phoneticPr fontId="4" type="noConversion"/>
  </si>
  <si>
    <t>8508110000</t>
    <phoneticPr fontId="4" type="noConversion"/>
  </si>
  <si>
    <t>RELOJES DE PULSERA CON INDICADOR OPTOELECTRONICO SOLAMENTE</t>
    <phoneticPr fontId="4" type="noConversion"/>
  </si>
  <si>
    <t>CABLES ELECTRICOS CON PIEZAS DE CONEXION</t>
    <phoneticPr fontId="4" type="noConversion"/>
  </si>
  <si>
    <t>8544429090</t>
    <phoneticPr fontId="4" type="noConversion"/>
  </si>
  <si>
    <t>ALTAVOCES</t>
    <phoneticPr fontId="4" type="noConversion"/>
  </si>
  <si>
    <t>8518210000</t>
    <phoneticPr fontId="4" type="noConversion"/>
  </si>
  <si>
    <t>FUNDASDE BRAZO PORTA MOVILES, DE HOJAS DE PLASTICO</t>
    <phoneticPr fontId="4" type="noConversion"/>
  </si>
  <si>
    <t>4202921900</t>
    <phoneticPr fontId="4" type="noConversion"/>
  </si>
  <si>
    <t>MUEBLES EXPOSITORES DE METAL</t>
    <phoneticPr fontId="4" type="noConversion"/>
  </si>
  <si>
    <t>9403208000</t>
    <phoneticPr fontId="4" type="noConversion"/>
  </si>
  <si>
    <t>MANUFACTURAS DE PLASTICO</t>
    <phoneticPr fontId="4" type="noConversion"/>
  </si>
  <si>
    <t>3926909790</t>
    <phoneticPr fontId="4" type="noConversion"/>
  </si>
  <si>
    <t>ADAPTADORES ELCTRICOS</t>
    <phoneticPr fontId="4" type="noConversion"/>
  </si>
  <si>
    <t>8536909500</t>
    <phoneticPr fontId="4" type="noConversion"/>
  </si>
  <si>
    <t>小计</t>
    <phoneticPr fontId="4" type="noConversion"/>
  </si>
  <si>
    <t>8504409590</t>
    <phoneticPr fontId="4" type="noConversion"/>
  </si>
  <si>
    <t>ADUANA/DUA</t>
    <phoneticPr fontId="4" type="noConversion"/>
  </si>
  <si>
    <t>ESP发票号码</t>
    <phoneticPr fontId="4" type="noConversion"/>
  </si>
  <si>
    <t>ESP 发票金额</t>
    <phoneticPr fontId="4" type="noConversion"/>
  </si>
  <si>
    <t>ate 1-6@free; 7-8@160€; 9-12@230€; 13+@330€</t>
  </si>
  <si>
    <t>2023/4/19 2023/4/27 2023/5/2</t>
  </si>
  <si>
    <t>4/19-4/24</t>
    <phoneticPr fontId="4" type="noConversion"/>
  </si>
  <si>
    <t>4/27-4/30</t>
    <phoneticPr fontId="4" type="noConversion"/>
  </si>
  <si>
    <t>5/1-5/2</t>
    <phoneticPr fontId="4" type="noConversion"/>
  </si>
  <si>
    <t>4/25-4/26</t>
    <phoneticPr fontId="4" type="noConversion"/>
  </si>
  <si>
    <t>共14D</t>
    <phoneticPr fontId="4" type="noConversion"/>
  </si>
  <si>
    <t>2023/5/18 2023/5/26 2023/5/29</t>
  </si>
  <si>
    <t>12D</t>
    <phoneticPr fontId="4" type="noConversion"/>
  </si>
  <si>
    <t>Rate 1-10@free; 11-12@160€; 13-16@230€; 17+@330€</t>
  </si>
  <si>
    <t>4/19-4/28</t>
    <phoneticPr fontId="4" type="noConversion"/>
  </si>
  <si>
    <t>4/29-4/30</t>
    <phoneticPr fontId="4" type="noConversion"/>
  </si>
  <si>
    <t>OOLU9596768</t>
    <phoneticPr fontId="4" type="noConversion"/>
  </si>
  <si>
    <t>IVA S./AT LA ESPADA, S.L.</t>
  </si>
  <si>
    <t>1269</t>
  </si>
  <si>
    <t>1270</t>
  </si>
  <si>
    <t>1343</t>
  </si>
  <si>
    <t>1418</t>
  </si>
  <si>
    <t>1637</t>
  </si>
  <si>
    <t>1724</t>
  </si>
  <si>
    <t>TLLU5909523 - 40HC - EMCSJK3632</t>
    <phoneticPr fontId="4" type="noConversion"/>
  </si>
  <si>
    <t>UNICO-230405-1</t>
    <phoneticPr fontId="4" type="noConversion"/>
  </si>
  <si>
    <t>2023/MAR/2243</t>
    <phoneticPr fontId="4" type="noConversion"/>
  </si>
  <si>
    <t>2023/MAR/2242</t>
    <phoneticPr fontId="4" type="noConversion"/>
  </si>
  <si>
    <t>OOLU9596768 - 40HC - OOLHHF2318</t>
    <phoneticPr fontId="4" type="noConversion"/>
  </si>
  <si>
    <t>OOLU9596768 - 40HC - OOLHHF2318 单据清单</t>
    <phoneticPr fontId="4" type="noConversion"/>
  </si>
  <si>
    <t>23ES00461131249962</t>
  </si>
  <si>
    <t xml:space="preserve">FLETE </t>
    <phoneticPr fontId="4" type="noConversion"/>
  </si>
  <si>
    <t>GASTOS CONSIGNATARIO SIN IVA</t>
    <phoneticPr fontId="4" type="noConversion"/>
  </si>
  <si>
    <t>29/08/2023</t>
    <phoneticPr fontId="4" type="noConversion"/>
  </si>
  <si>
    <t>CORREAS RLOJ</t>
    <phoneticPr fontId="4" type="noConversion"/>
  </si>
  <si>
    <t>CARGADORES</t>
    <phoneticPr fontId="4" type="noConversion"/>
  </si>
  <si>
    <t>CARCASAS PARA PC YS SUS PARTES</t>
    <phoneticPr fontId="4" type="noConversion"/>
  </si>
  <si>
    <t>MICROFONO</t>
    <phoneticPr fontId="4" type="noConversion"/>
  </si>
  <si>
    <t>FUNDAS PARA TABLET</t>
    <phoneticPr fontId="4" type="noConversion"/>
  </si>
  <si>
    <t>RELOGES ELECTRONICOS</t>
    <phoneticPr fontId="4" type="noConversion"/>
  </si>
  <si>
    <t>RATON</t>
    <phoneticPr fontId="4" type="noConversion"/>
  </si>
  <si>
    <t>AURICULARES</t>
    <phoneticPr fontId="4" type="noConversion"/>
  </si>
  <si>
    <t>ALTAVOCES</t>
  </si>
  <si>
    <t>MANDOS DE CONTROL REMOTO PARA TV.</t>
    <phoneticPr fontId="4" type="noConversion"/>
  </si>
  <si>
    <t>MOCHILA TEXTIL</t>
    <phoneticPr fontId="4" type="noConversion"/>
  </si>
  <si>
    <t>MOCHILA</t>
    <phoneticPr fontId="4" type="noConversion"/>
  </si>
  <si>
    <t>ADAPTADORES</t>
    <phoneticPr fontId="4" type="noConversion"/>
  </si>
  <si>
    <t>23ES00461131249962</t>
    <phoneticPr fontId="4" type="noConversion"/>
  </si>
  <si>
    <t>BMOU6662665 - 40HC - HLG4832491 单据清单</t>
    <phoneticPr fontId="4" type="noConversion"/>
  </si>
  <si>
    <t>BMOU6662665 - 40HC - HLG4832491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</si>
</sst>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 * #,##0.00_ ;_ * \-#,##0.00_ ;_ * &quot;-&quot;??_ ;_ @_ "/>
    <numFmt numFmtId="24" formatCode="\$#,##0_);[Red]\(\$#,##0\)"/>
    <numFmt numFmtId="26" formatCode="\$#,##0.00_);[Red]\(\$#,##0.00\)"/>
    <numFmt numFmtId="176" formatCode="0.0%"/>
    <numFmt numFmtId="177" formatCode="0.000%"/>
    <numFmt numFmtId="178" formatCode="0.00_);[Red]\(0.00\)"/>
    <numFmt numFmtId="179" formatCode="yyyy&quot;年&quot;m&quot;月&quot;d&quot;日&quot;;@"/>
    <numFmt numFmtId="180" formatCode="dd/mm/yyyy;dd/mm/yyyy;"/>
    <numFmt numFmtId="181" formatCode="#,##0.00;[Red]\-#,##0.00;0"/>
  </numFmts>
  <fonts count="2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000000"/>
      <name val="Microsoft YaHei UI"/>
      <family val="2"/>
      <charset val="134"/>
    </font>
    <font>
      <i/>
      <sz val="10"/>
      <color theme="1"/>
      <name val="Arial"/>
      <family val="2"/>
    </font>
    <font>
      <i/>
      <sz val="10"/>
      <color theme="1"/>
      <name val="等线"/>
      <family val="2"/>
      <charset val="134"/>
    </font>
    <font>
      <i/>
      <sz val="10"/>
      <color theme="1"/>
      <name val="宋体"/>
      <family val="2"/>
      <charset val="134"/>
    </font>
    <font>
      <i/>
      <sz val="10"/>
      <color theme="1"/>
      <name val="Arial"/>
      <family val="2"/>
      <charset val="134"/>
    </font>
    <font>
      <i/>
      <sz val="10"/>
      <color theme="1"/>
      <name val="微软雅黑"/>
      <family val="2"/>
      <charset val="134"/>
    </font>
    <font>
      <sz val="9"/>
      <color theme="1"/>
      <name val="等线"/>
      <family val="2"/>
      <charset val="134"/>
      <scheme val="minor"/>
    </font>
    <font>
      <sz val="8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Arial"/>
      <family val="2"/>
    </font>
    <font>
      <sz val="11"/>
      <color rgb="FF000000"/>
      <name val="微软雅黑"/>
      <family val="2"/>
      <charset val="134"/>
    </font>
    <font>
      <sz val="11"/>
      <color rgb="FFFF0000"/>
      <name val="等线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/>
  </cellStyleXfs>
  <cellXfs count="14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3" fontId="0" fillId="0" borderId="0" xfId="1" applyFont="1" applyAlignment="1">
      <alignment vertical="center" wrapText="1"/>
    </xf>
    <xf numFmtId="0" fontId="0" fillId="0" borderId="1" xfId="0" applyBorder="1" applyAlignment="1">
      <alignment vertical="center" wrapText="1"/>
    </xf>
    <xf numFmtId="43" fontId="0" fillId="0" borderId="1" xfId="1" applyFont="1" applyBorder="1" applyAlignment="1">
      <alignment vertical="center" wrapText="1"/>
    </xf>
    <xf numFmtId="0" fontId="6" fillId="0" borderId="0" xfId="0" applyFont="1">
      <alignment vertical="center"/>
    </xf>
    <xf numFmtId="0" fontId="0" fillId="0" borderId="2" xfId="0" applyBorder="1" applyAlignment="1">
      <alignment vertical="center" wrapText="1"/>
    </xf>
    <xf numFmtId="43" fontId="0" fillId="0" borderId="0" xfId="0" applyNumberFormat="1" applyAlignment="1">
      <alignment vertical="center" wrapText="1"/>
    </xf>
    <xf numFmtId="176" fontId="0" fillId="0" borderId="1" xfId="2" applyNumberFormat="1" applyFont="1" applyBorder="1" applyAlignment="1">
      <alignment vertical="center" wrapText="1"/>
    </xf>
    <xf numFmtId="177" fontId="0" fillId="0" borderId="0" xfId="2" applyNumberFormat="1" applyFont="1" applyAlignment="1">
      <alignment vertical="center" wrapText="1"/>
    </xf>
    <xf numFmtId="43" fontId="0" fillId="2" borderId="1" xfId="1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58" fontId="0" fillId="0" borderId="0" xfId="0" applyNumberFormat="1" applyAlignment="1">
      <alignment vertical="center" wrapText="1"/>
    </xf>
    <xf numFmtId="58" fontId="0" fillId="0" borderId="0" xfId="0" applyNumberFormat="1">
      <alignment vertical="center"/>
    </xf>
    <xf numFmtId="43" fontId="0" fillId="0" borderId="2" xfId="1" applyFont="1" applyBorder="1" applyAlignment="1">
      <alignment vertical="center" wrapText="1"/>
    </xf>
    <xf numFmtId="58" fontId="0" fillId="0" borderId="1" xfId="0" applyNumberFormat="1" applyBorder="1" applyAlignment="1">
      <alignment vertical="center" wrapText="1"/>
    </xf>
    <xf numFmtId="43" fontId="0" fillId="0" borderId="1" xfId="1" applyFont="1" applyFill="1" applyBorder="1" applyAlignment="1">
      <alignment vertical="center" wrapText="1"/>
    </xf>
    <xf numFmtId="0" fontId="0" fillId="0" borderId="1" xfId="0" applyBorder="1">
      <alignment vertical="center"/>
    </xf>
    <xf numFmtId="43" fontId="0" fillId="3" borderId="1" xfId="1" applyFont="1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43" fontId="0" fillId="0" borderId="0" xfId="0" applyNumberFormat="1">
      <alignment vertical="center"/>
    </xf>
    <xf numFmtId="43" fontId="5" fillId="0" borderId="0" xfId="0" applyNumberFormat="1" applyFont="1">
      <alignment vertical="center"/>
    </xf>
    <xf numFmtId="43" fontId="0" fillId="4" borderId="1" xfId="1" applyFont="1" applyFill="1" applyBorder="1" applyAlignment="1">
      <alignment vertical="center" wrapText="1"/>
    </xf>
    <xf numFmtId="43" fontId="0" fillId="0" borderId="1" xfId="0" applyNumberFormat="1" applyBorder="1" applyAlignment="1">
      <alignment vertical="center" wrapText="1"/>
    </xf>
    <xf numFmtId="43" fontId="0" fillId="2" borderId="1" xfId="0" applyNumberFormat="1" applyFill="1" applyBorder="1" applyAlignment="1">
      <alignment vertical="center" wrapText="1"/>
    </xf>
    <xf numFmtId="43" fontId="0" fillId="4" borderId="2" xfId="1" applyFont="1" applyFill="1" applyBorder="1" applyAlignment="1">
      <alignment vertical="center" wrapText="1"/>
    </xf>
    <xf numFmtId="43" fontId="0" fillId="0" borderId="1" xfId="0" applyNumberFormat="1" applyBorder="1">
      <alignment vertical="center"/>
    </xf>
    <xf numFmtId="0" fontId="0" fillId="0" borderId="1" xfId="0" quotePrefix="1" applyBorder="1" applyAlignment="1">
      <alignment vertical="center" wrapText="1"/>
    </xf>
    <xf numFmtId="0" fontId="7" fillId="5" borderId="1" xfId="0" applyFont="1" applyFill="1" applyBorder="1" applyAlignment="1">
      <alignment horizontal="right"/>
    </xf>
    <xf numFmtId="0" fontId="9" fillId="5" borderId="1" xfId="0" applyFont="1" applyFill="1" applyBorder="1" applyAlignment="1">
      <alignment horizontal="right" wrapText="1"/>
    </xf>
    <xf numFmtId="0" fontId="10" fillId="5" borderId="1" xfId="0" applyFont="1" applyFill="1" applyBorder="1" applyAlignment="1">
      <alignment horizontal="right"/>
    </xf>
    <xf numFmtId="14" fontId="0" fillId="0" borderId="0" xfId="0" applyNumberFormat="1">
      <alignment vertical="center"/>
    </xf>
    <xf numFmtId="43" fontId="0" fillId="0" borderId="0" xfId="1" applyFo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43" fontId="0" fillId="0" borderId="1" xfId="1" applyFont="1" applyBorder="1">
      <alignment vertical="center"/>
    </xf>
    <xf numFmtId="0" fontId="9" fillId="5" borderId="1" xfId="0" applyFont="1" applyFill="1" applyBorder="1" applyAlignment="1">
      <alignment horizontal="right"/>
    </xf>
    <xf numFmtId="43" fontId="12" fillId="0" borderId="1" xfId="0" applyNumberFormat="1" applyFont="1" applyBorder="1">
      <alignment vertical="center"/>
    </xf>
    <xf numFmtId="0" fontId="12" fillId="0" borderId="1" xfId="0" applyFont="1" applyBorder="1" applyAlignment="1">
      <alignment vertical="center" wrapText="1"/>
    </xf>
    <xf numFmtId="43" fontId="13" fillId="0" borderId="1" xfId="0" applyNumberFormat="1" applyFont="1" applyBorder="1" applyAlignment="1">
      <alignment vertical="center" wrapText="1"/>
    </xf>
    <xf numFmtId="0" fontId="2" fillId="0" borderId="1" xfId="3" applyBorder="1"/>
    <xf numFmtId="43" fontId="2" fillId="0" borderId="1" xfId="1" applyFont="1" applyBorder="1" applyAlignment="1"/>
    <xf numFmtId="178" fontId="5" fillId="0" borderId="1" xfId="3" applyNumberFormat="1" applyFont="1" applyBorder="1"/>
    <xf numFmtId="43" fontId="5" fillId="0" borderId="1" xfId="1" applyFont="1" applyBorder="1" applyAlignment="1"/>
    <xf numFmtId="58" fontId="2" fillId="0" borderId="1" xfId="3" applyNumberFormat="1" applyBorder="1"/>
    <xf numFmtId="0" fontId="14" fillId="0" borderId="1" xfId="3" applyFont="1" applyBorder="1"/>
    <xf numFmtId="43" fontId="2" fillId="0" borderId="1" xfId="3" applyNumberFormat="1" applyBorder="1"/>
    <xf numFmtId="14" fontId="16" fillId="0" borderId="1" xfId="3" applyNumberFormat="1" applyFont="1" applyBorder="1" applyAlignment="1">
      <alignment vertical="center"/>
    </xf>
    <xf numFmtId="15" fontId="2" fillId="0" borderId="6" xfId="3" applyNumberFormat="1" applyBorder="1"/>
    <xf numFmtId="43" fontId="2" fillId="6" borderId="1" xfId="1" applyFont="1" applyFill="1" applyBorder="1" applyAlignment="1"/>
    <xf numFmtId="14" fontId="2" fillId="0" borderId="1" xfId="3" applyNumberFormat="1" applyBorder="1"/>
    <xf numFmtId="14" fontId="2" fillId="6" borderId="1" xfId="3" applyNumberFormat="1" applyFill="1" applyBorder="1"/>
    <xf numFmtId="0" fontId="2" fillId="6" borderId="1" xfId="3" applyFill="1" applyBorder="1"/>
    <xf numFmtId="43" fontId="2" fillId="6" borderId="1" xfId="3" applyNumberFormat="1" applyFill="1" applyBorder="1"/>
    <xf numFmtId="43" fontId="2" fillId="0" borderId="1" xfId="1" applyFont="1" applyBorder="1" applyAlignment="1">
      <alignment horizontal="center" vertical="center"/>
    </xf>
    <xf numFmtId="43" fontId="2" fillId="0" borderId="1" xfId="1" applyFont="1" applyBorder="1" applyAlignment="1">
      <alignment vertical="center"/>
    </xf>
    <xf numFmtId="0" fontId="0" fillId="2" borderId="0" xfId="0" applyFill="1">
      <alignment vertical="center"/>
    </xf>
    <xf numFmtId="43" fontId="0" fillId="2" borderId="0" xfId="0" applyNumberFormat="1" applyFill="1">
      <alignment vertical="center"/>
    </xf>
    <xf numFmtId="14" fontId="0" fillId="0" borderId="1" xfId="0" applyNumberFormat="1" applyBorder="1" applyAlignment="1">
      <alignment vertical="center" wrapText="1"/>
    </xf>
    <xf numFmtId="14" fontId="0" fillId="0" borderId="1" xfId="0" applyNumberFormat="1" applyBorder="1">
      <alignment vertical="center"/>
    </xf>
    <xf numFmtId="43" fontId="0" fillId="2" borderId="0" xfId="1" applyFont="1" applyFill="1">
      <alignment vertical="center"/>
    </xf>
    <xf numFmtId="0" fontId="0" fillId="0" borderId="0" xfId="0" quotePrefix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0" fillId="0" borderId="9" xfId="0" applyBorder="1">
      <alignment vertical="center"/>
    </xf>
    <xf numFmtId="14" fontId="0" fillId="0" borderId="2" xfId="0" applyNumberFormat="1" applyBorder="1" applyAlignment="1">
      <alignment vertical="center" wrapText="1"/>
    </xf>
    <xf numFmtId="43" fontId="0" fillId="2" borderId="2" xfId="1" applyFont="1" applyFill="1" applyBorder="1" applyAlignment="1">
      <alignment vertical="center" wrapText="1"/>
    </xf>
    <xf numFmtId="0" fontId="0" fillId="0" borderId="0" xfId="0" quotePrefix="1" applyAlignment="1">
      <alignment vertical="center" wrapText="1"/>
    </xf>
    <xf numFmtId="43" fontId="0" fillId="0" borderId="0" xfId="1" applyFont="1" applyBorder="1" applyAlignment="1">
      <alignment vertical="center" wrapText="1"/>
    </xf>
    <xf numFmtId="43" fontId="1" fillId="0" borderId="1" xfId="1" applyFont="1" applyBorder="1" applyAlignment="1"/>
    <xf numFmtId="43" fontId="0" fillId="2" borderId="1" xfId="1" applyFont="1" applyFill="1" applyBorder="1">
      <alignment vertical="center"/>
    </xf>
    <xf numFmtId="43" fontId="0" fillId="0" borderId="5" xfId="1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179" fontId="17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14" fontId="22" fillId="0" borderId="1" xfId="0" applyNumberFormat="1" applyFont="1" applyBorder="1" applyAlignment="1">
      <alignment horizontal="center" vertical="center"/>
    </xf>
    <xf numFmtId="14" fontId="23" fillId="0" borderId="11" xfId="0" applyNumberFormat="1" applyFont="1" applyBorder="1">
      <alignment vertical="center"/>
    </xf>
    <xf numFmtId="0" fontId="21" fillId="0" borderId="11" xfId="0" applyFont="1" applyBorder="1">
      <alignment vertical="center"/>
    </xf>
    <xf numFmtId="14" fontId="21" fillId="0" borderId="11" xfId="0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26" fontId="0" fillId="0" borderId="1" xfId="1" applyNumberFormat="1" applyFont="1" applyBorder="1">
      <alignment vertical="center"/>
    </xf>
    <xf numFmtId="0" fontId="0" fillId="8" borderId="1" xfId="0" applyFill="1" applyBorder="1">
      <alignment vertical="center"/>
    </xf>
    <xf numFmtId="43" fontId="0" fillId="8" borderId="1" xfId="1" applyFont="1" applyFill="1" applyBorder="1">
      <alignment vertical="center"/>
    </xf>
    <xf numFmtId="0" fontId="0" fillId="8" borderId="1" xfId="0" applyFill="1" applyBorder="1" applyAlignment="1">
      <alignment horizontal="left" vertical="center"/>
    </xf>
    <xf numFmtId="0" fontId="0" fillId="8" borderId="1" xfId="0" applyFill="1" applyBorder="1" applyAlignment="1">
      <alignment vertical="center" wrapText="1"/>
    </xf>
    <xf numFmtId="0" fontId="24" fillId="2" borderId="1" xfId="0" applyFont="1" applyFill="1" applyBorder="1" applyAlignment="1">
      <alignment vertical="center" wrapText="1"/>
    </xf>
    <xf numFmtId="43" fontId="0" fillId="0" borderId="1" xfId="1" applyFont="1" applyFill="1" applyBorder="1">
      <alignment vertical="center"/>
    </xf>
    <xf numFmtId="26" fontId="0" fillId="0" borderId="1" xfId="1" applyNumberFormat="1" applyFont="1" applyFill="1" applyBorder="1">
      <alignment vertical="center"/>
    </xf>
    <xf numFmtId="26" fontId="0" fillId="2" borderId="1" xfId="1" applyNumberFormat="1" applyFont="1" applyFill="1" applyBorder="1">
      <alignment vertical="center"/>
    </xf>
    <xf numFmtId="0" fontId="0" fillId="2" borderId="1" xfId="0" applyFill="1" applyBorder="1" applyAlignment="1">
      <alignment horizontal="left" vertical="center"/>
    </xf>
    <xf numFmtId="24" fontId="0" fillId="0" borderId="1" xfId="1" applyNumberFormat="1" applyFont="1" applyFill="1" applyBorder="1">
      <alignment vertical="center"/>
    </xf>
    <xf numFmtId="0" fontId="0" fillId="0" borderId="1" xfId="0" applyBorder="1" applyAlignment="1">
      <alignment horizontal="left" vertical="center" wrapText="1"/>
    </xf>
    <xf numFmtId="43" fontId="0" fillId="0" borderId="0" xfId="1" applyFont="1" applyFill="1" applyBorder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43" fontId="5" fillId="0" borderId="1" xfId="1" applyFont="1" applyBorder="1" applyAlignment="1">
      <alignment horizontal="center" vertical="center"/>
    </xf>
    <xf numFmtId="0" fontId="0" fillId="0" borderId="1" xfId="0" quotePrefix="1" applyBorder="1">
      <alignment vertical="center"/>
    </xf>
    <xf numFmtId="43" fontId="0" fillId="2" borderId="1" xfId="0" applyNumberFormat="1" applyFill="1" applyBorder="1">
      <alignment vertical="center"/>
    </xf>
    <xf numFmtId="0" fontId="0" fillId="7" borderId="1" xfId="0" applyFill="1" applyBorder="1">
      <alignment vertical="center"/>
    </xf>
    <xf numFmtId="43" fontId="0" fillId="7" borderId="1" xfId="0" applyNumberFormat="1" applyFill="1" applyBorder="1">
      <alignment vertical="center"/>
    </xf>
    <xf numFmtId="0" fontId="0" fillId="4" borderId="0" xfId="0" applyFill="1">
      <alignment vertical="center"/>
    </xf>
    <xf numFmtId="43" fontId="0" fillId="4" borderId="0" xfId="0" applyNumberFormat="1" applyFill="1">
      <alignment vertical="center"/>
    </xf>
    <xf numFmtId="0" fontId="0" fillId="9" borderId="1" xfId="0" applyFill="1" applyBorder="1" applyAlignment="1">
      <alignment vertical="center" wrapText="1"/>
    </xf>
    <xf numFmtId="14" fontId="0" fillId="9" borderId="1" xfId="0" applyNumberFormat="1" applyFill="1" applyBorder="1" applyAlignment="1">
      <alignment vertical="center" wrapText="1"/>
    </xf>
    <xf numFmtId="43" fontId="0" fillId="9" borderId="1" xfId="1" applyFont="1" applyFill="1" applyBorder="1" applyAlignment="1">
      <alignment vertical="center" wrapText="1"/>
    </xf>
    <xf numFmtId="0" fontId="0" fillId="9" borderId="1" xfId="0" applyFill="1" applyBorder="1">
      <alignment vertical="center"/>
    </xf>
    <xf numFmtId="43" fontId="0" fillId="9" borderId="1" xfId="0" applyNumberFormat="1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quotePrefix="1" applyFill="1" applyAlignment="1">
      <alignment vertical="center" wrapText="1"/>
    </xf>
    <xf numFmtId="0" fontId="0" fillId="2" borderId="1" xfId="0" quotePrefix="1" applyFill="1" applyBorder="1" applyAlignment="1">
      <alignment vertical="center" wrapText="1"/>
    </xf>
    <xf numFmtId="180" fontId="0" fillId="0" borderId="0" xfId="0" applyNumberFormat="1" applyAlignment="1"/>
    <xf numFmtId="0" fontId="0" fillId="0" borderId="0" xfId="0" applyAlignment="1"/>
    <xf numFmtId="0" fontId="0" fillId="0" borderId="0" xfId="0" quotePrefix="1" applyAlignment="1">
      <alignment horizontal="left"/>
    </xf>
    <xf numFmtId="181" fontId="0" fillId="0" borderId="0" xfId="0" applyNumberFormat="1" applyAlignment="1"/>
    <xf numFmtId="180" fontId="0" fillId="9" borderId="0" xfId="0" applyNumberFormat="1" applyFill="1" applyAlignment="1"/>
    <xf numFmtId="0" fontId="0" fillId="9" borderId="0" xfId="0" applyFill="1" applyAlignment="1"/>
    <xf numFmtId="0" fontId="0" fillId="9" borderId="0" xfId="0" quotePrefix="1" applyFill="1" applyAlignment="1">
      <alignment horizontal="left"/>
    </xf>
    <xf numFmtId="181" fontId="0" fillId="9" borderId="0" xfId="0" applyNumberFormat="1" applyFill="1" applyAlignment="1"/>
    <xf numFmtId="0" fontId="0" fillId="9" borderId="0" xfId="0" applyFill="1" applyAlignment="1">
      <alignment vertical="center" wrapText="1"/>
    </xf>
    <xf numFmtId="0" fontId="0" fillId="0" borderId="0" xfId="0" applyAlignment="1">
      <alignment horizontal="left" vertical="center" wrapText="1"/>
    </xf>
    <xf numFmtId="14" fontId="0" fillId="9" borderId="1" xfId="0" applyNumberForma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2" borderId="0" xfId="0" applyFill="1" applyAlignment="1">
      <alignment horizontal="left" vertical="center"/>
    </xf>
    <xf numFmtId="43" fontId="0" fillId="9" borderId="1" xfId="1" applyFont="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43" fontId="2" fillId="6" borderId="1" xfId="1" applyFont="1" applyFill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4">
    <cellStyle name="百分比" xfId="2" builtinId="5"/>
    <cellStyle name="常规" xfId="0" builtinId="0"/>
    <cellStyle name="常规 6" xfId="3" xr:uid="{A4701556-833D-4C1C-B990-5B1C0FD00C0F}"/>
    <cellStyle name="千位分隔" xfId="1" builtinId="3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5A13-2BB1-425A-8B91-23407E1EF272}">
  <sheetPr>
    <pageSetUpPr fitToPage="1"/>
  </sheetPr>
  <dimension ref="A1:V34"/>
  <sheetViews>
    <sheetView workbookViewId="0">
      <selection activeCell="C33" sqref="C33"/>
    </sheetView>
  </sheetViews>
  <sheetFormatPr defaultRowHeight="14.25" x14ac:dyDescent="0.2"/>
  <cols>
    <col min="1" max="1" width="21.375" customWidth="1"/>
    <col min="2" max="2" width="11.625" style="127" bestFit="1" customWidth="1"/>
    <col min="3" max="3" width="18.25" bestFit="1" customWidth="1"/>
    <col min="4" max="4" width="11.375" bestFit="1" customWidth="1"/>
    <col min="5" max="5" width="13" customWidth="1"/>
    <col min="6" max="6" width="18.75" customWidth="1"/>
    <col min="7" max="7" width="16.5" customWidth="1"/>
    <col min="8" max="8" width="12.75" bestFit="1" customWidth="1"/>
    <col min="9" max="9" width="13.125" bestFit="1" customWidth="1"/>
    <col min="10" max="10" width="11" customWidth="1"/>
    <col min="11" max="11" width="10.375" bestFit="1" customWidth="1"/>
    <col min="12" max="13" width="11.375" bestFit="1" customWidth="1"/>
    <col min="14" max="14" width="14.875" customWidth="1"/>
    <col min="15" max="15" width="16.75" bestFit="1" customWidth="1"/>
    <col min="16" max="16" width="9.25" bestFit="1" customWidth="1"/>
    <col min="17" max="17" width="10.375" bestFit="1" customWidth="1"/>
    <col min="18" max="18" width="45.25" customWidth="1"/>
    <col min="19" max="19" width="19.125" style="32" customWidth="1"/>
    <col min="20" max="20" width="20.5" bestFit="1" customWidth="1"/>
    <col min="21" max="21" width="11.375" bestFit="1" customWidth="1"/>
  </cols>
  <sheetData>
    <row r="1" spans="1:22" ht="28.5" x14ac:dyDescent="0.2">
      <c r="A1" s="124" t="s">
        <v>477</v>
      </c>
      <c r="B1" s="125"/>
      <c r="C1" s="31">
        <v>45107</v>
      </c>
      <c r="D1" s="1"/>
      <c r="E1" s="1"/>
    </row>
    <row r="2" spans="1:22" x14ac:dyDescent="0.2">
      <c r="A2" t="s">
        <v>246</v>
      </c>
      <c r="B2" s="96">
        <v>1.0785</v>
      </c>
    </row>
    <row r="3" spans="1:22" x14ac:dyDescent="0.2">
      <c r="A3" s="1" t="s">
        <v>61</v>
      </c>
      <c r="B3" s="125"/>
      <c r="C3" s="1" t="s">
        <v>62</v>
      </c>
      <c r="D3" s="2" t="s">
        <v>35</v>
      </c>
      <c r="E3" s="2"/>
      <c r="F3" s="1"/>
      <c r="Q3" s="1" t="s">
        <v>63</v>
      </c>
      <c r="R3" s="1" t="s">
        <v>475</v>
      </c>
      <c r="S3" s="12">
        <v>45107</v>
      </c>
      <c r="T3" s="1"/>
      <c r="U3" s="1"/>
      <c r="V3" s="1" t="s">
        <v>72</v>
      </c>
    </row>
    <row r="4" spans="1:22" ht="28.5" x14ac:dyDescent="0.2">
      <c r="A4" s="108" t="s">
        <v>0</v>
      </c>
      <c r="B4" s="126"/>
      <c r="C4" s="108" t="s">
        <v>6</v>
      </c>
      <c r="D4" s="110" t="s">
        <v>241</v>
      </c>
      <c r="E4" s="110" t="s">
        <v>242</v>
      </c>
      <c r="F4" s="108" t="s">
        <v>450</v>
      </c>
      <c r="G4" s="111" t="s">
        <v>451</v>
      </c>
      <c r="H4" s="111" t="s">
        <v>452</v>
      </c>
      <c r="Q4" s="3" t="s">
        <v>21</v>
      </c>
      <c r="R4" s="3"/>
      <c r="S4" s="3" t="s">
        <v>65</v>
      </c>
      <c r="T4" s="3" t="s">
        <v>19</v>
      </c>
      <c r="U4" s="3" t="s">
        <v>35</v>
      </c>
      <c r="V4" s="1" t="s">
        <v>54</v>
      </c>
    </row>
    <row r="5" spans="1:22" ht="28.5" x14ac:dyDescent="0.2">
      <c r="A5" s="108" t="s">
        <v>1</v>
      </c>
      <c r="B5" s="126">
        <v>45048</v>
      </c>
      <c r="C5" s="108" t="s">
        <v>474</v>
      </c>
      <c r="D5" s="110">
        <v>92522.36</v>
      </c>
      <c r="E5" s="110">
        <f>D5/$B$2</f>
        <v>85788.00185442745</v>
      </c>
      <c r="F5" s="108" t="s">
        <v>479</v>
      </c>
      <c r="G5" s="108" t="s">
        <v>476</v>
      </c>
      <c r="H5" s="130">
        <v>21599.25</v>
      </c>
      <c r="Q5" s="33" t="s">
        <v>22</v>
      </c>
      <c r="R5" s="3" t="s">
        <v>480</v>
      </c>
      <c r="S5" s="22"/>
      <c r="T5" s="4"/>
      <c r="U5" s="4">
        <f t="shared" ref="U5:U7" si="0">S5*(1+T5)</f>
        <v>0</v>
      </c>
      <c r="V5" s="131" t="s">
        <v>482</v>
      </c>
    </row>
    <row r="6" spans="1:22" x14ac:dyDescent="0.2">
      <c r="A6" s="108"/>
      <c r="B6" s="126"/>
      <c r="C6" s="108"/>
      <c r="D6" s="110"/>
      <c r="E6" s="110"/>
      <c r="F6" s="108"/>
      <c r="G6" s="108"/>
      <c r="H6" s="112"/>
      <c r="Q6" s="34"/>
      <c r="R6" s="3" t="s">
        <v>149</v>
      </c>
      <c r="S6" s="22"/>
      <c r="T6" s="4"/>
      <c r="U6" s="4">
        <f t="shared" si="0"/>
        <v>0</v>
      </c>
      <c r="V6" s="131"/>
    </row>
    <row r="7" spans="1:22" x14ac:dyDescent="0.2">
      <c r="A7" t="s">
        <v>244</v>
      </c>
      <c r="B7" s="127" t="s">
        <v>243</v>
      </c>
      <c r="C7" t="s">
        <v>250</v>
      </c>
      <c r="D7" t="s">
        <v>256</v>
      </c>
      <c r="E7" t="s">
        <v>173</v>
      </c>
      <c r="F7" t="s">
        <v>257</v>
      </c>
      <c r="G7" t="s">
        <v>247</v>
      </c>
      <c r="H7" t="s">
        <v>248</v>
      </c>
      <c r="I7" t="s">
        <v>258</v>
      </c>
      <c r="J7" t="s">
        <v>259</v>
      </c>
      <c r="K7" t="s">
        <v>260</v>
      </c>
      <c r="L7" t="s">
        <v>160</v>
      </c>
      <c r="M7" t="s">
        <v>261</v>
      </c>
      <c r="N7" t="s">
        <v>190</v>
      </c>
      <c r="O7" t="s">
        <v>225</v>
      </c>
      <c r="Q7" s="62"/>
      <c r="R7" s="3" t="s">
        <v>150</v>
      </c>
      <c r="S7" s="22"/>
      <c r="T7" s="4">
        <v>0.21</v>
      </c>
      <c r="U7" s="4">
        <f t="shared" si="0"/>
        <v>0</v>
      </c>
      <c r="V7" s="131"/>
    </row>
    <row r="8" spans="1:22" x14ac:dyDescent="0.2">
      <c r="A8" t="s">
        <v>483</v>
      </c>
      <c r="B8" s="128">
        <v>9113900095</v>
      </c>
      <c r="C8" s="32">
        <v>1470</v>
      </c>
      <c r="D8" s="32">
        <f>C8/$B$2</f>
        <v>1363.0041724617524</v>
      </c>
      <c r="E8" s="32">
        <v>4.09</v>
      </c>
      <c r="F8" s="32">
        <f>E8+D8</f>
        <v>1367.0941724617524</v>
      </c>
      <c r="G8" s="32">
        <v>6.03</v>
      </c>
      <c r="H8" s="32">
        <v>2.71</v>
      </c>
      <c r="I8" s="32">
        <f>F8*0.06</f>
        <v>82.025650347705138</v>
      </c>
      <c r="J8" s="32"/>
      <c r="K8" s="32">
        <v>3.63</v>
      </c>
      <c r="L8" s="32">
        <f>K8+I8+H8+F8</f>
        <v>1455.4598228094574</v>
      </c>
      <c r="M8" s="32">
        <f>L8</f>
        <v>1455.4598228094574</v>
      </c>
      <c r="N8" s="32">
        <f>M8*0.21</f>
        <v>305.64656278998604</v>
      </c>
      <c r="O8" s="32">
        <f>N8+I8+H8</f>
        <v>390.38221313769117</v>
      </c>
      <c r="P8">
        <v>1</v>
      </c>
      <c r="Q8" s="62"/>
      <c r="R8" s="3" t="s">
        <v>47</v>
      </c>
      <c r="S8" s="10">
        <v>394</v>
      </c>
      <c r="T8" s="4">
        <v>0.21</v>
      </c>
      <c r="U8" s="4">
        <f>S8*(1+T8)</f>
        <v>476.74</v>
      </c>
      <c r="V8" s="131"/>
    </row>
    <row r="9" spans="1:22" x14ac:dyDescent="0.2">
      <c r="A9" t="s">
        <v>484</v>
      </c>
      <c r="B9" s="128">
        <v>8504409590</v>
      </c>
      <c r="C9" s="32">
        <v>2937.6</v>
      </c>
      <c r="D9" s="32">
        <f>C9/$B$2</f>
        <v>2723.7830319888735</v>
      </c>
      <c r="E9" s="32">
        <v>8.17</v>
      </c>
      <c r="F9" s="32">
        <f>E9+D9</f>
        <v>2731.9530319888736</v>
      </c>
      <c r="G9" s="32">
        <v>6.03</v>
      </c>
      <c r="H9" s="32">
        <v>2.71</v>
      </c>
      <c r="I9" s="32">
        <f>F9*0</f>
        <v>0</v>
      </c>
      <c r="J9" s="32"/>
      <c r="K9" s="32">
        <v>7.24</v>
      </c>
      <c r="L9" s="32">
        <f>K9+I9+H9+F9</f>
        <v>2741.9030319888734</v>
      </c>
      <c r="M9" s="32">
        <f>L9</f>
        <v>2741.9030319888734</v>
      </c>
      <c r="N9" s="32">
        <f>M9*0.21</f>
        <v>575.79963671766336</v>
      </c>
      <c r="O9" s="32">
        <f>N9+I9+H9</f>
        <v>578.5096367176634</v>
      </c>
      <c r="P9">
        <v>2</v>
      </c>
      <c r="Q9" s="62"/>
      <c r="R9" s="6" t="s">
        <v>151</v>
      </c>
      <c r="S9" s="25"/>
      <c r="T9" s="4"/>
      <c r="U9" s="4">
        <f t="shared" ref="U9:U30" si="1">S9*(1+T9)</f>
        <v>0</v>
      </c>
      <c r="V9" s="132"/>
    </row>
    <row r="10" spans="1:22" x14ac:dyDescent="0.2">
      <c r="A10" t="s">
        <v>485</v>
      </c>
      <c r="B10" s="128">
        <v>8473308000</v>
      </c>
      <c r="C10" s="32">
        <v>828.8</v>
      </c>
      <c r="D10" s="32">
        <f t="shared" ref="D10:D20" si="2">C10/$B$2</f>
        <v>768.47473342605463</v>
      </c>
      <c r="E10" s="32">
        <v>2.31</v>
      </c>
      <c r="F10" s="32">
        <f t="shared" ref="F10:F20" si="3">E10+D10</f>
        <v>770.78473342605457</v>
      </c>
      <c r="G10" s="32">
        <v>6.03</v>
      </c>
      <c r="H10" s="32">
        <v>2.71</v>
      </c>
      <c r="I10" s="32">
        <f>F10*0</f>
        <v>0</v>
      </c>
      <c r="J10" s="32"/>
      <c r="K10" s="32">
        <v>2.04</v>
      </c>
      <c r="L10" s="32">
        <f t="shared" ref="L10:L20" si="4">K10+I10+H10+F10</f>
        <v>775.53473342605457</v>
      </c>
      <c r="M10" s="32">
        <f t="shared" ref="M10:M20" si="5">L10</f>
        <v>775.53473342605457</v>
      </c>
      <c r="N10" s="32">
        <f t="shared" ref="N10:N20" si="6">M10*0.21</f>
        <v>162.86229401947145</v>
      </c>
      <c r="O10" s="32">
        <f t="shared" ref="O10:O20" si="7">N10+I10+H10</f>
        <v>165.57229401947146</v>
      </c>
      <c r="P10">
        <v>3</v>
      </c>
      <c r="Q10" s="62"/>
      <c r="R10" s="6" t="s">
        <v>91</v>
      </c>
      <c r="S10" s="25"/>
      <c r="T10" s="4"/>
      <c r="U10" s="4">
        <f t="shared" si="1"/>
        <v>0</v>
      </c>
      <c r="V10" s="132"/>
    </row>
    <row r="11" spans="1:22" x14ac:dyDescent="0.2">
      <c r="A11" t="s">
        <v>486</v>
      </c>
      <c r="B11" s="128">
        <v>8518100090</v>
      </c>
      <c r="C11" s="32">
        <v>6750</v>
      </c>
      <c r="D11" s="32">
        <f t="shared" si="2"/>
        <v>6258.6926286509042</v>
      </c>
      <c r="E11" s="32">
        <v>18.78</v>
      </c>
      <c r="F11" s="32">
        <f t="shared" si="3"/>
        <v>6277.472628650904</v>
      </c>
      <c r="G11" s="32">
        <v>6.03</v>
      </c>
      <c r="H11" s="32">
        <v>2.71</v>
      </c>
      <c r="I11" s="32">
        <f>F11*0</f>
        <v>0</v>
      </c>
      <c r="J11" s="32"/>
      <c r="K11" s="32">
        <v>16.649999999999999</v>
      </c>
      <c r="L11" s="32">
        <f t="shared" si="4"/>
        <v>6296.8326286509036</v>
      </c>
      <c r="M11" s="32">
        <f t="shared" si="5"/>
        <v>6296.8326286509036</v>
      </c>
      <c r="N11" s="32">
        <f t="shared" si="6"/>
        <v>1322.3348520166896</v>
      </c>
      <c r="O11" s="32">
        <f t="shared" si="7"/>
        <v>1325.0448520166897</v>
      </c>
      <c r="P11">
        <v>4</v>
      </c>
      <c r="Q11" s="62"/>
      <c r="R11" s="3" t="s">
        <v>152</v>
      </c>
      <c r="S11" s="22"/>
      <c r="T11" s="4">
        <v>0.21</v>
      </c>
      <c r="U11" s="4">
        <f t="shared" si="1"/>
        <v>0</v>
      </c>
      <c r="V11" s="132"/>
    </row>
    <row r="12" spans="1:22" x14ac:dyDescent="0.2">
      <c r="A12" t="s">
        <v>487</v>
      </c>
      <c r="B12" s="128">
        <v>4202321000</v>
      </c>
      <c r="C12" s="32">
        <v>3593.3</v>
      </c>
      <c r="D12" s="32">
        <f t="shared" si="2"/>
        <v>3331.7570700046363</v>
      </c>
      <c r="E12" s="32">
        <v>10</v>
      </c>
      <c r="F12" s="32">
        <f t="shared" si="3"/>
        <v>3341.7570700046363</v>
      </c>
      <c r="G12" s="32">
        <v>6.03</v>
      </c>
      <c r="H12" s="32">
        <v>2.71</v>
      </c>
      <c r="I12" s="32">
        <f>F12*0.097</f>
        <v>324.15043579044971</v>
      </c>
      <c r="J12" s="32"/>
      <c r="K12" s="32">
        <v>8.86</v>
      </c>
      <c r="L12" s="32">
        <f t="shared" si="4"/>
        <v>3677.477505795086</v>
      </c>
      <c r="M12" s="32">
        <f t="shared" si="5"/>
        <v>3677.477505795086</v>
      </c>
      <c r="N12" s="32">
        <f t="shared" si="6"/>
        <v>772.270276216968</v>
      </c>
      <c r="O12" s="32">
        <f t="shared" si="7"/>
        <v>1099.1307120074177</v>
      </c>
      <c r="P12">
        <v>5</v>
      </c>
      <c r="Q12" s="62"/>
      <c r="R12" s="3" t="s">
        <v>428</v>
      </c>
      <c r="S12" s="22">
        <v>45</v>
      </c>
      <c r="T12" s="4">
        <v>0.21</v>
      </c>
      <c r="U12" s="4">
        <f t="shared" si="1"/>
        <v>54.449999999999996</v>
      </c>
      <c r="V12" s="132"/>
    </row>
    <row r="13" spans="1:22" x14ac:dyDescent="0.2">
      <c r="A13" t="s">
        <v>488</v>
      </c>
      <c r="B13" s="128" t="s">
        <v>266</v>
      </c>
      <c r="C13" s="32">
        <v>25400</v>
      </c>
      <c r="D13" s="32">
        <f t="shared" si="2"/>
        <v>23551.228558182662</v>
      </c>
      <c r="E13" s="32">
        <v>70.650000000000006</v>
      </c>
      <c r="F13" s="32">
        <f t="shared" si="3"/>
        <v>23621.878558182663</v>
      </c>
      <c r="G13" s="32">
        <v>6.03</v>
      </c>
      <c r="H13" s="32">
        <v>2.71</v>
      </c>
      <c r="I13" s="32">
        <f>5000*0.3</f>
        <v>1500</v>
      </c>
      <c r="J13" s="32"/>
      <c r="K13" s="32">
        <v>62.64</v>
      </c>
      <c r="L13" s="32">
        <f>K13+I13+H13+F13</f>
        <v>25187.228558182662</v>
      </c>
      <c r="M13" s="32">
        <f t="shared" si="5"/>
        <v>25187.228558182662</v>
      </c>
      <c r="N13" s="32">
        <f t="shared" si="6"/>
        <v>5289.3179972183589</v>
      </c>
      <c r="O13" s="32">
        <f t="shared" si="7"/>
        <v>6792.0279972183589</v>
      </c>
      <c r="P13">
        <v>6</v>
      </c>
      <c r="Q13" s="62"/>
      <c r="R13" s="3" t="s">
        <v>429</v>
      </c>
      <c r="S13" s="22">
        <f>25*7</f>
        <v>175</v>
      </c>
      <c r="T13" s="4">
        <v>0.21</v>
      </c>
      <c r="U13" s="4">
        <f t="shared" si="1"/>
        <v>211.75</v>
      </c>
      <c r="V13" s="132"/>
    </row>
    <row r="14" spans="1:22" x14ac:dyDescent="0.2">
      <c r="A14" t="s">
        <v>489</v>
      </c>
      <c r="B14" s="128">
        <v>8471607000</v>
      </c>
      <c r="C14" s="32">
        <v>3110</v>
      </c>
      <c r="D14" s="32">
        <f t="shared" si="2"/>
        <v>2883.6346777932313</v>
      </c>
      <c r="E14" s="32">
        <v>8.65</v>
      </c>
      <c r="F14" s="32">
        <f t="shared" si="3"/>
        <v>2892.2846777932314</v>
      </c>
      <c r="G14" s="32">
        <v>6.03</v>
      </c>
      <c r="H14" s="32">
        <v>2.71</v>
      </c>
      <c r="I14" s="32">
        <v>0</v>
      </c>
      <c r="J14" s="32"/>
      <c r="K14" s="32">
        <v>7.67</v>
      </c>
      <c r="L14" s="32">
        <f t="shared" si="4"/>
        <v>2902.6646777932315</v>
      </c>
      <c r="M14" s="32">
        <f t="shared" si="5"/>
        <v>2902.6646777932315</v>
      </c>
      <c r="N14" s="32">
        <f t="shared" si="6"/>
        <v>609.55958233657861</v>
      </c>
      <c r="O14" s="32">
        <f t="shared" si="7"/>
        <v>612.26958233657865</v>
      </c>
      <c r="P14">
        <v>7</v>
      </c>
      <c r="Q14" s="62"/>
      <c r="R14" s="3" t="s">
        <v>378</v>
      </c>
      <c r="S14" s="10">
        <v>950</v>
      </c>
      <c r="T14" s="4">
        <v>0.21</v>
      </c>
      <c r="U14" s="4">
        <f t="shared" si="1"/>
        <v>1149.5</v>
      </c>
      <c r="V14" s="132"/>
    </row>
    <row r="15" spans="1:22" x14ac:dyDescent="0.2">
      <c r="A15" t="s">
        <v>490</v>
      </c>
      <c r="B15" s="128">
        <v>8518300090</v>
      </c>
      <c r="C15" s="32">
        <v>14337.26</v>
      </c>
      <c r="D15" s="32">
        <f t="shared" si="2"/>
        <v>13293.704218822439</v>
      </c>
      <c r="E15" s="32">
        <v>39.880000000000003</v>
      </c>
      <c r="F15" s="32">
        <f t="shared" si="3"/>
        <v>13333.584218822438</v>
      </c>
      <c r="G15" s="32">
        <v>6.03</v>
      </c>
      <c r="H15" s="32">
        <v>2.71</v>
      </c>
      <c r="I15" s="32">
        <v>0</v>
      </c>
      <c r="J15" s="32"/>
      <c r="K15" s="32">
        <v>35.36</v>
      </c>
      <c r="L15" s="32">
        <f t="shared" si="4"/>
        <v>13371.654218822438</v>
      </c>
      <c r="M15" s="32">
        <f t="shared" si="5"/>
        <v>13371.654218822438</v>
      </c>
      <c r="N15" s="32">
        <f t="shared" si="6"/>
        <v>2808.0473859527119</v>
      </c>
      <c r="O15" s="32">
        <f t="shared" si="7"/>
        <v>2810.757385952712</v>
      </c>
      <c r="P15">
        <v>8</v>
      </c>
      <c r="Q15" s="62"/>
      <c r="R15" s="3" t="s">
        <v>481</v>
      </c>
      <c r="S15" s="10">
        <v>238.16</v>
      </c>
      <c r="T15" s="4">
        <v>0</v>
      </c>
      <c r="U15" s="4">
        <f t="shared" si="1"/>
        <v>238.16</v>
      </c>
      <c r="V15" s="132"/>
    </row>
    <row r="16" spans="1:22" x14ac:dyDescent="0.2">
      <c r="A16" t="s">
        <v>491</v>
      </c>
      <c r="B16" s="128">
        <v>8518210000</v>
      </c>
      <c r="C16" s="32">
        <v>4921.3999999999996</v>
      </c>
      <c r="D16" s="32">
        <f t="shared" si="2"/>
        <v>4563.1896152063046</v>
      </c>
      <c r="E16" s="32">
        <v>13.69</v>
      </c>
      <c r="F16" s="32">
        <f t="shared" si="3"/>
        <v>4576.8796152063042</v>
      </c>
      <c r="G16" s="32">
        <v>6.03</v>
      </c>
      <c r="H16" s="32">
        <v>2.71</v>
      </c>
      <c r="I16" s="32">
        <v>0</v>
      </c>
      <c r="J16" s="32"/>
      <c r="K16" s="32">
        <v>12.14</v>
      </c>
      <c r="L16" s="32">
        <f t="shared" si="4"/>
        <v>4591.7296152063045</v>
      </c>
      <c r="M16" s="32">
        <f t="shared" si="5"/>
        <v>4591.7296152063045</v>
      </c>
      <c r="N16" s="32">
        <f t="shared" si="6"/>
        <v>964.26321919332395</v>
      </c>
      <c r="O16" s="32">
        <f t="shared" si="7"/>
        <v>966.97321919332398</v>
      </c>
      <c r="P16">
        <v>9</v>
      </c>
      <c r="Q16" s="62"/>
      <c r="R16" s="3" t="s">
        <v>481</v>
      </c>
      <c r="S16" s="10">
        <v>238.16</v>
      </c>
      <c r="T16" s="4">
        <v>0</v>
      </c>
      <c r="U16" s="4">
        <f t="shared" si="1"/>
        <v>238.16</v>
      </c>
      <c r="V16" s="132"/>
    </row>
    <row r="17" spans="1:22" x14ac:dyDescent="0.2">
      <c r="A17" t="s">
        <v>492</v>
      </c>
      <c r="B17" s="128">
        <v>8543709099</v>
      </c>
      <c r="C17" s="32">
        <v>3074.8</v>
      </c>
      <c r="D17" s="32">
        <f t="shared" si="2"/>
        <v>2850.9967547519705</v>
      </c>
      <c r="E17" s="32">
        <v>8.5500000000000007</v>
      </c>
      <c r="F17" s="32">
        <f t="shared" si="3"/>
        <v>2859.5467547519706</v>
      </c>
      <c r="G17" s="32">
        <v>6.03</v>
      </c>
      <c r="H17" s="32">
        <v>2.71</v>
      </c>
      <c r="I17" s="32">
        <v>105.8</v>
      </c>
      <c r="J17" s="32"/>
      <c r="K17" s="32">
        <v>7.58</v>
      </c>
      <c r="L17" s="32">
        <f t="shared" si="4"/>
        <v>2975.6367547519708</v>
      </c>
      <c r="M17" s="32">
        <f t="shared" si="5"/>
        <v>2975.6367547519708</v>
      </c>
      <c r="N17" s="32">
        <f t="shared" si="6"/>
        <v>624.88371849791383</v>
      </c>
      <c r="O17" s="32">
        <f t="shared" si="7"/>
        <v>733.39371849791382</v>
      </c>
      <c r="P17">
        <v>10</v>
      </c>
      <c r="Q17" s="62"/>
      <c r="R17" s="3" t="s">
        <v>481</v>
      </c>
      <c r="S17" s="10">
        <v>238.16</v>
      </c>
      <c r="T17" s="4">
        <v>0</v>
      </c>
      <c r="U17" s="4">
        <f t="shared" si="1"/>
        <v>238.16</v>
      </c>
      <c r="V17" s="132"/>
    </row>
    <row r="18" spans="1:22" x14ac:dyDescent="0.2">
      <c r="A18" t="s">
        <v>493</v>
      </c>
      <c r="B18" s="128">
        <v>4202929190</v>
      </c>
      <c r="C18" s="32">
        <v>2386.8000000000002</v>
      </c>
      <c r="D18" s="32">
        <f t="shared" si="2"/>
        <v>2213.07371349096</v>
      </c>
      <c r="E18" s="32">
        <v>6.64</v>
      </c>
      <c r="F18" s="32">
        <f t="shared" si="3"/>
        <v>2219.7137134909599</v>
      </c>
      <c r="G18" s="32">
        <v>6.03</v>
      </c>
      <c r="H18" s="32">
        <v>2.71</v>
      </c>
      <c r="I18" s="32">
        <f>F18*0.027</f>
        <v>59.932270264255919</v>
      </c>
      <c r="J18" s="32"/>
      <c r="K18" s="32">
        <v>5.89</v>
      </c>
      <c r="L18" s="32">
        <f t="shared" si="4"/>
        <v>2288.245983755216</v>
      </c>
      <c r="M18" s="32">
        <f t="shared" si="5"/>
        <v>2288.245983755216</v>
      </c>
      <c r="N18" s="32">
        <f t="shared" si="6"/>
        <v>480.53165658859535</v>
      </c>
      <c r="O18" s="32">
        <f t="shared" si="7"/>
        <v>543.17392685285131</v>
      </c>
      <c r="P18">
        <v>11</v>
      </c>
      <c r="Q18" s="62"/>
      <c r="R18" s="3" t="s">
        <v>481</v>
      </c>
      <c r="S18" s="10">
        <v>238.16</v>
      </c>
      <c r="T18" s="4">
        <v>0</v>
      </c>
      <c r="U18" s="4">
        <f t="shared" si="1"/>
        <v>238.16</v>
      </c>
      <c r="V18" s="132"/>
    </row>
    <row r="19" spans="1:22" x14ac:dyDescent="0.2">
      <c r="A19" t="s">
        <v>494</v>
      </c>
      <c r="B19" s="128" t="s">
        <v>441</v>
      </c>
      <c r="C19" s="32">
        <v>8540</v>
      </c>
      <c r="D19" s="32">
        <f t="shared" si="2"/>
        <v>7918.4051923968473</v>
      </c>
      <c r="E19" s="32">
        <v>23.75</v>
      </c>
      <c r="F19" s="32">
        <f t="shared" si="3"/>
        <v>7942.1551923968473</v>
      </c>
      <c r="G19" s="32">
        <v>6.03</v>
      </c>
      <c r="H19" s="32">
        <f t="shared" ref="H19" si="8">G19*0.45</f>
        <v>2.7135000000000002</v>
      </c>
      <c r="I19" s="32">
        <f>F19*0.097</f>
        <v>770.38905366249423</v>
      </c>
      <c r="J19" s="32"/>
      <c r="K19" s="32">
        <v>21.06</v>
      </c>
      <c r="L19" s="32">
        <f t="shared" si="4"/>
        <v>8736.3177460593415</v>
      </c>
      <c r="M19" s="32">
        <f t="shared" si="5"/>
        <v>8736.3177460593415</v>
      </c>
      <c r="N19" s="32">
        <f t="shared" si="6"/>
        <v>1834.6267266724617</v>
      </c>
      <c r="O19" s="32">
        <f t="shared" si="7"/>
        <v>2607.7292803349555</v>
      </c>
      <c r="P19">
        <v>12</v>
      </c>
      <c r="Q19" s="62"/>
      <c r="R19" s="3" t="s">
        <v>481</v>
      </c>
      <c r="S19" s="10">
        <v>238.16</v>
      </c>
      <c r="T19" s="4">
        <v>0</v>
      </c>
      <c r="U19" s="4">
        <f t="shared" si="1"/>
        <v>238.16</v>
      </c>
      <c r="V19" s="132"/>
    </row>
    <row r="20" spans="1:22" x14ac:dyDescent="0.2">
      <c r="A20" t="s">
        <v>495</v>
      </c>
      <c r="B20" s="128" t="s">
        <v>447</v>
      </c>
      <c r="C20" s="32">
        <v>15172.4</v>
      </c>
      <c r="D20" s="32">
        <f t="shared" si="2"/>
        <v>14068.057487250811</v>
      </c>
      <c r="E20" s="32">
        <v>42.2</v>
      </c>
      <c r="F20" s="32">
        <f t="shared" si="3"/>
        <v>14110.257487250812</v>
      </c>
      <c r="G20" s="32">
        <v>6.03</v>
      </c>
      <c r="H20" s="32">
        <v>2.71</v>
      </c>
      <c r="I20" s="32">
        <v>0</v>
      </c>
      <c r="J20" s="32"/>
      <c r="K20" s="32">
        <v>37.42</v>
      </c>
      <c r="L20" s="32">
        <f t="shared" si="4"/>
        <v>14150.387487250811</v>
      </c>
      <c r="M20" s="32">
        <f t="shared" si="5"/>
        <v>14150.387487250811</v>
      </c>
      <c r="N20" s="32">
        <f t="shared" si="6"/>
        <v>2971.5813723226702</v>
      </c>
      <c r="O20" s="32">
        <f t="shared" si="7"/>
        <v>2974.2913723226702</v>
      </c>
      <c r="P20">
        <v>13</v>
      </c>
      <c r="Q20" s="62"/>
      <c r="R20" s="3" t="s">
        <v>481</v>
      </c>
      <c r="S20" s="10">
        <v>238.16</v>
      </c>
      <c r="T20" s="4">
        <v>0</v>
      </c>
      <c r="U20" s="4">
        <f t="shared" si="1"/>
        <v>238.16</v>
      </c>
      <c r="V20" s="132"/>
    </row>
    <row r="21" spans="1:22" x14ac:dyDescent="0.2">
      <c r="B21" s="128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Q21" s="62"/>
      <c r="R21" s="3" t="s">
        <v>481</v>
      </c>
      <c r="S21" s="10">
        <v>238.16</v>
      </c>
      <c r="T21" s="4">
        <v>0</v>
      </c>
      <c r="U21" s="4">
        <f t="shared" si="1"/>
        <v>238.16</v>
      </c>
      <c r="V21" s="132"/>
    </row>
    <row r="22" spans="1:22" x14ac:dyDescent="0.2">
      <c r="B22" s="128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Q22" s="62"/>
      <c r="R22" s="3" t="s">
        <v>481</v>
      </c>
      <c r="S22" s="10">
        <v>238.16</v>
      </c>
      <c r="T22" s="4">
        <v>0</v>
      </c>
      <c r="U22" s="4">
        <f t="shared" si="1"/>
        <v>238.16</v>
      </c>
      <c r="V22" s="132"/>
    </row>
    <row r="23" spans="1:22" x14ac:dyDescent="0.2">
      <c r="B23" s="129" t="s">
        <v>448</v>
      </c>
      <c r="C23" s="60">
        <f t="shared" ref="C23:O23" si="9">SUM(C8:C22)</f>
        <v>92522.36</v>
      </c>
      <c r="D23" s="60">
        <f t="shared" si="9"/>
        <v>85788.00185442745</v>
      </c>
      <c r="E23" s="60">
        <f t="shared" si="9"/>
        <v>257.36</v>
      </c>
      <c r="F23" s="60">
        <f t="shared" si="9"/>
        <v>86045.361854427436</v>
      </c>
      <c r="G23" s="60">
        <f t="shared" si="9"/>
        <v>78.39</v>
      </c>
      <c r="H23" s="60">
        <f t="shared" si="9"/>
        <v>35.233500000000006</v>
      </c>
      <c r="I23" s="60">
        <f t="shared" si="9"/>
        <v>2842.2974100649053</v>
      </c>
      <c r="J23" s="60">
        <f t="shared" si="9"/>
        <v>0</v>
      </c>
      <c r="K23" s="60">
        <f t="shared" si="9"/>
        <v>228.18</v>
      </c>
      <c r="L23" s="60">
        <f t="shared" si="9"/>
        <v>89151.072764492346</v>
      </c>
      <c r="M23" s="60">
        <f t="shared" si="9"/>
        <v>89151.072764492346</v>
      </c>
      <c r="N23" s="60">
        <f t="shared" si="9"/>
        <v>18721.725280543393</v>
      </c>
      <c r="O23" s="60">
        <f t="shared" si="9"/>
        <v>21599.256190608296</v>
      </c>
      <c r="Q23" s="62"/>
      <c r="R23" s="3" t="s">
        <v>481</v>
      </c>
      <c r="S23" s="10">
        <v>238.16</v>
      </c>
      <c r="T23" s="4">
        <v>0</v>
      </c>
      <c r="U23" s="4">
        <f t="shared" si="1"/>
        <v>238.16</v>
      </c>
      <c r="V23" s="132"/>
    </row>
    <row r="24" spans="1:22" x14ac:dyDescent="0.2">
      <c r="R24" s="3" t="s">
        <v>481</v>
      </c>
      <c r="S24" s="10">
        <v>238.16</v>
      </c>
      <c r="T24" s="4">
        <v>0</v>
      </c>
      <c r="U24" s="4">
        <f t="shared" si="1"/>
        <v>238.16</v>
      </c>
      <c r="V24" s="132"/>
    </row>
    <row r="25" spans="1:22" x14ac:dyDescent="0.2">
      <c r="R25" s="3"/>
      <c r="S25" s="10"/>
      <c r="T25" s="4"/>
      <c r="U25" s="4"/>
      <c r="V25" s="132"/>
    </row>
    <row r="26" spans="1:22" x14ac:dyDescent="0.2">
      <c r="R26" s="3"/>
      <c r="S26" s="10"/>
      <c r="T26" s="4"/>
      <c r="U26" s="4"/>
      <c r="V26" s="132"/>
    </row>
    <row r="27" spans="1:22" x14ac:dyDescent="0.2">
      <c r="R27" s="3"/>
      <c r="S27" s="10"/>
      <c r="T27" s="4"/>
      <c r="U27" s="4"/>
      <c r="V27" s="132"/>
    </row>
    <row r="28" spans="1:22" x14ac:dyDescent="0.2">
      <c r="R28" s="3"/>
      <c r="S28" s="10"/>
      <c r="T28" s="4"/>
      <c r="U28" s="4"/>
      <c r="V28" s="132"/>
    </row>
    <row r="29" spans="1:22" x14ac:dyDescent="0.2">
      <c r="R29" s="3" t="s">
        <v>156</v>
      </c>
      <c r="S29" s="22">
        <v>150</v>
      </c>
      <c r="T29" s="4">
        <v>0.21</v>
      </c>
      <c r="U29" s="4">
        <f t="shared" si="1"/>
        <v>181.5</v>
      </c>
      <c r="V29" s="132"/>
    </row>
    <row r="30" spans="1:22" x14ac:dyDescent="0.2">
      <c r="R30" s="3" t="s">
        <v>157</v>
      </c>
      <c r="S30" s="22"/>
      <c r="T30" s="4">
        <v>0.21</v>
      </c>
      <c r="U30" s="4">
        <f t="shared" si="1"/>
        <v>0</v>
      </c>
      <c r="V30" s="132"/>
    </row>
    <row r="31" spans="1:22" x14ac:dyDescent="0.2">
      <c r="R31" s="3" t="s">
        <v>77</v>
      </c>
      <c r="S31" s="23">
        <f>SUM(S5:S30)</f>
        <v>4095.599999999999</v>
      </c>
      <c r="T31" s="23"/>
      <c r="U31" s="23">
        <f>SUM(U5:U30)</f>
        <v>4455.5399999999991</v>
      </c>
      <c r="V31" s="132"/>
    </row>
    <row r="32" spans="1:22" x14ac:dyDescent="0.2">
      <c r="R32" s="3" t="s">
        <v>379</v>
      </c>
      <c r="S32" s="4">
        <v>2055.1</v>
      </c>
      <c r="T32" s="3">
        <v>14312.59</v>
      </c>
      <c r="U32" s="10">
        <v>16367.69</v>
      </c>
      <c r="V32" s="132"/>
    </row>
    <row r="33" spans="18:22" x14ac:dyDescent="0.2">
      <c r="S33"/>
      <c r="V33" s="3"/>
    </row>
    <row r="34" spans="18:22" x14ac:dyDescent="0.2">
      <c r="R34" s="3"/>
      <c r="S34" s="4">
        <v>3996.04</v>
      </c>
      <c r="T34" s="4">
        <v>14667.368200000001</v>
      </c>
      <c r="U34" s="4">
        <v>18663.408200000002</v>
      </c>
    </row>
  </sheetData>
  <autoFilter ref="A7:O23" xr:uid="{46A88692-6BE5-4C67-915B-A1A95D694D53}"/>
  <mergeCells count="1">
    <mergeCell ref="V5:V32"/>
  </mergeCells>
  <phoneticPr fontId="4" type="noConversion"/>
  <conditionalFormatting sqref="B1:B1048576">
    <cfRule type="duplicateValues" dxfId="9" priority="1"/>
  </conditionalFormatting>
  <pageMargins left="0.70866141732283472" right="0.70866141732283472" top="0.74803149606299213" bottom="0.74803149606299213" header="0.31496062992125984" footer="0.31496062992125984"/>
  <pageSetup paperSize="9" scale="38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953C5-560B-436A-AD47-1BF58A049952}">
  <sheetPr>
    <pageSetUpPr fitToPage="1"/>
  </sheetPr>
  <dimension ref="A1:S33"/>
  <sheetViews>
    <sheetView workbookViewId="0">
      <pane xSplit="1" ySplit="5" topLeftCell="B9" activePane="bottomRight" state="frozen"/>
      <selection pane="topRight" activeCell="B1" sqref="B1"/>
      <selection pane="bottomLeft" activeCell="A6" sqref="A6"/>
      <selection pane="bottomRight" activeCell="F14" sqref="F14"/>
    </sheetView>
  </sheetViews>
  <sheetFormatPr defaultRowHeight="14.25" x14ac:dyDescent="0.2"/>
  <cols>
    <col min="1" max="1" width="21.375" customWidth="1"/>
    <col min="2" max="2" width="17.125" customWidth="1"/>
    <col min="3" max="3" width="13.625" customWidth="1"/>
    <col min="4" max="4" width="9.625" customWidth="1"/>
    <col min="5" max="5" width="13" customWidth="1"/>
    <col min="6" max="6" width="11.625" customWidth="1"/>
    <col min="7" max="7" width="7.875" bestFit="1" customWidth="1"/>
    <col min="8" max="8" width="10.25" bestFit="1" customWidth="1"/>
    <col min="9" max="9" width="13.125" bestFit="1" customWidth="1"/>
    <col min="10" max="10" width="37.5" customWidth="1"/>
    <col min="11" max="11" width="14.75" customWidth="1"/>
    <col min="12" max="13" width="11.375" bestFit="1" customWidth="1"/>
    <col min="14" max="14" width="14.875" customWidth="1"/>
    <col min="15" max="15" width="16.75" bestFit="1" customWidth="1"/>
    <col min="16" max="16" width="9.25" bestFit="1" customWidth="1"/>
    <col min="17" max="17" width="10.375" bestFit="1" customWidth="1"/>
    <col min="18" max="18" width="9.75" bestFit="1" customWidth="1"/>
    <col min="19" max="19" width="10.375" style="32" bestFit="1" customWidth="1"/>
    <col min="20" max="20" width="20.5" bestFit="1" customWidth="1"/>
  </cols>
  <sheetData>
    <row r="1" spans="1:19" ht="71.25" x14ac:dyDescent="0.2">
      <c r="A1" s="1" t="s">
        <v>385</v>
      </c>
      <c r="B1" s="1"/>
      <c r="C1" s="31">
        <v>45077</v>
      </c>
      <c r="D1" s="1" t="s">
        <v>386</v>
      </c>
      <c r="E1" s="1"/>
    </row>
    <row r="2" spans="1:19" x14ac:dyDescent="0.2">
      <c r="A2" t="s">
        <v>246</v>
      </c>
      <c r="B2" s="3">
        <v>1.0932999999999999</v>
      </c>
    </row>
    <row r="3" spans="1:19" ht="28.5" x14ac:dyDescent="0.2">
      <c r="A3" s="1" t="s">
        <v>61</v>
      </c>
      <c r="B3" s="1"/>
      <c r="C3" s="1" t="s">
        <v>62</v>
      </c>
      <c r="D3" s="2" t="s">
        <v>35</v>
      </c>
      <c r="E3" s="2"/>
      <c r="F3" s="1" t="s">
        <v>36</v>
      </c>
      <c r="G3" s="1"/>
      <c r="H3" s="1" t="s">
        <v>35</v>
      </c>
      <c r="I3" s="1" t="s">
        <v>63</v>
      </c>
      <c r="J3" s="1" t="s">
        <v>375</v>
      </c>
      <c r="K3" s="12">
        <v>45077</v>
      </c>
      <c r="L3" s="1"/>
      <c r="M3" s="1"/>
      <c r="N3" s="1" t="s">
        <v>72</v>
      </c>
    </row>
    <row r="4" spans="1:19" x14ac:dyDescent="0.2">
      <c r="A4" s="3" t="s">
        <v>0</v>
      </c>
      <c r="B4" s="58"/>
      <c r="C4" s="3" t="s">
        <v>6</v>
      </c>
      <c r="D4" s="4" t="s">
        <v>241</v>
      </c>
      <c r="E4" s="4" t="s">
        <v>242</v>
      </c>
      <c r="F4" s="3"/>
      <c r="G4" s="3"/>
      <c r="H4" s="3" t="s">
        <v>3</v>
      </c>
      <c r="I4" s="3" t="s">
        <v>21</v>
      </c>
      <c r="J4" s="3"/>
      <c r="K4" s="3" t="s">
        <v>65</v>
      </c>
      <c r="L4" s="3" t="s">
        <v>19</v>
      </c>
      <c r="M4" s="3" t="s">
        <v>35</v>
      </c>
      <c r="N4" s="1" t="s">
        <v>54</v>
      </c>
      <c r="S4"/>
    </row>
    <row r="5" spans="1:19" ht="28.5" x14ac:dyDescent="0.2">
      <c r="A5" s="3" t="s">
        <v>1</v>
      </c>
      <c r="B5" s="58">
        <v>45036</v>
      </c>
      <c r="C5" s="3" t="s">
        <v>392</v>
      </c>
      <c r="D5" s="4">
        <v>71992.31</v>
      </c>
      <c r="E5" s="4">
        <v>65848.63258026159</v>
      </c>
      <c r="F5" s="3" t="s">
        <v>380</v>
      </c>
      <c r="G5" s="3"/>
      <c r="H5" s="23">
        <v>16367.69</v>
      </c>
      <c r="I5" s="33" t="s">
        <v>22</v>
      </c>
      <c r="J5" s="3" t="s">
        <v>273</v>
      </c>
      <c r="K5" s="22"/>
      <c r="L5" s="4"/>
      <c r="M5" s="4">
        <v>0</v>
      </c>
      <c r="N5" s="131" t="s">
        <v>274</v>
      </c>
      <c r="S5"/>
    </row>
    <row r="6" spans="1:19" x14ac:dyDescent="0.2">
      <c r="A6" s="1"/>
      <c r="B6" s="1"/>
      <c r="C6" s="1"/>
      <c r="D6" s="1"/>
      <c r="E6" s="1"/>
      <c r="F6" s="1"/>
      <c r="G6" s="1"/>
      <c r="H6" s="1"/>
      <c r="I6" s="34"/>
      <c r="J6" s="3" t="s">
        <v>149</v>
      </c>
      <c r="K6" s="22"/>
      <c r="L6" s="4"/>
      <c r="M6" s="4">
        <v>0</v>
      </c>
      <c r="N6" s="131"/>
      <c r="S6"/>
    </row>
    <row r="7" spans="1:19" x14ac:dyDescent="0.2">
      <c r="A7" s="1"/>
      <c r="B7" s="1"/>
      <c r="C7" s="1"/>
      <c r="D7" s="1"/>
      <c r="E7" s="1"/>
      <c r="F7" s="1"/>
      <c r="G7" s="1"/>
      <c r="H7" s="1"/>
      <c r="I7" s="62"/>
      <c r="J7" s="3" t="s">
        <v>150</v>
      </c>
      <c r="K7" s="22"/>
      <c r="L7" s="4">
        <v>0</v>
      </c>
      <c r="M7" s="4">
        <v>0</v>
      </c>
      <c r="N7" s="131"/>
      <c r="S7"/>
    </row>
    <row r="8" spans="1:19" x14ac:dyDescent="0.2">
      <c r="A8" s="1"/>
      <c r="B8" s="67"/>
      <c r="C8" s="67"/>
      <c r="D8" s="67"/>
      <c r="E8" s="67"/>
      <c r="F8" s="67"/>
      <c r="G8" s="67"/>
      <c r="H8" s="1"/>
      <c r="I8" s="62"/>
      <c r="J8" s="3" t="s">
        <v>377</v>
      </c>
      <c r="K8" s="10">
        <v>251.52</v>
      </c>
      <c r="L8" s="4"/>
      <c r="M8" s="4">
        <v>251.52</v>
      </c>
      <c r="N8" s="131"/>
      <c r="S8"/>
    </row>
    <row r="9" spans="1:19" x14ac:dyDescent="0.2">
      <c r="A9" s="1"/>
      <c r="B9" s="67"/>
      <c r="C9" s="67"/>
      <c r="D9" s="67"/>
      <c r="E9" s="67"/>
      <c r="F9" s="67"/>
      <c r="G9" s="67"/>
      <c r="H9" s="1"/>
      <c r="I9" s="62"/>
      <c r="J9" s="6" t="s">
        <v>151</v>
      </c>
      <c r="K9" s="25"/>
      <c r="L9" s="4"/>
      <c r="M9" s="4">
        <v>0</v>
      </c>
      <c r="N9" s="132"/>
      <c r="S9"/>
    </row>
    <row r="10" spans="1:19" x14ac:dyDescent="0.2">
      <c r="A10" s="1"/>
      <c r="B10" s="67"/>
      <c r="C10" s="67"/>
      <c r="D10" s="67"/>
      <c r="E10" s="67"/>
      <c r="F10" s="67"/>
      <c r="G10" s="67"/>
      <c r="H10" s="68"/>
      <c r="I10" s="62"/>
      <c r="J10" s="6"/>
      <c r="K10" s="25"/>
      <c r="L10" s="4"/>
      <c r="M10" s="4"/>
      <c r="N10" s="132"/>
    </row>
    <row r="11" spans="1:19" ht="28.5" x14ac:dyDescent="0.2">
      <c r="A11" s="1"/>
      <c r="B11" s="67"/>
      <c r="C11" s="67"/>
      <c r="D11" s="67"/>
      <c r="E11" s="67"/>
      <c r="F11" s="67"/>
      <c r="G11" s="67"/>
      <c r="H11" s="68"/>
      <c r="I11" s="62"/>
      <c r="J11" s="3" t="s">
        <v>152</v>
      </c>
      <c r="K11" s="22">
        <v>1052</v>
      </c>
      <c r="L11" s="4">
        <v>220.92</v>
      </c>
      <c r="M11" s="4">
        <v>1272.92</v>
      </c>
      <c r="N11" s="132"/>
    </row>
    <row r="12" spans="1:19" ht="28.5" customHeight="1" x14ac:dyDescent="0.2">
      <c r="A12" s="1"/>
      <c r="B12" s="67"/>
      <c r="C12" s="67"/>
      <c r="D12" s="67"/>
      <c r="E12" s="67"/>
      <c r="F12" s="67"/>
      <c r="G12" s="67"/>
      <c r="H12" s="68"/>
      <c r="I12" s="62"/>
      <c r="J12" s="3" t="s">
        <v>153</v>
      </c>
      <c r="K12" s="22">
        <v>45</v>
      </c>
      <c r="L12" s="4">
        <v>9.4499999999999993</v>
      </c>
      <c r="M12" s="4">
        <v>54.45</v>
      </c>
      <c r="N12" s="132"/>
    </row>
    <row r="13" spans="1:19" x14ac:dyDescent="0.2">
      <c r="A13" s="1"/>
      <c r="B13" s="67"/>
      <c r="C13" s="67"/>
      <c r="D13" s="67"/>
      <c r="E13" s="67"/>
      <c r="F13" s="67"/>
      <c r="G13" s="67"/>
      <c r="H13" s="68"/>
      <c r="I13" s="62"/>
      <c r="J13" s="3" t="s">
        <v>376</v>
      </c>
      <c r="K13" s="22">
        <v>100</v>
      </c>
      <c r="L13" s="4">
        <v>21</v>
      </c>
      <c r="M13" s="4">
        <v>121</v>
      </c>
      <c r="N13" s="132"/>
    </row>
    <row r="14" spans="1:19" ht="28.5" customHeight="1" x14ac:dyDescent="0.2">
      <c r="A14" s="1"/>
      <c r="B14" s="67"/>
      <c r="C14" s="67"/>
      <c r="D14" s="67"/>
      <c r="E14" s="67"/>
      <c r="F14" s="67"/>
      <c r="G14" s="67"/>
      <c r="H14" s="68"/>
      <c r="I14" s="62"/>
      <c r="J14" s="3" t="s">
        <v>378</v>
      </c>
      <c r="K14" s="10">
        <v>342.42</v>
      </c>
      <c r="L14" s="4">
        <v>71.908199999999994</v>
      </c>
      <c r="M14" s="4">
        <v>414.32820000000004</v>
      </c>
      <c r="N14" s="132"/>
    </row>
    <row r="15" spans="1:19" x14ac:dyDescent="0.2">
      <c r="A15" s="1"/>
      <c r="B15" s="67"/>
      <c r="C15" s="67"/>
      <c r="D15" s="67"/>
      <c r="E15" s="67"/>
      <c r="F15" s="67"/>
      <c r="G15" s="67"/>
      <c r="H15" s="68"/>
      <c r="I15" s="62"/>
      <c r="J15" s="3" t="s">
        <v>156</v>
      </c>
      <c r="K15" s="22">
        <v>150</v>
      </c>
      <c r="L15" s="4">
        <v>31.5</v>
      </c>
      <c r="M15" s="4">
        <v>181.5</v>
      </c>
      <c r="N15" s="132"/>
    </row>
    <row r="16" spans="1:19" x14ac:dyDescent="0.2">
      <c r="A16" s="1"/>
      <c r="B16" s="67"/>
      <c r="C16" s="67"/>
      <c r="D16" s="67"/>
      <c r="E16" s="67"/>
      <c r="F16" s="67"/>
      <c r="G16" s="67"/>
      <c r="H16" s="68"/>
      <c r="I16" s="62"/>
      <c r="J16" s="3" t="s">
        <v>157</v>
      </c>
      <c r="K16" s="22"/>
      <c r="L16" s="4">
        <v>0</v>
      </c>
      <c r="M16" s="4">
        <v>0</v>
      </c>
      <c r="N16" s="132"/>
    </row>
    <row r="17" spans="1:15" x14ac:dyDescent="0.2">
      <c r="A17" s="1"/>
      <c r="B17" s="67"/>
      <c r="C17" s="67"/>
      <c r="D17" s="67"/>
      <c r="E17" s="67"/>
      <c r="F17" s="67"/>
      <c r="G17" s="67"/>
      <c r="H17" s="68"/>
      <c r="I17" s="62"/>
      <c r="J17" s="3" t="s">
        <v>77</v>
      </c>
      <c r="K17" s="23">
        <v>1940.94</v>
      </c>
      <c r="L17" s="23">
        <v>354.77819999999997</v>
      </c>
      <c r="M17" s="23">
        <v>2295.7182000000003</v>
      </c>
      <c r="N17" s="132"/>
    </row>
    <row r="18" spans="1:15" x14ac:dyDescent="0.2">
      <c r="A18" s="1"/>
      <c r="B18" s="67"/>
      <c r="C18" s="67"/>
      <c r="D18" s="67"/>
      <c r="E18" s="67"/>
      <c r="F18" s="67"/>
      <c r="G18" s="67"/>
      <c r="H18" s="68"/>
      <c r="I18" s="62"/>
      <c r="J18" s="3" t="s">
        <v>379</v>
      </c>
      <c r="K18" s="4">
        <v>2055.1</v>
      </c>
      <c r="L18" s="3">
        <v>14312.59</v>
      </c>
      <c r="M18" s="10">
        <v>16367.69</v>
      </c>
      <c r="N18" s="132"/>
    </row>
    <row r="19" spans="1:15" x14ac:dyDescent="0.2">
      <c r="A19" s="1"/>
      <c r="B19" s="67"/>
      <c r="C19" s="67"/>
      <c r="D19" s="67"/>
      <c r="E19" s="67"/>
      <c r="F19" s="67"/>
      <c r="G19" s="67"/>
      <c r="H19" s="68"/>
      <c r="I19" s="63"/>
      <c r="N19" s="132"/>
    </row>
    <row r="20" spans="1:15" x14ac:dyDescent="0.2">
      <c r="A20" s="1"/>
      <c r="B20" s="67"/>
      <c r="C20" s="67"/>
      <c r="D20" s="67"/>
      <c r="E20" s="67"/>
      <c r="F20" s="67"/>
      <c r="G20" s="67"/>
      <c r="H20" s="68"/>
      <c r="I20" s="64"/>
      <c r="J20" s="3"/>
      <c r="K20" s="4">
        <v>3996.04</v>
      </c>
      <c r="L20" s="4">
        <v>14667.368200000001</v>
      </c>
      <c r="M20" s="4">
        <v>18663.408200000002</v>
      </c>
      <c r="N20" s="3"/>
    </row>
    <row r="21" spans="1:15" x14ac:dyDescent="0.2">
      <c r="A21" s="1"/>
      <c r="B21" s="67"/>
      <c r="C21" s="67"/>
      <c r="D21" s="67"/>
      <c r="E21" s="67"/>
      <c r="F21" s="67"/>
      <c r="G21" s="67"/>
      <c r="H21" s="68"/>
      <c r="J21" s="1"/>
      <c r="K21" s="1"/>
      <c r="L21" s="1"/>
      <c r="M21" s="1"/>
      <c r="N21" s="1"/>
    </row>
    <row r="22" spans="1:15" x14ac:dyDescent="0.2">
      <c r="J22" s="1"/>
      <c r="K22" s="1"/>
      <c r="L22" s="1"/>
      <c r="M22" s="1"/>
      <c r="N22" s="1"/>
    </row>
    <row r="23" spans="1:15" x14ac:dyDescent="0.2">
      <c r="A23" t="s">
        <v>244</v>
      </c>
      <c r="B23" t="s">
        <v>243</v>
      </c>
      <c r="C23" t="s">
        <v>250</v>
      </c>
      <c r="D23" t="s">
        <v>256</v>
      </c>
      <c r="E23" t="s">
        <v>173</v>
      </c>
      <c r="F23" t="s">
        <v>257</v>
      </c>
      <c r="G23" t="s">
        <v>247</v>
      </c>
      <c r="H23" t="s">
        <v>248</v>
      </c>
      <c r="I23" t="s">
        <v>258</v>
      </c>
      <c r="J23" t="s">
        <v>259</v>
      </c>
      <c r="K23" t="s">
        <v>260</v>
      </c>
      <c r="L23" t="s">
        <v>160</v>
      </c>
      <c r="M23" t="s">
        <v>261</v>
      </c>
      <c r="N23" t="s">
        <v>190</v>
      </c>
      <c r="O23" t="s">
        <v>225</v>
      </c>
    </row>
    <row r="24" spans="1:15" x14ac:dyDescent="0.2">
      <c r="A24" t="s">
        <v>388</v>
      </c>
      <c r="B24" t="s">
        <v>387</v>
      </c>
      <c r="C24" s="32">
        <v>9483.18</v>
      </c>
      <c r="D24" s="32">
        <v>8673.904692216227</v>
      </c>
      <c r="E24" s="32"/>
      <c r="F24" s="32">
        <v>8673.904692216227</v>
      </c>
      <c r="G24" s="32">
        <v>13.73</v>
      </c>
      <c r="H24" s="32">
        <v>6.1885000000000003</v>
      </c>
      <c r="I24" s="32">
        <v>0</v>
      </c>
      <c r="J24" s="32"/>
      <c r="K24" s="32">
        <v>33.130000000000003</v>
      </c>
      <c r="L24" s="32">
        <v>8713.2231922162264</v>
      </c>
      <c r="M24" s="32">
        <v>8713.2231922162264</v>
      </c>
      <c r="N24" s="32">
        <v>1829.7668703654074</v>
      </c>
      <c r="O24" s="32">
        <v>1835.9553703654074</v>
      </c>
    </row>
    <row r="25" spans="1:15" x14ac:dyDescent="0.2">
      <c r="A25" t="s">
        <v>367</v>
      </c>
      <c r="B25" t="s">
        <v>366</v>
      </c>
      <c r="C25" s="32">
        <v>9711.2000000000007</v>
      </c>
      <c r="D25" s="32">
        <v>8882.4659288392959</v>
      </c>
      <c r="E25" s="32"/>
      <c r="F25" s="32">
        <v>8882.4659288392959</v>
      </c>
      <c r="G25" s="32">
        <v>13.73</v>
      </c>
      <c r="H25" s="32">
        <v>6.1785000000000005</v>
      </c>
      <c r="I25" s="32">
        <v>0</v>
      </c>
      <c r="J25" s="32"/>
      <c r="K25" s="32">
        <v>33.93</v>
      </c>
      <c r="L25" s="32">
        <v>8922.5744288392962</v>
      </c>
      <c r="M25" s="32">
        <v>8922.5744288392962</v>
      </c>
      <c r="N25" s="32">
        <v>1873.740630056252</v>
      </c>
      <c r="O25" s="32">
        <v>1879.919130056252</v>
      </c>
    </row>
    <row r="26" spans="1:15" x14ac:dyDescent="0.2">
      <c r="C26" s="32">
        <v>22620.240000000002</v>
      </c>
      <c r="D26" s="32">
        <v>20689.874691301568</v>
      </c>
      <c r="E26" s="32"/>
      <c r="F26" s="32">
        <v>20689.874691301568</v>
      </c>
      <c r="G26" s="32">
        <v>13.73</v>
      </c>
      <c r="H26" s="32">
        <v>6.1785000000000005</v>
      </c>
      <c r="I26" s="32">
        <v>0</v>
      </c>
      <c r="J26" s="32"/>
      <c r="K26" s="32">
        <v>79.03</v>
      </c>
      <c r="L26" s="32">
        <v>20775.083191301568</v>
      </c>
      <c r="M26" s="32">
        <v>20775.083191301568</v>
      </c>
      <c r="N26" s="32">
        <v>4362.7674701733295</v>
      </c>
      <c r="O26" s="32">
        <v>4368.9459701733294</v>
      </c>
    </row>
    <row r="27" spans="1:15" x14ac:dyDescent="0.2">
      <c r="C27" s="32">
        <v>14070.89</v>
      </c>
      <c r="D27" s="32">
        <v>12870.108844781853</v>
      </c>
      <c r="E27" s="32"/>
      <c r="F27" s="32">
        <v>12870.108844781853</v>
      </c>
      <c r="G27" s="32">
        <v>13.73</v>
      </c>
      <c r="H27" s="32">
        <v>6.1785000000000005</v>
      </c>
      <c r="I27" s="32">
        <v>836.55707491082046</v>
      </c>
      <c r="J27" s="32"/>
      <c r="K27" s="32">
        <v>49.16</v>
      </c>
      <c r="L27" s="32">
        <v>13762.004419692674</v>
      </c>
      <c r="M27" s="32">
        <v>13762.004419692674</v>
      </c>
      <c r="N27" s="32">
        <v>2890.0209281354614</v>
      </c>
      <c r="O27" s="32">
        <v>3732.756503046282</v>
      </c>
    </row>
    <row r="28" spans="1:15" x14ac:dyDescent="0.2">
      <c r="C28" s="32">
        <v>920</v>
      </c>
      <c r="D28" s="32">
        <v>841.4890697887131</v>
      </c>
      <c r="E28" s="32"/>
      <c r="F28" s="32">
        <v>841.4890697887131</v>
      </c>
      <c r="G28" s="32">
        <v>13.73</v>
      </c>
      <c r="H28" s="32">
        <v>6.1785000000000005</v>
      </c>
      <c r="I28" s="32">
        <v>0</v>
      </c>
      <c r="J28" s="32"/>
      <c r="K28" s="32">
        <v>3.21</v>
      </c>
      <c r="L28" s="32">
        <v>850.87756978871312</v>
      </c>
      <c r="M28" s="32">
        <v>850.87756978871312</v>
      </c>
      <c r="N28" s="32">
        <v>178.68428965562975</v>
      </c>
      <c r="O28" s="32">
        <v>184.86278965562977</v>
      </c>
    </row>
    <row r="29" spans="1:15" x14ac:dyDescent="0.2">
      <c r="B29">
        <v>920001206</v>
      </c>
      <c r="C29" s="32">
        <v>8316.7999999999993</v>
      </c>
      <c r="D29" s="32">
        <v>7607.0611908899655</v>
      </c>
      <c r="E29" s="32"/>
      <c r="F29" s="32">
        <v>7607.0611908899655</v>
      </c>
      <c r="G29" s="32">
        <v>13.73</v>
      </c>
      <c r="H29" s="32">
        <v>6.1785000000000005</v>
      </c>
      <c r="I29" s="32">
        <v>281.46126406292871</v>
      </c>
      <c r="J29" s="32"/>
      <c r="K29" s="32">
        <v>29.06</v>
      </c>
      <c r="L29" s="32">
        <v>7923.7609549528943</v>
      </c>
      <c r="M29" s="32">
        <v>7923.7609549528943</v>
      </c>
      <c r="N29" s="32">
        <v>1663.9898005401078</v>
      </c>
      <c r="O29" s="32">
        <v>1951.6295646030364</v>
      </c>
    </row>
    <row r="30" spans="1:15" x14ac:dyDescent="0.2">
      <c r="A30" t="s">
        <v>390</v>
      </c>
      <c r="B30" t="s">
        <v>389</v>
      </c>
      <c r="C30" s="32">
        <v>6870</v>
      </c>
      <c r="D30" s="32">
        <v>6283.7281624439775</v>
      </c>
      <c r="E30" s="32"/>
      <c r="F30" s="32">
        <v>6283.7281624439775</v>
      </c>
      <c r="G30" s="32">
        <v>13.73</v>
      </c>
      <c r="H30" s="32"/>
      <c r="I30" s="32">
        <v>900</v>
      </c>
      <c r="J30" s="32"/>
      <c r="K30" s="32">
        <v>24</v>
      </c>
      <c r="L30" s="32">
        <v>7207.7281624439775</v>
      </c>
      <c r="M30" s="32">
        <v>7207.7281624439775</v>
      </c>
      <c r="N30" s="32">
        <v>1513.6229141132353</v>
      </c>
      <c r="O30" s="32">
        <v>2413.6229141132353</v>
      </c>
    </row>
    <row r="31" spans="1:15" x14ac:dyDescent="0.2"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</row>
    <row r="32" spans="1:15" x14ac:dyDescent="0.2"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</row>
    <row r="33" spans="2:15" x14ac:dyDescent="0.2">
      <c r="B33" s="56" t="s">
        <v>252</v>
      </c>
      <c r="C33" s="60">
        <v>71992.31</v>
      </c>
      <c r="D33" s="60">
        <v>65848.63258026159</v>
      </c>
      <c r="E33" s="60">
        <v>0</v>
      </c>
      <c r="F33" s="60">
        <v>65848.63258026159</v>
      </c>
      <c r="G33" s="60">
        <v>96.110000000000014</v>
      </c>
      <c r="H33" s="60">
        <v>37.081000000000003</v>
      </c>
      <c r="I33" s="60">
        <v>2018.0183389737492</v>
      </c>
      <c r="J33" s="60">
        <v>0</v>
      </c>
      <c r="K33" s="60">
        <v>251.52</v>
      </c>
      <c r="L33" s="60">
        <v>68155.25191923535</v>
      </c>
      <c r="M33" s="60">
        <v>68155.25191923535</v>
      </c>
      <c r="N33" s="60">
        <v>14312.592903039424</v>
      </c>
      <c r="O33" s="60">
        <v>16367.69224201317</v>
      </c>
    </row>
  </sheetData>
  <mergeCells count="1">
    <mergeCell ref="N5:N19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57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6BE2A-5DDD-48B5-8504-ED8EFBE706A9}">
  <sheetPr>
    <pageSetUpPr fitToPage="1"/>
  </sheetPr>
  <dimension ref="A1:F32"/>
  <sheetViews>
    <sheetView zoomScale="86" zoomScaleNormal="86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3" sqref="A13"/>
    </sheetView>
  </sheetViews>
  <sheetFormatPr defaultRowHeight="14.25" x14ac:dyDescent="0.2"/>
  <cols>
    <col min="1" max="1" width="31.25" bestFit="1" customWidth="1"/>
    <col min="2" max="2" width="20.5" bestFit="1" customWidth="1"/>
    <col min="3" max="3" width="11.875" style="32" bestFit="1" customWidth="1"/>
    <col min="4" max="4" width="19.75" style="1" customWidth="1"/>
    <col min="6" max="6" width="16" bestFit="1" customWidth="1"/>
  </cols>
  <sheetData>
    <row r="1" spans="1:6" x14ac:dyDescent="0.2">
      <c r="A1" s="17" t="s">
        <v>293</v>
      </c>
      <c r="B1" s="17" t="s">
        <v>317</v>
      </c>
      <c r="C1" s="35" t="s">
        <v>357</v>
      </c>
      <c r="D1" s="3" t="s">
        <v>320</v>
      </c>
      <c r="E1" s="17" t="s">
        <v>318</v>
      </c>
      <c r="F1" s="17" t="s">
        <v>319</v>
      </c>
    </row>
    <row r="2" spans="1:6" x14ac:dyDescent="0.2">
      <c r="A2" s="17" t="s">
        <v>316</v>
      </c>
      <c r="B2" s="17" t="s">
        <v>353</v>
      </c>
      <c r="C2" s="91">
        <v>3772.41</v>
      </c>
      <c r="D2" s="3" t="s">
        <v>293</v>
      </c>
      <c r="E2" s="17" t="s">
        <v>322</v>
      </c>
      <c r="F2" s="17"/>
    </row>
    <row r="3" spans="1:6" x14ac:dyDescent="0.2">
      <c r="A3" s="17" t="s">
        <v>334</v>
      </c>
      <c r="B3" s="17" t="s">
        <v>363</v>
      </c>
      <c r="C3" s="91">
        <v>15296</v>
      </c>
      <c r="D3" s="3" t="s">
        <v>300</v>
      </c>
      <c r="E3" s="17" t="s">
        <v>322</v>
      </c>
      <c r="F3" s="17"/>
    </row>
    <row r="4" spans="1:6" x14ac:dyDescent="0.2">
      <c r="A4" s="17" t="s">
        <v>64</v>
      </c>
      <c r="B4" s="17"/>
      <c r="C4" s="91"/>
      <c r="D4" s="3"/>
      <c r="E4" s="72" t="s">
        <v>344</v>
      </c>
      <c r="F4" s="17"/>
    </row>
    <row r="5" spans="1:6" x14ac:dyDescent="0.2">
      <c r="A5" s="17" t="s">
        <v>349</v>
      </c>
      <c r="B5" s="17" t="s">
        <v>354</v>
      </c>
      <c r="C5" s="91"/>
      <c r="D5" s="3"/>
      <c r="E5" s="17" t="s">
        <v>322</v>
      </c>
      <c r="F5" s="17"/>
    </row>
    <row r="6" spans="1:6" x14ac:dyDescent="0.2">
      <c r="A6" s="17" t="s">
        <v>349</v>
      </c>
      <c r="B6" s="17" t="s">
        <v>354</v>
      </c>
      <c r="C6" s="91"/>
      <c r="D6" s="3"/>
      <c r="E6" s="17" t="s">
        <v>322</v>
      </c>
      <c r="F6" s="17"/>
    </row>
    <row r="7" spans="1:6" x14ac:dyDescent="0.2">
      <c r="A7" s="17" t="s">
        <v>18</v>
      </c>
      <c r="B7" s="3" t="s">
        <v>292</v>
      </c>
      <c r="C7" s="91">
        <v>15296</v>
      </c>
      <c r="D7" s="3" t="s">
        <v>356</v>
      </c>
      <c r="E7" s="17" t="s">
        <v>322</v>
      </c>
      <c r="F7" s="17"/>
    </row>
    <row r="8" spans="1:6" x14ac:dyDescent="0.2">
      <c r="A8" s="72" t="s">
        <v>321</v>
      </c>
      <c r="B8" s="11" t="s">
        <v>292</v>
      </c>
      <c r="C8" s="70"/>
      <c r="D8" s="11"/>
      <c r="E8" s="72" t="s">
        <v>344</v>
      </c>
      <c r="F8" s="17"/>
    </row>
    <row r="9" spans="1:6" x14ac:dyDescent="0.2">
      <c r="A9" s="72" t="s">
        <v>324</v>
      </c>
      <c r="B9" s="94">
        <v>20022418</v>
      </c>
      <c r="C9" s="70"/>
      <c r="D9" s="11" t="s">
        <v>292</v>
      </c>
      <c r="E9" s="72" t="s">
        <v>344</v>
      </c>
      <c r="F9" s="17"/>
    </row>
    <row r="10" spans="1:6" x14ac:dyDescent="0.2">
      <c r="A10" s="72" t="s">
        <v>323</v>
      </c>
      <c r="B10" s="94">
        <v>20022418</v>
      </c>
      <c r="C10" s="70"/>
      <c r="D10" s="11" t="s">
        <v>292</v>
      </c>
      <c r="E10" s="72" t="s">
        <v>344</v>
      </c>
      <c r="F10" s="17"/>
    </row>
    <row r="11" spans="1:6" x14ac:dyDescent="0.2">
      <c r="A11" s="72" t="s">
        <v>325</v>
      </c>
      <c r="B11" s="11" t="s">
        <v>292</v>
      </c>
      <c r="C11" s="70"/>
      <c r="D11" s="11" t="s">
        <v>351</v>
      </c>
      <c r="E11" s="72" t="s">
        <v>344</v>
      </c>
      <c r="F11" s="17"/>
    </row>
    <row r="12" spans="1:6" x14ac:dyDescent="0.2">
      <c r="A12" s="72" t="s">
        <v>327</v>
      </c>
      <c r="B12" s="72" t="s">
        <v>328</v>
      </c>
      <c r="C12" s="70"/>
      <c r="D12" s="11" t="s">
        <v>292</v>
      </c>
      <c r="E12" s="72" t="s">
        <v>344</v>
      </c>
      <c r="F12" s="17"/>
    </row>
    <row r="13" spans="1:6" x14ac:dyDescent="0.2">
      <c r="A13" s="17" t="s">
        <v>374</v>
      </c>
      <c r="B13" s="3"/>
      <c r="C13" s="91"/>
      <c r="D13" s="3"/>
      <c r="E13" s="17" t="s">
        <v>322</v>
      </c>
      <c r="F13" s="17"/>
    </row>
    <row r="14" spans="1:6" x14ac:dyDescent="0.2">
      <c r="A14" s="17" t="s">
        <v>329</v>
      </c>
      <c r="B14" s="3" t="s">
        <v>356</v>
      </c>
      <c r="C14" s="91">
        <v>57648.74</v>
      </c>
      <c r="D14" s="3" t="s">
        <v>335</v>
      </c>
      <c r="E14" s="17" t="s">
        <v>322</v>
      </c>
      <c r="F14" s="17"/>
    </row>
    <row r="15" spans="1:6" x14ac:dyDescent="0.2">
      <c r="A15" s="17" t="s">
        <v>330</v>
      </c>
      <c r="B15" s="3" t="s">
        <v>356</v>
      </c>
      <c r="C15" s="91">
        <v>81216</v>
      </c>
      <c r="D15" s="3" t="s">
        <v>335</v>
      </c>
      <c r="E15" s="17" t="s">
        <v>322</v>
      </c>
      <c r="F15" s="17"/>
    </row>
    <row r="16" spans="1:6" x14ac:dyDescent="0.2">
      <c r="A16" s="17" t="s">
        <v>395</v>
      </c>
      <c r="B16" s="3" t="s">
        <v>355</v>
      </c>
      <c r="C16" s="91">
        <v>81216</v>
      </c>
      <c r="D16" s="3" t="s">
        <v>335</v>
      </c>
      <c r="E16" s="17" t="s">
        <v>322</v>
      </c>
      <c r="F16" s="17"/>
    </row>
    <row r="17" spans="1:6" x14ac:dyDescent="0.2">
      <c r="B17" s="1"/>
      <c r="C17" s="97"/>
    </row>
    <row r="18" spans="1:6" x14ac:dyDescent="0.2">
      <c r="A18" t="s">
        <v>359</v>
      </c>
      <c r="B18" t="s">
        <v>238</v>
      </c>
    </row>
    <row r="19" spans="1:6" x14ac:dyDescent="0.2">
      <c r="A19" s="17" t="s">
        <v>316</v>
      </c>
      <c r="B19" s="17"/>
      <c r="C19" s="91"/>
      <c r="D19" s="3"/>
      <c r="E19" s="17"/>
      <c r="F19" s="17"/>
    </row>
    <row r="20" spans="1:6" x14ac:dyDescent="0.2">
      <c r="A20" s="17"/>
      <c r="B20" s="17"/>
      <c r="C20" s="91"/>
      <c r="D20" s="3"/>
      <c r="E20" s="17"/>
      <c r="F20" s="17"/>
    </row>
    <row r="21" spans="1:6" x14ac:dyDescent="0.2">
      <c r="A21" s="17" t="s">
        <v>334</v>
      </c>
      <c r="B21" s="17"/>
      <c r="C21" s="91"/>
      <c r="D21" s="3"/>
      <c r="E21" s="17"/>
      <c r="F21" s="17"/>
    </row>
    <row r="22" spans="1:6" x14ac:dyDescent="0.2">
      <c r="A22" s="17" t="s">
        <v>64</v>
      </c>
      <c r="B22" s="17"/>
      <c r="C22" s="91"/>
      <c r="D22" s="3"/>
      <c r="E22" s="72"/>
      <c r="F22" s="17"/>
    </row>
    <row r="23" spans="1:6" x14ac:dyDescent="0.2">
      <c r="A23" s="17" t="s">
        <v>349</v>
      </c>
      <c r="B23" s="17"/>
      <c r="C23" s="91"/>
      <c r="D23" s="3"/>
      <c r="E23" s="17"/>
      <c r="F23" s="17"/>
    </row>
    <row r="24" spans="1:6" x14ac:dyDescent="0.2">
      <c r="A24" s="17" t="s">
        <v>349</v>
      </c>
      <c r="B24" s="17"/>
      <c r="C24" s="91"/>
      <c r="D24" s="3"/>
      <c r="E24" s="17"/>
      <c r="F24" s="17"/>
    </row>
    <row r="25" spans="1:6" x14ac:dyDescent="0.2">
      <c r="A25" s="17" t="s">
        <v>18</v>
      </c>
      <c r="B25" s="3"/>
      <c r="C25" s="91"/>
      <c r="D25" s="3"/>
      <c r="E25" s="17"/>
      <c r="F25" s="17"/>
    </row>
    <row r="26" spans="1:6" x14ac:dyDescent="0.2">
      <c r="A26" s="72" t="s">
        <v>321</v>
      </c>
      <c r="B26" s="11"/>
      <c r="C26" s="70"/>
      <c r="D26" s="11"/>
      <c r="E26" s="72"/>
      <c r="F26" s="17"/>
    </row>
    <row r="27" spans="1:6" x14ac:dyDescent="0.2">
      <c r="A27" s="72" t="s">
        <v>324</v>
      </c>
      <c r="B27" s="94"/>
      <c r="C27" s="70"/>
      <c r="D27" s="11"/>
      <c r="E27" s="72"/>
      <c r="F27" s="17"/>
    </row>
    <row r="28" spans="1:6" x14ac:dyDescent="0.2">
      <c r="A28" s="72" t="s">
        <v>323</v>
      </c>
      <c r="B28" s="94"/>
      <c r="C28" s="70"/>
      <c r="D28" s="11"/>
      <c r="E28" s="72"/>
      <c r="F28" s="17"/>
    </row>
    <row r="29" spans="1:6" x14ac:dyDescent="0.2">
      <c r="A29" s="72" t="s">
        <v>325</v>
      </c>
      <c r="B29" s="11"/>
      <c r="C29" s="70"/>
      <c r="D29" s="11"/>
      <c r="E29" s="72"/>
      <c r="F29" s="17"/>
    </row>
    <row r="30" spans="1:6" x14ac:dyDescent="0.2">
      <c r="A30" s="72" t="s">
        <v>327</v>
      </c>
      <c r="B30" s="72"/>
      <c r="C30" s="70"/>
      <c r="D30" s="11"/>
      <c r="E30" s="72"/>
      <c r="F30" s="17"/>
    </row>
    <row r="31" spans="1:6" x14ac:dyDescent="0.2">
      <c r="A31" s="17" t="s">
        <v>329</v>
      </c>
      <c r="B31" s="3" t="s">
        <v>359</v>
      </c>
      <c r="C31" s="93">
        <v>13561.92</v>
      </c>
      <c r="D31" s="11"/>
      <c r="E31" s="72" t="s">
        <v>322</v>
      </c>
      <c r="F31" s="72"/>
    </row>
    <row r="32" spans="1:6" x14ac:dyDescent="0.2">
      <c r="A32" s="17" t="s">
        <v>330</v>
      </c>
      <c r="B32" s="3" t="s">
        <v>359</v>
      </c>
      <c r="C32" s="91" t="s">
        <v>360</v>
      </c>
      <c r="D32" s="3"/>
      <c r="E32" s="17" t="s">
        <v>322</v>
      </c>
      <c r="F32" s="17"/>
    </row>
  </sheetData>
  <phoneticPr fontId="4" type="noConversion"/>
  <conditionalFormatting sqref="E1:E1048576">
    <cfRule type="containsText" dxfId="0" priority="1" operator="containsText" text="NO">
      <formula>NOT(ISERROR(SEARCH("NO",E1)))</formula>
    </cfRule>
  </conditionalFormatting>
  <pageMargins left="0.70866141732283472" right="0.70866141732283472" top="0.74803149606299213" bottom="0.74803149606299213" header="0.31496062992125984" footer="0.31496062992125984"/>
  <pageSetup paperSize="9" scale="78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0610-41A7-4E5B-992D-6687175C7373}">
  <sheetPr>
    <pageSetUpPr fitToPage="1"/>
  </sheetPr>
  <dimension ref="A1:X30"/>
  <sheetViews>
    <sheetView workbookViewId="0">
      <selection activeCell="C7" sqref="C7:E8"/>
    </sheetView>
  </sheetViews>
  <sheetFormatPr defaultRowHeight="14.25" x14ac:dyDescent="0.2"/>
  <cols>
    <col min="1" max="1" width="21.375" customWidth="1"/>
    <col min="2" max="2" width="13.125" customWidth="1"/>
    <col min="3" max="3" width="23.5" customWidth="1"/>
    <col min="4" max="5" width="22.625" customWidth="1"/>
    <col min="6" max="6" width="11.625" customWidth="1"/>
    <col min="7" max="7" width="7.875" bestFit="1" customWidth="1"/>
    <col min="8" max="8" width="10.25" bestFit="1" customWidth="1"/>
    <col min="9" max="9" width="13.125" bestFit="1" customWidth="1"/>
    <col min="10" max="10" width="18.375" customWidth="1"/>
    <col min="11" max="11" width="10.375" bestFit="1" customWidth="1"/>
    <col min="12" max="13" width="11.375" bestFit="1" customWidth="1"/>
    <col min="14" max="16" width="11.375" customWidth="1"/>
    <col min="17" max="17" width="14.875" customWidth="1"/>
    <col min="18" max="18" width="16.75" bestFit="1" customWidth="1"/>
    <col min="19" max="19" width="9.25" bestFit="1" customWidth="1"/>
    <col min="20" max="20" width="10.375" bestFit="1" customWidth="1"/>
    <col min="21" max="21" width="9.75" bestFit="1" customWidth="1"/>
    <col min="22" max="22" width="10.375" style="32" bestFit="1" customWidth="1"/>
    <col min="23" max="23" width="20.5" bestFit="1" customWidth="1"/>
  </cols>
  <sheetData>
    <row r="1" spans="1:24" ht="28.5" x14ac:dyDescent="0.2">
      <c r="A1" s="1" t="s">
        <v>144</v>
      </c>
      <c r="B1" s="1"/>
      <c r="C1" s="31">
        <v>45044</v>
      </c>
      <c r="D1" s="1" t="s">
        <v>145</v>
      </c>
      <c r="E1" s="1"/>
    </row>
    <row r="2" spans="1:24" x14ac:dyDescent="0.2">
      <c r="A2" t="s">
        <v>246</v>
      </c>
      <c r="B2" s="3">
        <v>1.0932999999999999</v>
      </c>
    </row>
    <row r="3" spans="1:24" ht="28.5" x14ac:dyDescent="0.2">
      <c r="A3" s="1" t="s">
        <v>61</v>
      </c>
      <c r="B3" s="1"/>
      <c r="C3" s="1" t="s">
        <v>62</v>
      </c>
      <c r="D3" s="2" t="s">
        <v>35</v>
      </c>
      <c r="E3" s="2"/>
      <c r="F3" s="1" t="s">
        <v>36</v>
      </c>
      <c r="G3" s="1"/>
      <c r="H3" s="1" t="s">
        <v>35</v>
      </c>
      <c r="I3" s="1" t="s">
        <v>63</v>
      </c>
      <c r="J3" s="1" t="s">
        <v>146</v>
      </c>
      <c r="K3" s="12">
        <v>45044</v>
      </c>
      <c r="L3" s="1"/>
      <c r="M3" s="1"/>
      <c r="N3" s="1"/>
      <c r="O3" s="1"/>
      <c r="P3" s="1"/>
      <c r="Q3" s="1" t="s">
        <v>72</v>
      </c>
    </row>
    <row r="4" spans="1:24" ht="28.5" x14ac:dyDescent="0.2">
      <c r="A4" s="3" t="s">
        <v>0</v>
      </c>
      <c r="B4" s="58"/>
      <c r="C4" s="3" t="s">
        <v>6</v>
      </c>
      <c r="D4" s="4" t="s">
        <v>241</v>
      </c>
      <c r="E4" s="4" t="s">
        <v>242</v>
      </c>
      <c r="F4" s="3"/>
      <c r="G4" s="3"/>
      <c r="H4" s="3" t="s">
        <v>3</v>
      </c>
      <c r="I4" s="3" t="s">
        <v>21</v>
      </c>
      <c r="J4" s="3" t="s">
        <v>146</v>
      </c>
      <c r="K4" s="3" t="s">
        <v>65</v>
      </c>
      <c r="L4" s="3" t="s">
        <v>19</v>
      </c>
      <c r="M4" s="3" t="s">
        <v>35</v>
      </c>
      <c r="N4" s="1"/>
      <c r="O4" s="1"/>
      <c r="P4" s="1"/>
      <c r="Q4" s="1" t="s">
        <v>54</v>
      </c>
      <c r="R4" s="3" t="s">
        <v>167</v>
      </c>
      <c r="S4" s="3" t="s">
        <v>159</v>
      </c>
      <c r="T4" s="3" t="s">
        <v>158</v>
      </c>
      <c r="U4" s="3" t="s">
        <v>19</v>
      </c>
      <c r="V4" s="16" t="s">
        <v>160</v>
      </c>
      <c r="W4" s="3" t="s">
        <v>166</v>
      </c>
    </row>
    <row r="5" spans="1:24" ht="28.5" x14ac:dyDescent="0.2">
      <c r="A5" s="3" t="s">
        <v>1</v>
      </c>
      <c r="B5" s="58"/>
      <c r="C5" s="3" t="s">
        <v>291</v>
      </c>
      <c r="D5" s="4">
        <v>57648.74</v>
      </c>
      <c r="E5" s="4">
        <f>D5/B2</f>
        <v>52729.113692490624</v>
      </c>
      <c r="F5" s="3" t="s">
        <v>164</v>
      </c>
      <c r="G5" s="3"/>
      <c r="H5" s="23">
        <f>O29</f>
        <v>15295.996717092738</v>
      </c>
      <c r="I5" s="33" t="s">
        <v>22</v>
      </c>
      <c r="J5" s="3" t="s">
        <v>361</v>
      </c>
      <c r="K5" s="22">
        <v>1856.5</v>
      </c>
      <c r="L5" s="4"/>
      <c r="M5" s="4">
        <f>K5+L5</f>
        <v>1856.5</v>
      </c>
      <c r="N5" s="71"/>
      <c r="O5" s="71"/>
      <c r="P5" s="71"/>
      <c r="Q5" s="131" t="s">
        <v>147</v>
      </c>
      <c r="R5" s="17" t="s">
        <v>362</v>
      </c>
      <c r="S5" s="35">
        <v>44.12</v>
      </c>
      <c r="T5" s="35">
        <v>3061.56</v>
      </c>
      <c r="U5" s="35">
        <v>12190.32</v>
      </c>
      <c r="V5" s="35">
        <f>SUM(S5:U5)</f>
        <v>15296</v>
      </c>
      <c r="W5" s="17" t="s">
        <v>292</v>
      </c>
      <c r="X5" t="s">
        <v>240</v>
      </c>
    </row>
    <row r="6" spans="1:24" x14ac:dyDescent="0.2">
      <c r="A6" s="6"/>
      <c r="B6" s="65"/>
      <c r="C6" s="6"/>
      <c r="D6" s="66"/>
      <c r="E6" s="66"/>
      <c r="F6" s="6"/>
      <c r="G6" s="6"/>
      <c r="I6" s="34"/>
      <c r="J6" s="3" t="s">
        <v>149</v>
      </c>
      <c r="K6" s="22">
        <v>28.2</v>
      </c>
      <c r="L6" s="4"/>
      <c r="M6" s="4">
        <f t="shared" ref="M6:M16" si="0">K6+L6</f>
        <v>28.2</v>
      </c>
      <c r="N6" s="71"/>
      <c r="O6" s="71"/>
      <c r="P6" s="71"/>
      <c r="Q6" s="131"/>
      <c r="R6" s="17"/>
      <c r="S6" s="35"/>
      <c r="T6" s="35"/>
      <c r="U6" s="35"/>
      <c r="V6" s="70">
        <f>SUM(S6:U6)</f>
        <v>0</v>
      </c>
      <c r="W6" s="17"/>
    </row>
    <row r="7" spans="1:24" ht="28.5" x14ac:dyDescent="0.2">
      <c r="A7" s="1"/>
      <c r="B7" s="1"/>
      <c r="C7" s="56" t="s">
        <v>460</v>
      </c>
      <c r="D7" s="113" t="s">
        <v>461</v>
      </c>
      <c r="E7" s="113">
        <f>160*2</f>
        <v>320</v>
      </c>
      <c r="F7" s="1"/>
      <c r="G7" s="1"/>
      <c r="H7" s="1"/>
      <c r="I7" s="62"/>
      <c r="J7" s="3" t="s">
        <v>150</v>
      </c>
      <c r="K7" s="22">
        <v>18.57</v>
      </c>
      <c r="L7" s="4"/>
      <c r="M7" s="4">
        <f t="shared" si="0"/>
        <v>18.57</v>
      </c>
      <c r="N7" s="71"/>
      <c r="O7" s="71"/>
      <c r="P7" s="71"/>
      <c r="Q7" s="131"/>
      <c r="R7" s="17"/>
      <c r="S7" s="35"/>
      <c r="T7" s="35"/>
      <c r="U7" s="35"/>
      <c r="V7" s="70">
        <f>SUM(S7:U7)</f>
        <v>0</v>
      </c>
      <c r="W7" s="17"/>
    </row>
    <row r="8" spans="1:24" x14ac:dyDescent="0.2">
      <c r="A8" s="1"/>
      <c r="B8" s="67"/>
      <c r="C8" s="56" t="s">
        <v>462</v>
      </c>
      <c r="D8" s="114"/>
      <c r="E8" s="114"/>
      <c r="F8" s="67"/>
      <c r="G8" s="67"/>
      <c r="H8" s="1"/>
      <c r="I8" s="62"/>
      <c r="J8" s="3" t="s">
        <v>91</v>
      </c>
      <c r="K8" s="10"/>
      <c r="L8" s="4"/>
      <c r="M8" s="4">
        <f t="shared" si="0"/>
        <v>0</v>
      </c>
      <c r="N8" s="71"/>
      <c r="O8" s="71"/>
      <c r="P8" s="71"/>
      <c r="Q8" s="131"/>
      <c r="R8" s="17"/>
      <c r="S8" s="35">
        <f>SUM(S5:S7)</f>
        <v>44.12</v>
      </c>
      <c r="T8" s="35">
        <f t="shared" ref="T8:U8" si="1">SUM(T5:T7)</f>
        <v>3061.56</v>
      </c>
      <c r="U8" s="35">
        <f t="shared" si="1"/>
        <v>12190.32</v>
      </c>
      <c r="V8" s="35">
        <f>SUM(V5:V7)</f>
        <v>15296</v>
      </c>
      <c r="W8" s="17"/>
    </row>
    <row r="9" spans="1:24" x14ac:dyDescent="0.2">
      <c r="A9" s="1"/>
      <c r="B9" s="67"/>
      <c r="C9" s="67"/>
      <c r="D9" s="67"/>
      <c r="E9" s="67"/>
      <c r="F9" s="67"/>
      <c r="G9" s="67"/>
      <c r="H9" s="1"/>
      <c r="I9" s="62"/>
      <c r="J9" s="6" t="s">
        <v>151</v>
      </c>
      <c r="K9" s="25"/>
      <c r="L9" s="4"/>
      <c r="M9" s="4">
        <f t="shared" si="0"/>
        <v>0</v>
      </c>
      <c r="N9" s="4"/>
      <c r="O9" s="4"/>
      <c r="P9" s="4"/>
      <c r="Q9" s="132"/>
    </row>
    <row r="10" spans="1:24" x14ac:dyDescent="0.2">
      <c r="A10" s="1"/>
      <c r="B10" s="67"/>
      <c r="C10" s="67"/>
      <c r="D10" s="67"/>
      <c r="E10" s="67"/>
      <c r="F10" s="67"/>
      <c r="G10" s="67"/>
      <c r="H10" s="68"/>
      <c r="I10" s="62"/>
      <c r="J10" s="6"/>
      <c r="K10" s="25"/>
      <c r="L10" s="4"/>
      <c r="M10" s="4"/>
      <c r="N10" s="4"/>
      <c r="O10" s="4"/>
      <c r="P10" s="4"/>
      <c r="Q10" s="132"/>
    </row>
    <row r="11" spans="1:24" ht="42.75" x14ac:dyDescent="0.2">
      <c r="A11" s="1"/>
      <c r="B11" s="67"/>
      <c r="C11" s="67"/>
      <c r="D11" s="67"/>
      <c r="E11" s="67"/>
      <c r="F11" s="67"/>
      <c r="G11" s="67"/>
      <c r="H11" s="68"/>
      <c r="I11" s="62"/>
      <c r="J11" s="3" t="s">
        <v>152</v>
      </c>
      <c r="K11" s="22">
        <v>1249.74</v>
      </c>
      <c r="L11" s="4">
        <f t="shared" ref="L11:L16" si="2">K11*0.21</f>
        <v>262.44540000000001</v>
      </c>
      <c r="M11" s="4">
        <f t="shared" si="0"/>
        <v>1512.1854000000001</v>
      </c>
      <c r="N11" s="4"/>
      <c r="O11" s="4"/>
      <c r="P11" s="4"/>
      <c r="Q11" s="132"/>
    </row>
    <row r="12" spans="1:24" ht="28.5" customHeight="1" x14ac:dyDescent="0.2">
      <c r="A12" s="1"/>
      <c r="B12" s="67"/>
      <c r="C12" s="67"/>
      <c r="D12" s="67"/>
      <c r="E12" s="67"/>
      <c r="F12" s="67"/>
      <c r="G12" s="67"/>
      <c r="H12" s="68"/>
      <c r="I12" s="62">
        <v>45</v>
      </c>
      <c r="J12" s="3" t="s">
        <v>153</v>
      </c>
      <c r="K12" s="22">
        <v>45</v>
      </c>
      <c r="L12" s="4">
        <f t="shared" si="2"/>
        <v>9.4499999999999993</v>
      </c>
      <c r="M12" s="4">
        <f t="shared" si="0"/>
        <v>54.45</v>
      </c>
      <c r="N12" s="4"/>
      <c r="O12" s="4"/>
      <c r="P12" s="4"/>
      <c r="Q12" s="132"/>
    </row>
    <row r="13" spans="1:24" ht="28.5" x14ac:dyDescent="0.2">
      <c r="A13" s="1"/>
      <c r="B13" s="67"/>
      <c r="C13" s="67"/>
      <c r="D13" s="67"/>
      <c r="E13" s="67"/>
      <c r="F13" s="67"/>
      <c r="G13" s="67"/>
      <c r="H13" s="68"/>
      <c r="I13" s="62">
        <v>25</v>
      </c>
      <c r="J13" s="3" t="s">
        <v>154</v>
      </c>
      <c r="K13" s="22"/>
      <c r="L13" s="4">
        <f t="shared" si="2"/>
        <v>0</v>
      </c>
      <c r="M13" s="4">
        <f t="shared" si="0"/>
        <v>0</v>
      </c>
      <c r="N13" s="4">
        <v>-25</v>
      </c>
      <c r="O13" s="4">
        <f>N13*0.21</f>
        <v>-5.25</v>
      </c>
      <c r="P13" s="4">
        <f>SUM(N13:O13)</f>
        <v>-30.25</v>
      </c>
      <c r="Q13" s="132"/>
    </row>
    <row r="14" spans="1:24" ht="28.5" customHeight="1" x14ac:dyDescent="0.2">
      <c r="A14" s="1"/>
      <c r="B14" s="67"/>
      <c r="C14" s="67"/>
      <c r="D14" s="67"/>
      <c r="E14" s="67"/>
      <c r="F14" s="67"/>
      <c r="G14" s="67"/>
      <c r="H14" s="68"/>
      <c r="I14" s="62"/>
      <c r="J14" s="3" t="s">
        <v>155</v>
      </c>
      <c r="K14" s="10">
        <v>100</v>
      </c>
      <c r="L14" s="4">
        <f t="shared" si="2"/>
        <v>21</v>
      </c>
      <c r="M14" s="4">
        <f t="shared" si="0"/>
        <v>121</v>
      </c>
      <c r="N14" s="4"/>
      <c r="O14" s="4"/>
      <c r="P14" s="4"/>
      <c r="Q14" s="132"/>
    </row>
    <row r="15" spans="1:24" x14ac:dyDescent="0.2">
      <c r="A15" s="1"/>
      <c r="B15" s="67"/>
      <c r="C15" s="67"/>
      <c r="D15" s="67"/>
      <c r="E15" s="67"/>
      <c r="F15" s="67"/>
      <c r="G15" s="67"/>
      <c r="H15" s="68"/>
      <c r="I15" s="62"/>
      <c r="J15" s="3" t="s">
        <v>156</v>
      </c>
      <c r="K15" s="22">
        <v>150</v>
      </c>
      <c r="L15" s="4">
        <f t="shared" si="2"/>
        <v>31.5</v>
      </c>
      <c r="M15" s="4">
        <f t="shared" si="0"/>
        <v>181.5</v>
      </c>
      <c r="N15" s="4"/>
      <c r="O15" s="4"/>
      <c r="P15" s="4"/>
      <c r="Q15" s="132"/>
    </row>
    <row r="16" spans="1:24" ht="28.5" x14ac:dyDescent="0.2">
      <c r="A16" s="1"/>
      <c r="B16" s="67"/>
      <c r="C16" s="67"/>
      <c r="D16" s="67"/>
      <c r="E16" s="67"/>
      <c r="F16" s="67"/>
      <c r="G16" s="67"/>
      <c r="H16" s="68"/>
      <c r="I16" s="62">
        <v>80</v>
      </c>
      <c r="J16" s="3" t="s">
        <v>157</v>
      </c>
      <c r="K16" s="22"/>
      <c r="L16" s="4">
        <f t="shared" si="2"/>
        <v>0</v>
      </c>
      <c r="M16" s="4">
        <f t="shared" si="0"/>
        <v>0</v>
      </c>
      <c r="N16" s="4"/>
      <c r="O16" s="4"/>
      <c r="P16" s="4"/>
      <c r="Q16" s="132"/>
    </row>
    <row r="17" spans="1:22" x14ac:dyDescent="0.2">
      <c r="A17" s="1"/>
      <c r="B17" s="67"/>
      <c r="C17" s="67"/>
      <c r="D17" s="67"/>
      <c r="E17" s="67"/>
      <c r="F17" s="67"/>
      <c r="G17" s="67"/>
      <c r="H17" s="68"/>
      <c r="I17" s="62"/>
      <c r="J17" s="3" t="s">
        <v>77</v>
      </c>
      <c r="K17" s="4">
        <f>SUM(K5:K16)</f>
        <v>3448.01</v>
      </c>
      <c r="L17" s="4">
        <f t="shared" ref="L17:M17" si="3">SUM(L5:L16)</f>
        <v>324.3954</v>
      </c>
      <c r="M17" s="4">
        <f t="shared" si="3"/>
        <v>3772.4053999999996</v>
      </c>
      <c r="N17" s="24"/>
      <c r="O17" s="24"/>
      <c r="P17" s="24"/>
      <c r="Q17" s="132"/>
    </row>
    <row r="18" spans="1:22" x14ac:dyDescent="0.2">
      <c r="A18" s="1"/>
      <c r="B18" s="67"/>
      <c r="C18" s="67"/>
      <c r="D18" s="67"/>
      <c r="E18" s="67"/>
      <c r="F18" s="67"/>
      <c r="G18" s="67"/>
      <c r="H18" s="68"/>
      <c r="I18" s="62"/>
      <c r="J18" s="3"/>
      <c r="K18" s="4">
        <f>H29+I29</f>
        <v>3105.6702098865826</v>
      </c>
      <c r="L18" s="23">
        <f>N29</f>
        <v>12190.326507206157</v>
      </c>
      <c r="M18" s="10">
        <f>SUM(K18:L18)</f>
        <v>15295.996717092739</v>
      </c>
      <c r="N18" s="10"/>
      <c r="O18" s="10"/>
      <c r="P18" s="10"/>
      <c r="Q18" s="132"/>
    </row>
    <row r="19" spans="1:22" x14ac:dyDescent="0.2">
      <c r="A19" s="1"/>
      <c r="B19" s="67"/>
      <c r="C19" s="67"/>
      <c r="D19" s="67"/>
      <c r="E19" s="67"/>
      <c r="F19" s="67"/>
      <c r="G19" s="67"/>
      <c r="H19" s="68"/>
      <c r="I19" s="63"/>
      <c r="Q19" s="132"/>
    </row>
    <row r="20" spans="1:22" x14ac:dyDescent="0.2">
      <c r="A20" s="1"/>
      <c r="B20" s="67"/>
      <c r="C20" s="67"/>
      <c r="D20" s="67"/>
      <c r="E20" s="67"/>
      <c r="F20" s="67"/>
      <c r="G20" s="67"/>
      <c r="H20" s="68"/>
      <c r="I20" s="64"/>
      <c r="J20" s="3"/>
      <c r="K20" s="4">
        <f t="shared" ref="K20:L20" si="4">K18+K17</f>
        <v>6553.6802098865828</v>
      </c>
      <c r="L20" s="4">
        <f t="shared" si="4"/>
        <v>12514.721907206156</v>
      </c>
      <c r="M20" s="4">
        <f>M18+M17</f>
        <v>19068.402117092737</v>
      </c>
      <c r="N20" s="4"/>
      <c r="O20" s="4"/>
      <c r="P20" s="4"/>
      <c r="Q20" s="3"/>
    </row>
    <row r="21" spans="1:22" x14ac:dyDescent="0.2">
      <c r="A21" s="1"/>
      <c r="B21" s="67"/>
      <c r="C21" s="67"/>
      <c r="D21" s="67"/>
      <c r="E21" s="67"/>
      <c r="F21" s="67"/>
      <c r="G21" s="67"/>
      <c r="H21" s="68"/>
      <c r="J21" s="1"/>
      <c r="K21" s="1"/>
      <c r="L21" s="1"/>
      <c r="M21" s="1"/>
      <c r="N21" s="1"/>
      <c r="O21" s="1"/>
      <c r="P21" s="1"/>
      <c r="Q21" s="1"/>
    </row>
    <row r="22" spans="1:22" x14ac:dyDescent="0.2">
      <c r="J22" s="1"/>
      <c r="K22" s="1"/>
      <c r="L22" s="1"/>
      <c r="M22" s="1"/>
      <c r="N22" s="1"/>
      <c r="O22" s="1"/>
      <c r="P22" s="1"/>
      <c r="Q22" s="1"/>
    </row>
    <row r="23" spans="1:22" x14ac:dyDescent="0.2">
      <c r="A23" t="s">
        <v>244</v>
      </c>
      <c r="B23" t="s">
        <v>243</v>
      </c>
      <c r="C23" t="s">
        <v>250</v>
      </c>
      <c r="D23" t="s">
        <v>256</v>
      </c>
      <c r="E23" t="s">
        <v>173</v>
      </c>
      <c r="F23" t="s">
        <v>257</v>
      </c>
      <c r="G23" t="s">
        <v>247</v>
      </c>
      <c r="H23" t="s">
        <v>248</v>
      </c>
      <c r="I23" t="s">
        <v>258</v>
      </c>
      <c r="J23" t="s">
        <v>259</v>
      </c>
      <c r="K23" t="s">
        <v>260</v>
      </c>
      <c r="L23" t="s">
        <v>160</v>
      </c>
      <c r="M23" t="s">
        <v>261</v>
      </c>
      <c r="N23" t="s">
        <v>190</v>
      </c>
      <c r="O23" t="s">
        <v>225</v>
      </c>
      <c r="S23" s="32"/>
      <c r="V23"/>
    </row>
    <row r="24" spans="1:22" x14ac:dyDescent="0.2">
      <c r="A24" t="s">
        <v>365</v>
      </c>
      <c r="B24" t="s">
        <v>364</v>
      </c>
      <c r="C24" s="32">
        <v>17250</v>
      </c>
      <c r="D24" s="32">
        <f>16303.79-E24</f>
        <v>15777.92</v>
      </c>
      <c r="E24" s="32">
        <v>525.87</v>
      </c>
      <c r="F24" s="32">
        <f>D24+E24</f>
        <v>16303.79</v>
      </c>
      <c r="G24" s="32">
        <v>24.5</v>
      </c>
      <c r="H24" s="32">
        <f>G24*0.45+0.01</f>
        <v>11.035</v>
      </c>
      <c r="I24" s="32">
        <f>F24*0.097+0.01</f>
        <v>1581.4776300000001</v>
      </c>
      <c r="J24" s="32"/>
      <c r="K24" s="32">
        <v>74.73</v>
      </c>
      <c r="L24" s="32">
        <f>F24+H24+I24+K24</f>
        <v>17971.032630000002</v>
      </c>
      <c r="M24" s="32">
        <f>L24</f>
        <v>17971.032630000002</v>
      </c>
      <c r="N24" s="32">
        <f>M24*0.21</f>
        <v>3773.9168523000003</v>
      </c>
      <c r="O24" s="32">
        <f>N24+H24+I24</f>
        <v>5366.4294823</v>
      </c>
      <c r="S24" s="32"/>
      <c r="V24"/>
    </row>
    <row r="25" spans="1:22" x14ac:dyDescent="0.2">
      <c r="A25" t="s">
        <v>367</v>
      </c>
      <c r="B25" t="s">
        <v>366</v>
      </c>
      <c r="C25" s="32">
        <v>30306.240000000002</v>
      </c>
      <c r="D25" s="32">
        <f>C25/$B$2</f>
        <v>27719.967072166837</v>
      </c>
      <c r="E25" s="32">
        <v>669.36</v>
      </c>
      <c r="F25" s="32">
        <f t="shared" ref="F25" si="5">D25+E25</f>
        <v>28389.327072166838</v>
      </c>
      <c r="G25" s="32">
        <v>24.5</v>
      </c>
      <c r="H25" s="32">
        <f>G25*0.45</f>
        <v>11.025</v>
      </c>
      <c r="I25" s="32">
        <f>F25*0.033</f>
        <v>936.84779338150565</v>
      </c>
      <c r="J25" s="32"/>
      <c r="K25" s="32">
        <v>131.29</v>
      </c>
      <c r="L25" s="32">
        <f t="shared" ref="L25" si="6">F25+H25+I25+K25</f>
        <v>29468.489865548345</v>
      </c>
      <c r="M25" s="32">
        <f t="shared" ref="M25:M27" si="7">L25</f>
        <v>29468.489865548345</v>
      </c>
      <c r="N25" s="32">
        <f t="shared" ref="N25:N27" si="8">M25*0.21</f>
        <v>6188.3828717651522</v>
      </c>
      <c r="O25" s="32">
        <f t="shared" ref="O25" si="9">N25+H25+I25</f>
        <v>7136.2556651466575</v>
      </c>
      <c r="S25" s="32"/>
      <c r="V25"/>
    </row>
    <row r="26" spans="1:22" x14ac:dyDescent="0.2">
      <c r="A26" t="s">
        <v>370</v>
      </c>
      <c r="B26" t="s">
        <v>368</v>
      </c>
      <c r="C26" s="32">
        <v>3897.16</v>
      </c>
      <c r="D26" s="32">
        <f t="shared" ref="D26:D27" si="10">C26/$B$2</f>
        <v>3564.5842861062838</v>
      </c>
      <c r="E26" s="32">
        <v>249.96</v>
      </c>
      <c r="F26" s="32">
        <f t="shared" ref="F26:F27" si="11">D26+E26</f>
        <v>3814.5442861062838</v>
      </c>
      <c r="G26" s="32">
        <v>24.5</v>
      </c>
      <c r="H26" s="32">
        <f t="shared" ref="H26:H27" si="12">G26*0.45</f>
        <v>11.025</v>
      </c>
      <c r="I26" s="32">
        <f>F26*0.037</f>
        <v>141.1381385859325</v>
      </c>
      <c r="J26" s="32"/>
      <c r="K26" s="32">
        <v>16.88</v>
      </c>
      <c r="L26" s="32">
        <f t="shared" ref="L26:L27" si="13">F26+H26+I26+K26</f>
        <v>3983.5874246922167</v>
      </c>
      <c r="M26" s="32">
        <f t="shared" si="7"/>
        <v>3983.5874246922167</v>
      </c>
      <c r="N26" s="32">
        <f t="shared" si="8"/>
        <v>836.55335918536548</v>
      </c>
      <c r="O26" s="32">
        <f t="shared" ref="O26:O27" si="14">N26+H26+I26</f>
        <v>988.71649777129801</v>
      </c>
      <c r="S26" s="32"/>
      <c r="V26"/>
    </row>
    <row r="27" spans="1:22" x14ac:dyDescent="0.2">
      <c r="A27" t="s">
        <v>371</v>
      </c>
      <c r="B27" t="s">
        <v>369</v>
      </c>
      <c r="C27" s="32">
        <v>6195.34</v>
      </c>
      <c r="D27" s="32">
        <f t="shared" si="10"/>
        <v>5666.6422756791371</v>
      </c>
      <c r="E27" s="32">
        <v>519.46</v>
      </c>
      <c r="F27" s="32">
        <f t="shared" si="11"/>
        <v>6186.1022756791372</v>
      </c>
      <c r="G27" s="32">
        <v>24.5</v>
      </c>
      <c r="H27" s="32">
        <f t="shared" si="12"/>
        <v>11.025</v>
      </c>
      <c r="I27" s="32">
        <f>F27*0.065</f>
        <v>402.09664791914395</v>
      </c>
      <c r="J27" s="32"/>
      <c r="K27" s="32">
        <v>26.84</v>
      </c>
      <c r="L27" s="32">
        <f t="shared" si="13"/>
        <v>6626.0639235982808</v>
      </c>
      <c r="M27" s="32">
        <f t="shared" si="7"/>
        <v>6626.0639235982808</v>
      </c>
      <c r="N27" s="32">
        <f t="shared" si="8"/>
        <v>1391.473423955639</v>
      </c>
      <c r="O27" s="32">
        <f t="shared" si="14"/>
        <v>1804.5950718747831</v>
      </c>
      <c r="S27" s="32"/>
      <c r="V27"/>
    </row>
    <row r="28" spans="1:22" x14ac:dyDescent="0.2"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S28" s="32"/>
      <c r="V28"/>
    </row>
    <row r="29" spans="1:22" x14ac:dyDescent="0.2">
      <c r="B29" s="56" t="s">
        <v>252</v>
      </c>
      <c r="C29" s="60">
        <f>SUM(C24:C28)</f>
        <v>57648.740000000005</v>
      </c>
      <c r="D29" s="60">
        <f t="shared" ref="D29:O29" si="15">SUM(D24:D28)</f>
        <v>52729.113633952256</v>
      </c>
      <c r="E29" s="60">
        <f t="shared" si="15"/>
        <v>1964.65</v>
      </c>
      <c r="F29" s="60">
        <f t="shared" si="15"/>
        <v>54693.763633952258</v>
      </c>
      <c r="G29" s="60">
        <f t="shared" si="15"/>
        <v>98</v>
      </c>
      <c r="H29" s="60">
        <f t="shared" si="15"/>
        <v>44.11</v>
      </c>
      <c r="I29" s="60">
        <f t="shared" si="15"/>
        <v>3061.5602098865825</v>
      </c>
      <c r="J29" s="60">
        <f t="shared" si="15"/>
        <v>0</v>
      </c>
      <c r="K29" s="60">
        <f t="shared" si="15"/>
        <v>249.73999999999998</v>
      </c>
      <c r="L29" s="60">
        <f t="shared" si="15"/>
        <v>58049.173843838842</v>
      </c>
      <c r="M29" s="60">
        <f t="shared" si="15"/>
        <v>58049.173843838842</v>
      </c>
      <c r="N29" s="60">
        <f t="shared" si="15"/>
        <v>12190.326507206157</v>
      </c>
      <c r="O29" s="60">
        <f t="shared" si="15"/>
        <v>15295.996717092738</v>
      </c>
      <c r="S29" s="32"/>
      <c r="V29"/>
    </row>
    <row r="30" spans="1:22" x14ac:dyDescent="0.2">
      <c r="D30" s="32">
        <f t="shared" ref="D30" si="16">C30/$B$2</f>
        <v>0</v>
      </c>
    </row>
  </sheetData>
  <mergeCells count="1">
    <mergeCell ref="Q5:Q19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42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E477D-FB0C-4529-8CA4-F001F2EB1FF7}">
  <sheetPr>
    <pageSetUpPr fitToPage="1"/>
  </sheetPr>
  <dimension ref="A1:F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7" sqref="C17"/>
    </sheetView>
  </sheetViews>
  <sheetFormatPr defaultRowHeight="14.25" x14ac:dyDescent="0.2"/>
  <cols>
    <col min="1" max="1" width="31.25" bestFit="1" customWidth="1"/>
    <col min="2" max="2" width="20.5" bestFit="1" customWidth="1"/>
    <col min="3" max="3" width="11.875" style="32" bestFit="1" customWidth="1"/>
    <col min="4" max="4" width="19.75" style="1" customWidth="1"/>
    <col min="6" max="6" width="16" bestFit="1" customWidth="1"/>
  </cols>
  <sheetData>
    <row r="1" spans="1:6" x14ac:dyDescent="0.2">
      <c r="A1" s="17" t="s">
        <v>279</v>
      </c>
      <c r="B1" s="17" t="s">
        <v>317</v>
      </c>
      <c r="C1" s="35" t="s">
        <v>3</v>
      </c>
      <c r="D1" s="3" t="s">
        <v>320</v>
      </c>
      <c r="E1" s="17" t="s">
        <v>318</v>
      </c>
      <c r="F1" s="17" t="s">
        <v>319</v>
      </c>
    </row>
    <row r="2" spans="1:6" x14ac:dyDescent="0.2">
      <c r="A2" s="17" t="s">
        <v>316</v>
      </c>
      <c r="B2" s="17" t="s">
        <v>295</v>
      </c>
      <c r="C2" s="91">
        <v>4786.5</v>
      </c>
      <c r="D2" s="3" t="s">
        <v>282</v>
      </c>
      <c r="E2" s="17" t="s">
        <v>322</v>
      </c>
      <c r="F2" s="17"/>
    </row>
    <row r="3" spans="1:6" x14ac:dyDescent="0.2">
      <c r="A3" s="17" t="s">
        <v>334</v>
      </c>
      <c r="B3" s="17" t="s">
        <v>299</v>
      </c>
      <c r="C3" s="91">
        <v>10701.18</v>
      </c>
      <c r="D3" s="3" t="s">
        <v>277</v>
      </c>
      <c r="E3" s="17" t="s">
        <v>322</v>
      </c>
      <c r="F3" s="17"/>
    </row>
    <row r="4" spans="1:6" x14ac:dyDescent="0.2">
      <c r="A4" s="17" t="s">
        <v>64</v>
      </c>
      <c r="B4" s="17"/>
      <c r="C4" s="91"/>
      <c r="D4" s="3"/>
      <c r="E4" s="72" t="s">
        <v>344</v>
      </c>
      <c r="F4" s="17"/>
    </row>
    <row r="5" spans="1:6" x14ac:dyDescent="0.2">
      <c r="A5" s="17" t="s">
        <v>348</v>
      </c>
      <c r="B5" s="17" t="s">
        <v>350</v>
      </c>
      <c r="C5" s="91"/>
      <c r="D5" s="3"/>
      <c r="E5" s="17" t="s">
        <v>322</v>
      </c>
      <c r="F5" s="17"/>
    </row>
    <row r="6" spans="1:6" x14ac:dyDescent="0.2">
      <c r="A6" s="17" t="s">
        <v>349</v>
      </c>
      <c r="B6" s="17" t="s">
        <v>350</v>
      </c>
      <c r="C6" s="91"/>
      <c r="D6" s="3"/>
      <c r="E6" s="17" t="s">
        <v>322</v>
      </c>
      <c r="F6" s="17"/>
    </row>
    <row r="7" spans="1:6" x14ac:dyDescent="0.2">
      <c r="A7" s="17" t="s">
        <v>18</v>
      </c>
      <c r="B7" s="3" t="s">
        <v>276</v>
      </c>
      <c r="C7" s="91">
        <v>10701.18</v>
      </c>
      <c r="D7" s="3" t="s">
        <v>275</v>
      </c>
      <c r="E7" s="17" t="s">
        <v>322</v>
      </c>
      <c r="F7" s="17"/>
    </row>
    <row r="8" spans="1:6" x14ac:dyDescent="0.2">
      <c r="A8" s="17" t="s">
        <v>321</v>
      </c>
      <c r="B8" s="3" t="s">
        <v>276</v>
      </c>
      <c r="C8" s="91"/>
      <c r="D8" s="3"/>
      <c r="E8" s="17" t="s">
        <v>322</v>
      </c>
      <c r="F8" s="17"/>
    </row>
    <row r="9" spans="1:6" x14ac:dyDescent="0.2">
      <c r="A9" s="17" t="s">
        <v>324</v>
      </c>
      <c r="B9" s="84">
        <v>20022418</v>
      </c>
      <c r="C9" s="91"/>
      <c r="D9" s="3" t="s">
        <v>276</v>
      </c>
      <c r="E9" s="17" t="s">
        <v>322</v>
      </c>
      <c r="F9" s="17"/>
    </row>
    <row r="10" spans="1:6" x14ac:dyDescent="0.2">
      <c r="A10" s="17" t="s">
        <v>323</v>
      </c>
      <c r="B10" s="84">
        <v>20022418</v>
      </c>
      <c r="C10" s="91">
        <v>44134.04</v>
      </c>
      <c r="D10" s="3" t="s">
        <v>276</v>
      </c>
      <c r="E10" s="17" t="s">
        <v>322</v>
      </c>
      <c r="F10" s="17"/>
    </row>
    <row r="11" spans="1:6" x14ac:dyDescent="0.2">
      <c r="A11" s="17" t="s">
        <v>325</v>
      </c>
      <c r="B11" s="3" t="s">
        <v>276</v>
      </c>
      <c r="C11" s="91"/>
      <c r="D11" s="3" t="s">
        <v>351</v>
      </c>
      <c r="E11" s="17" t="s">
        <v>322</v>
      </c>
      <c r="F11" s="17"/>
    </row>
    <row r="12" spans="1:6" x14ac:dyDescent="0.2">
      <c r="A12" s="17" t="s">
        <v>327</v>
      </c>
      <c r="B12" s="17" t="s">
        <v>328</v>
      </c>
      <c r="C12" s="91"/>
      <c r="D12" s="3" t="s">
        <v>276</v>
      </c>
      <c r="E12" s="17" t="s">
        <v>322</v>
      </c>
      <c r="F12" s="17"/>
    </row>
    <row r="13" spans="1:6" x14ac:dyDescent="0.2">
      <c r="A13" s="17" t="s">
        <v>374</v>
      </c>
      <c r="B13" s="17"/>
      <c r="C13" s="91"/>
      <c r="D13" s="3"/>
      <c r="E13" s="17" t="s">
        <v>344</v>
      </c>
      <c r="F13" s="17"/>
    </row>
    <row r="14" spans="1:6" x14ac:dyDescent="0.2">
      <c r="A14" s="17" t="s">
        <v>329</v>
      </c>
      <c r="B14" s="3" t="s">
        <v>347</v>
      </c>
      <c r="C14" s="93">
        <v>42295.08</v>
      </c>
      <c r="D14" s="11" t="s">
        <v>335</v>
      </c>
      <c r="E14" s="72" t="s">
        <v>322</v>
      </c>
      <c r="F14" s="72" t="s">
        <v>352</v>
      </c>
    </row>
    <row r="15" spans="1:6" x14ac:dyDescent="0.2">
      <c r="A15" s="17" t="s">
        <v>330</v>
      </c>
      <c r="B15" s="3" t="s">
        <v>347</v>
      </c>
      <c r="C15" s="91" t="s">
        <v>358</v>
      </c>
      <c r="D15" s="3" t="s">
        <v>335</v>
      </c>
      <c r="E15" s="17" t="s">
        <v>322</v>
      </c>
      <c r="F15" s="17"/>
    </row>
  </sheetData>
  <phoneticPr fontId="4" type="noConversion"/>
  <pageMargins left="0.70866141732283472" right="0.70866141732283472" top="0.74803149606299213" bottom="0.74803149606299213" header="0.31496062992125984" footer="0.31496062992125984"/>
  <pageSetup paperSize="9" scale="78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BAB0D-CD1C-4C62-A9BC-3474EEF27245}">
  <sheetPr>
    <pageSetUpPr fitToPage="1"/>
  </sheetPr>
  <dimension ref="A1:V20"/>
  <sheetViews>
    <sheetView workbookViewId="0">
      <selection activeCell="B8" sqref="B8"/>
    </sheetView>
  </sheetViews>
  <sheetFormatPr defaultRowHeight="14.25" x14ac:dyDescent="0.2"/>
  <cols>
    <col min="1" max="1" width="21.375" customWidth="1"/>
    <col min="2" max="2" width="11.25" bestFit="1" customWidth="1"/>
    <col min="3" max="3" width="16" bestFit="1" customWidth="1"/>
    <col min="4" max="4" width="20" bestFit="1" customWidth="1"/>
    <col min="5" max="5" width="10" bestFit="1" customWidth="1"/>
    <col min="6" max="6" width="11.125" bestFit="1" customWidth="1"/>
    <col min="7" max="7" width="7.875" bestFit="1" customWidth="1"/>
    <col min="8" max="8" width="9.375" bestFit="1" customWidth="1"/>
    <col min="9" max="9" width="13.125" bestFit="1" customWidth="1"/>
    <col min="10" max="10" width="18.375" customWidth="1"/>
    <col min="11" max="11" width="10.375" bestFit="1" customWidth="1"/>
    <col min="12" max="13" width="11.375" bestFit="1" customWidth="1"/>
    <col min="14" max="14" width="14.875" customWidth="1"/>
    <col min="15" max="15" width="16.75" bestFit="1" customWidth="1"/>
    <col min="16" max="16" width="9.25" bestFit="1" customWidth="1"/>
    <col min="17" max="17" width="10.375" bestFit="1" customWidth="1"/>
    <col min="18" max="18" width="9.75" bestFit="1" customWidth="1"/>
    <col min="19" max="19" width="10.375" style="32" bestFit="1" customWidth="1"/>
    <col min="20" max="20" width="20.5" bestFit="1" customWidth="1"/>
  </cols>
  <sheetData>
    <row r="1" spans="1:22" ht="28.5" x14ac:dyDescent="0.2">
      <c r="A1" s="1" t="s">
        <v>271</v>
      </c>
      <c r="B1" s="1"/>
      <c r="C1" s="31">
        <v>45058</v>
      </c>
      <c r="D1" s="1" t="s">
        <v>272</v>
      </c>
      <c r="E1" s="1"/>
    </row>
    <row r="2" spans="1:22" x14ac:dyDescent="0.2">
      <c r="A2" t="s">
        <v>246</v>
      </c>
      <c r="B2" s="3">
        <v>1.0932999999999999</v>
      </c>
    </row>
    <row r="3" spans="1:22" ht="28.5" x14ac:dyDescent="0.2">
      <c r="A3" s="1" t="s">
        <v>61</v>
      </c>
      <c r="B3" s="1"/>
      <c r="C3" s="1" t="s">
        <v>62</v>
      </c>
      <c r="D3" s="2" t="s">
        <v>35</v>
      </c>
      <c r="E3" s="2"/>
      <c r="F3" s="1" t="s">
        <v>36</v>
      </c>
      <c r="G3" s="1"/>
      <c r="H3" s="1" t="s">
        <v>35</v>
      </c>
      <c r="Q3" s="1" t="s">
        <v>63</v>
      </c>
      <c r="R3" s="1" t="s">
        <v>270</v>
      </c>
      <c r="S3" s="12">
        <v>45058</v>
      </c>
      <c r="T3" s="1"/>
      <c r="U3" s="1"/>
      <c r="V3" s="1" t="s">
        <v>72</v>
      </c>
    </row>
    <row r="4" spans="1:22" ht="28.5" x14ac:dyDescent="0.2">
      <c r="A4" s="3" t="s">
        <v>0</v>
      </c>
      <c r="B4" s="58"/>
      <c r="C4" s="3" t="s">
        <v>6</v>
      </c>
      <c r="D4" s="4" t="s">
        <v>241</v>
      </c>
      <c r="E4" s="4" t="s">
        <v>242</v>
      </c>
      <c r="F4" s="3"/>
      <c r="G4" s="3"/>
      <c r="H4" s="3" t="s">
        <v>3</v>
      </c>
      <c r="Q4" s="3" t="s">
        <v>21</v>
      </c>
      <c r="R4" s="3"/>
      <c r="S4" s="3" t="s">
        <v>65</v>
      </c>
      <c r="T4" s="3" t="s">
        <v>19</v>
      </c>
      <c r="U4" s="3" t="s">
        <v>35</v>
      </c>
      <c r="V4" s="1" t="s">
        <v>54</v>
      </c>
    </row>
    <row r="5" spans="1:22" ht="42.75" x14ac:dyDescent="0.2">
      <c r="A5" s="3" t="s">
        <v>1</v>
      </c>
      <c r="B5" s="58">
        <v>45027</v>
      </c>
      <c r="C5" s="3" t="s">
        <v>275</v>
      </c>
      <c r="D5" s="4">
        <v>43928.04</v>
      </c>
      <c r="E5" s="4">
        <f>D5/B2</f>
        <v>40179.310344827587</v>
      </c>
      <c r="F5" s="3" t="s">
        <v>277</v>
      </c>
      <c r="G5" s="3"/>
      <c r="H5" s="23"/>
      <c r="Q5" s="33" t="s">
        <v>22</v>
      </c>
      <c r="R5" s="3" t="s">
        <v>273</v>
      </c>
      <c r="S5" s="22">
        <v>2190.1999999999998</v>
      </c>
      <c r="T5" s="4"/>
      <c r="U5" s="4">
        <f>S5+T5</f>
        <v>2190.1999999999998</v>
      </c>
      <c r="V5" s="131" t="s">
        <v>274</v>
      </c>
    </row>
    <row r="6" spans="1:22" ht="28.5" x14ac:dyDescent="0.2">
      <c r="J6" s="1"/>
      <c r="K6" s="1"/>
      <c r="L6" s="1"/>
      <c r="M6" s="1"/>
      <c r="N6" s="1"/>
      <c r="Q6" s="34"/>
      <c r="R6" s="3" t="s">
        <v>149</v>
      </c>
      <c r="S6" s="22"/>
      <c r="T6" s="4"/>
      <c r="U6" s="4">
        <f t="shared" ref="U6:U16" si="0">S6+T6</f>
        <v>0</v>
      </c>
      <c r="V6" s="131"/>
    </row>
    <row r="7" spans="1:22" ht="57" x14ac:dyDescent="0.2">
      <c r="A7" t="s">
        <v>244</v>
      </c>
      <c r="B7" t="s">
        <v>243</v>
      </c>
      <c r="C7" t="s">
        <v>250</v>
      </c>
      <c r="D7" t="s">
        <v>256</v>
      </c>
      <c r="E7" t="s">
        <v>173</v>
      </c>
      <c r="F7" t="s">
        <v>257</v>
      </c>
      <c r="G7" t="s">
        <v>247</v>
      </c>
      <c r="H7" t="s">
        <v>248</v>
      </c>
      <c r="I7" t="s">
        <v>258</v>
      </c>
      <c r="J7" t="s">
        <v>259</v>
      </c>
      <c r="K7" t="s">
        <v>260</v>
      </c>
      <c r="L7" t="s">
        <v>160</v>
      </c>
      <c r="M7" t="s">
        <v>261</v>
      </c>
      <c r="N7" t="s">
        <v>190</v>
      </c>
      <c r="O7" t="s">
        <v>225</v>
      </c>
      <c r="Q7" s="62"/>
      <c r="R7" s="3" t="s">
        <v>150</v>
      </c>
      <c r="S7" s="22">
        <v>21.9</v>
      </c>
      <c r="T7" s="4">
        <f t="shared" ref="T7" si="1">S7*0.21</f>
        <v>4.5989999999999993</v>
      </c>
      <c r="U7" s="4">
        <f t="shared" si="0"/>
        <v>26.498999999999999</v>
      </c>
      <c r="V7" s="131"/>
    </row>
    <row r="8" spans="1:22" x14ac:dyDescent="0.2">
      <c r="A8" t="s">
        <v>255</v>
      </c>
      <c r="B8" t="s">
        <v>251</v>
      </c>
      <c r="C8" s="32">
        <v>43928.04</v>
      </c>
      <c r="D8" s="32">
        <f>C8/$B$2</f>
        <v>40179.310344827587</v>
      </c>
      <c r="E8" s="32">
        <v>2251.6999999999998</v>
      </c>
      <c r="F8" s="32">
        <f>SUM(D8:E8)</f>
        <v>42431.010344827584</v>
      </c>
      <c r="G8" s="32">
        <v>72.900000000000006</v>
      </c>
      <c r="H8" s="32">
        <v>32.81</v>
      </c>
      <c r="I8" s="32">
        <f>F8*0.033</f>
        <v>1400.2233413793103</v>
      </c>
      <c r="J8" s="32">
        <v>220</v>
      </c>
      <c r="K8" s="32">
        <v>50</v>
      </c>
      <c r="L8" s="32">
        <f>F8+H8+I8+K8+J8</f>
        <v>44134.043686206889</v>
      </c>
      <c r="M8" s="32">
        <f>L8</f>
        <v>44134.043686206889</v>
      </c>
      <c r="N8" s="32">
        <f>M8*0.21</f>
        <v>9268.1491741034461</v>
      </c>
      <c r="O8" s="32">
        <f t="shared" ref="O8" si="2">N8+H8+I8</f>
        <v>10701.182515482757</v>
      </c>
      <c r="Q8" s="62"/>
      <c r="R8" s="3" t="s">
        <v>91</v>
      </c>
      <c r="S8" s="10">
        <v>245</v>
      </c>
      <c r="T8" s="4"/>
      <c r="U8" s="4">
        <f t="shared" si="0"/>
        <v>245</v>
      </c>
      <c r="V8" s="131"/>
    </row>
    <row r="9" spans="1:22" x14ac:dyDescent="0.2">
      <c r="B9" s="56" t="s">
        <v>252</v>
      </c>
      <c r="C9" s="60">
        <f t="shared" ref="C9:O9" si="3">SUM(C8:C8)</f>
        <v>43928.04</v>
      </c>
      <c r="D9" s="60">
        <f t="shared" si="3"/>
        <v>40179.310344827587</v>
      </c>
      <c r="E9" s="60">
        <f t="shared" si="3"/>
        <v>2251.6999999999998</v>
      </c>
      <c r="F9" s="60">
        <f t="shared" si="3"/>
        <v>42431.010344827584</v>
      </c>
      <c r="G9" s="60">
        <f t="shared" si="3"/>
        <v>72.900000000000006</v>
      </c>
      <c r="H9" s="60">
        <f t="shared" si="3"/>
        <v>32.81</v>
      </c>
      <c r="I9" s="60">
        <f t="shared" si="3"/>
        <v>1400.2233413793103</v>
      </c>
      <c r="J9" s="60">
        <f t="shared" si="3"/>
        <v>220</v>
      </c>
      <c r="K9" s="60">
        <f t="shared" si="3"/>
        <v>50</v>
      </c>
      <c r="L9" s="60">
        <f t="shared" si="3"/>
        <v>44134.043686206889</v>
      </c>
      <c r="M9" s="60">
        <f t="shared" si="3"/>
        <v>44134.043686206889</v>
      </c>
      <c r="N9" s="60">
        <f t="shared" si="3"/>
        <v>9268.1491741034461</v>
      </c>
      <c r="O9" s="60">
        <f t="shared" si="3"/>
        <v>10701.182515482757</v>
      </c>
      <c r="Q9" s="62"/>
      <c r="R9" s="6" t="s">
        <v>151</v>
      </c>
      <c r="S9" s="25">
        <v>50</v>
      </c>
      <c r="T9" s="4"/>
      <c r="U9" s="4">
        <f t="shared" si="0"/>
        <v>50</v>
      </c>
      <c r="V9" s="132"/>
    </row>
    <row r="10" spans="1:22" x14ac:dyDescent="0.2">
      <c r="Q10" s="62"/>
      <c r="R10" s="6"/>
      <c r="S10" s="25"/>
      <c r="T10" s="4"/>
      <c r="U10" s="4"/>
      <c r="V10" s="132"/>
    </row>
    <row r="11" spans="1:22" ht="85.5" x14ac:dyDescent="0.2">
      <c r="Q11" s="62"/>
      <c r="R11" s="3" t="s">
        <v>152</v>
      </c>
      <c r="S11" s="22">
        <v>1560</v>
      </c>
      <c r="T11" s="4">
        <f t="shared" ref="T11:T16" si="4">S11*0.21</f>
        <v>327.59999999999997</v>
      </c>
      <c r="U11" s="4">
        <f t="shared" si="0"/>
        <v>1887.6</v>
      </c>
      <c r="V11" s="132"/>
    </row>
    <row r="12" spans="1:22" ht="28.5" customHeight="1" x14ac:dyDescent="0.2">
      <c r="Q12" s="62"/>
      <c r="R12" s="3" t="s">
        <v>153</v>
      </c>
      <c r="S12" s="22">
        <v>45</v>
      </c>
      <c r="T12" s="4">
        <f t="shared" si="4"/>
        <v>9.4499999999999993</v>
      </c>
      <c r="U12" s="4">
        <f t="shared" si="0"/>
        <v>54.45</v>
      </c>
      <c r="V12" s="132"/>
    </row>
    <row r="13" spans="1:22" ht="57" x14ac:dyDescent="0.2">
      <c r="Q13" s="62"/>
      <c r="R13" s="3" t="s">
        <v>154</v>
      </c>
      <c r="S13" s="22"/>
      <c r="T13" s="4">
        <f t="shared" si="4"/>
        <v>0</v>
      </c>
      <c r="U13" s="4">
        <f t="shared" si="0"/>
        <v>0</v>
      </c>
      <c r="V13" s="132"/>
    </row>
    <row r="14" spans="1:22" ht="28.5" customHeight="1" x14ac:dyDescent="0.2">
      <c r="Q14" s="62"/>
      <c r="R14" s="3" t="s">
        <v>155</v>
      </c>
      <c r="S14" s="10">
        <v>125</v>
      </c>
      <c r="T14" s="4">
        <f t="shared" si="4"/>
        <v>26.25</v>
      </c>
      <c r="U14" s="4">
        <f t="shared" si="0"/>
        <v>151.25</v>
      </c>
      <c r="V14" s="132"/>
    </row>
    <row r="15" spans="1:22" ht="42.75" x14ac:dyDescent="0.2">
      <c r="Q15" s="62"/>
      <c r="R15" s="3" t="s">
        <v>156</v>
      </c>
      <c r="S15" s="22">
        <v>150</v>
      </c>
      <c r="T15" s="4">
        <f t="shared" si="4"/>
        <v>31.5</v>
      </c>
      <c r="U15" s="4">
        <f t="shared" si="0"/>
        <v>181.5</v>
      </c>
      <c r="V15" s="132"/>
    </row>
    <row r="16" spans="1:22" ht="57" x14ac:dyDescent="0.2">
      <c r="Q16" s="62"/>
      <c r="R16" s="3" t="s">
        <v>157</v>
      </c>
      <c r="S16" s="22"/>
      <c r="T16" s="4">
        <f t="shared" si="4"/>
        <v>0</v>
      </c>
      <c r="U16" s="4">
        <f t="shared" si="0"/>
        <v>0</v>
      </c>
      <c r="V16" s="132"/>
    </row>
    <row r="17" spans="17:22" x14ac:dyDescent="0.2">
      <c r="Q17" s="62"/>
      <c r="R17" s="3" t="s">
        <v>77</v>
      </c>
      <c r="S17" s="23">
        <f>SUM(S5:S16)</f>
        <v>4387.1000000000004</v>
      </c>
      <c r="T17" s="23">
        <f>SUM(T5:T16)</f>
        <v>399.39899999999994</v>
      </c>
      <c r="U17" s="23">
        <f>SUM(U5:U16)</f>
        <v>4786.4989999999989</v>
      </c>
      <c r="V17" s="132"/>
    </row>
    <row r="18" spans="17:22" ht="28.5" x14ac:dyDescent="0.2">
      <c r="Q18" s="62"/>
      <c r="R18" s="3" t="s">
        <v>268</v>
      </c>
      <c r="S18" s="4">
        <v>1433.03</v>
      </c>
      <c r="T18" s="3">
        <v>9268.15</v>
      </c>
      <c r="U18" s="10">
        <f>SUM(S18:T18)</f>
        <v>10701.18</v>
      </c>
      <c r="V18" s="132"/>
    </row>
    <row r="19" spans="17:22" x14ac:dyDescent="0.2">
      <c r="Q19" s="63"/>
      <c r="S19"/>
      <c r="V19" s="132"/>
    </row>
    <row r="20" spans="17:22" x14ac:dyDescent="0.2">
      <c r="Q20" s="64"/>
      <c r="R20" s="3"/>
      <c r="S20" s="4">
        <f t="shared" ref="S20:T20" si="5">S18+S17</f>
        <v>5820.13</v>
      </c>
      <c r="T20" s="4">
        <f t="shared" si="5"/>
        <v>9667.5489999999991</v>
      </c>
      <c r="U20" s="4">
        <f>U18+U17</f>
        <v>15487.679</v>
      </c>
      <c r="V20" s="3"/>
    </row>
  </sheetData>
  <mergeCells count="1">
    <mergeCell ref="V5:V19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55" orientation="landscape" horizontalDpi="0" verticalDpi="0" r:id="rId1"/>
  <ignoredErrors>
    <ignoredError sqref="B8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64DF5-077D-4617-9F1F-63F5A3147B7F}">
  <sheetPr>
    <pageSetUpPr fitToPage="1"/>
  </sheetPr>
  <dimension ref="A1:F41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D48" sqref="D48"/>
    </sheetView>
  </sheetViews>
  <sheetFormatPr defaultRowHeight="14.25" x14ac:dyDescent="0.2"/>
  <cols>
    <col min="1" max="1" width="29.25" customWidth="1"/>
    <col min="2" max="2" width="20.5" bestFit="1" customWidth="1"/>
    <col min="3" max="3" width="11.875" style="32" bestFit="1" customWidth="1"/>
    <col min="4" max="4" width="19.75" style="1" customWidth="1"/>
    <col min="6" max="6" width="16" bestFit="1" customWidth="1"/>
  </cols>
  <sheetData>
    <row r="1" spans="1:6" x14ac:dyDescent="0.2">
      <c r="A1" s="17" t="s">
        <v>305</v>
      </c>
      <c r="B1" s="17" t="s">
        <v>317</v>
      </c>
      <c r="C1" s="35" t="s">
        <v>3</v>
      </c>
      <c r="D1" s="3" t="s">
        <v>320</v>
      </c>
      <c r="E1" s="17" t="s">
        <v>318</v>
      </c>
      <c r="F1" s="17" t="s">
        <v>319</v>
      </c>
    </row>
    <row r="2" spans="1:6" x14ac:dyDescent="0.2">
      <c r="A2" s="17" t="s">
        <v>316</v>
      </c>
      <c r="B2" s="17" t="s">
        <v>235</v>
      </c>
      <c r="C2" s="91">
        <v>4503.57</v>
      </c>
      <c r="D2" s="3" t="s">
        <v>305</v>
      </c>
      <c r="E2" s="17" t="s">
        <v>322</v>
      </c>
      <c r="F2" s="17"/>
    </row>
    <row r="3" spans="1:6" ht="42.75" x14ac:dyDescent="0.2">
      <c r="A3" s="17" t="s">
        <v>333</v>
      </c>
      <c r="B3" t="s">
        <v>280</v>
      </c>
      <c r="C3" s="91">
        <v>-30.25</v>
      </c>
      <c r="D3" s="3" t="s">
        <v>343</v>
      </c>
      <c r="E3" s="17" t="s">
        <v>322</v>
      </c>
      <c r="F3" s="17"/>
    </row>
    <row r="4" spans="1:6" ht="28.5" x14ac:dyDescent="0.2">
      <c r="A4" s="17" t="s">
        <v>333</v>
      </c>
      <c r="B4" s="17" t="s">
        <v>331</v>
      </c>
      <c r="C4" s="91">
        <v>-239.27</v>
      </c>
      <c r="D4" s="3" t="s">
        <v>332</v>
      </c>
      <c r="E4" s="17" t="s">
        <v>322</v>
      </c>
      <c r="F4" s="17"/>
    </row>
    <row r="5" spans="1:6" x14ac:dyDescent="0.2">
      <c r="A5" s="17"/>
      <c r="B5" s="17"/>
      <c r="C5" s="91"/>
      <c r="D5" s="3"/>
      <c r="E5" s="17"/>
      <c r="F5" s="17"/>
    </row>
    <row r="6" spans="1:6" x14ac:dyDescent="0.2">
      <c r="A6" s="17" t="s">
        <v>334</v>
      </c>
      <c r="B6" s="17" t="s">
        <v>162</v>
      </c>
      <c r="C6" s="91">
        <v>5393.5599999999995</v>
      </c>
      <c r="D6" s="3" t="s">
        <v>237</v>
      </c>
      <c r="E6" s="17" t="s">
        <v>322</v>
      </c>
      <c r="F6" s="17"/>
    </row>
    <row r="7" spans="1:6" x14ac:dyDescent="0.2">
      <c r="A7" s="17" t="s">
        <v>64</v>
      </c>
      <c r="B7" s="17"/>
      <c r="C7" s="91"/>
      <c r="D7" s="3"/>
      <c r="E7" s="72" t="s">
        <v>344</v>
      </c>
      <c r="F7" s="17"/>
    </row>
    <row r="8" spans="1:6" x14ac:dyDescent="0.2">
      <c r="A8" s="17" t="s">
        <v>348</v>
      </c>
      <c r="B8" s="17"/>
      <c r="C8" s="91"/>
      <c r="D8" s="3"/>
      <c r="E8" s="72" t="s">
        <v>344</v>
      </c>
      <c r="F8" s="17"/>
    </row>
    <row r="9" spans="1:6" x14ac:dyDescent="0.2">
      <c r="A9" s="17" t="s">
        <v>349</v>
      </c>
      <c r="B9" s="17"/>
      <c r="C9" s="91"/>
      <c r="D9" s="3"/>
      <c r="E9" s="72" t="s">
        <v>344</v>
      </c>
      <c r="F9" s="17"/>
    </row>
    <row r="10" spans="1:6" x14ac:dyDescent="0.2">
      <c r="A10" s="17" t="s">
        <v>18</v>
      </c>
      <c r="B10" s="17" t="s">
        <v>237</v>
      </c>
      <c r="C10" s="91">
        <v>5393.56</v>
      </c>
      <c r="D10" s="11" t="s">
        <v>298</v>
      </c>
      <c r="E10" s="17" t="s">
        <v>322</v>
      </c>
      <c r="F10" s="17"/>
    </row>
    <row r="11" spans="1:6" x14ac:dyDescent="0.2">
      <c r="A11" s="17" t="s">
        <v>321</v>
      </c>
      <c r="B11" s="17" t="s">
        <v>237</v>
      </c>
      <c r="C11" s="91"/>
      <c r="D11" s="3"/>
      <c r="E11" s="17" t="s">
        <v>322</v>
      </c>
      <c r="F11" s="17"/>
    </row>
    <row r="12" spans="1:6" x14ac:dyDescent="0.2">
      <c r="A12" s="17" t="s">
        <v>324</v>
      </c>
      <c r="B12" s="84">
        <v>20021910</v>
      </c>
      <c r="C12" s="91"/>
      <c r="D12" s="3" t="s">
        <v>237</v>
      </c>
      <c r="E12" s="17" t="s">
        <v>322</v>
      </c>
      <c r="F12" s="17"/>
    </row>
    <row r="13" spans="1:6" x14ac:dyDescent="0.2">
      <c r="A13" s="17" t="s">
        <v>323</v>
      </c>
      <c r="B13" s="84">
        <v>20021910</v>
      </c>
      <c r="C13" s="91">
        <v>15424.62</v>
      </c>
      <c r="D13" s="3" t="s">
        <v>237</v>
      </c>
      <c r="E13" s="17" t="s">
        <v>322</v>
      </c>
      <c r="F13" s="17"/>
    </row>
    <row r="14" spans="1:6" x14ac:dyDescent="0.2">
      <c r="A14" s="17" t="s">
        <v>325</v>
      </c>
      <c r="B14" s="17" t="s">
        <v>237</v>
      </c>
      <c r="C14" s="91"/>
      <c r="D14" s="3" t="s">
        <v>326</v>
      </c>
      <c r="E14" s="17" t="s">
        <v>322</v>
      </c>
      <c r="F14" s="17"/>
    </row>
    <row r="15" spans="1:6" x14ac:dyDescent="0.2">
      <c r="A15" s="17" t="s">
        <v>327</v>
      </c>
      <c r="B15" s="17" t="s">
        <v>328</v>
      </c>
      <c r="C15" s="91"/>
      <c r="D15" s="3" t="s">
        <v>237</v>
      </c>
      <c r="E15" s="17" t="s">
        <v>322</v>
      </c>
      <c r="F15" s="17"/>
    </row>
    <row r="16" spans="1:6" x14ac:dyDescent="0.2">
      <c r="A16" s="17" t="s">
        <v>329</v>
      </c>
      <c r="B16" s="72" t="s">
        <v>229</v>
      </c>
      <c r="C16" s="92">
        <v>14015.8</v>
      </c>
      <c r="D16" s="3" t="s">
        <v>335</v>
      </c>
      <c r="E16" s="17" t="s">
        <v>322</v>
      </c>
      <c r="F16" s="17"/>
    </row>
    <row r="17" spans="1:6" x14ac:dyDescent="0.2">
      <c r="A17" s="17" t="s">
        <v>330</v>
      </c>
      <c r="B17" s="72" t="s">
        <v>229</v>
      </c>
      <c r="C17" s="91" t="s">
        <v>372</v>
      </c>
      <c r="D17" s="3" t="s">
        <v>335</v>
      </c>
      <c r="E17" s="17" t="s">
        <v>322</v>
      </c>
      <c r="F17" s="17"/>
    </row>
    <row r="18" spans="1:6" x14ac:dyDescent="0.2">
      <c r="A18" s="17"/>
      <c r="B18" s="17"/>
      <c r="C18" s="91"/>
      <c r="D18" s="3"/>
      <c r="E18" s="17"/>
      <c r="F18" s="17"/>
    </row>
    <row r="19" spans="1:6" x14ac:dyDescent="0.2">
      <c r="A19" s="17" t="s">
        <v>334</v>
      </c>
      <c r="B19" s="17" t="s">
        <v>226</v>
      </c>
      <c r="C19" s="35">
        <v>24314.73</v>
      </c>
      <c r="D19" s="3" t="s">
        <v>224</v>
      </c>
      <c r="E19" s="17" t="s">
        <v>322</v>
      </c>
      <c r="F19" s="17"/>
    </row>
    <row r="20" spans="1:6" x14ac:dyDescent="0.2">
      <c r="A20" s="17" t="s">
        <v>64</v>
      </c>
      <c r="B20" s="17"/>
      <c r="C20" s="91"/>
      <c r="D20" s="3"/>
      <c r="E20" s="72" t="s">
        <v>344</v>
      </c>
      <c r="F20" s="17"/>
    </row>
    <row r="21" spans="1:6" x14ac:dyDescent="0.2">
      <c r="A21" s="17" t="s">
        <v>348</v>
      </c>
      <c r="B21" s="17"/>
      <c r="C21" s="91"/>
      <c r="D21" s="3"/>
      <c r="E21" s="72" t="s">
        <v>344</v>
      </c>
      <c r="F21" s="17"/>
    </row>
    <row r="22" spans="1:6" x14ac:dyDescent="0.2">
      <c r="A22" s="17" t="s">
        <v>349</v>
      </c>
      <c r="B22" s="17"/>
      <c r="C22" s="91"/>
      <c r="D22" s="3"/>
      <c r="E22" s="72" t="s">
        <v>344</v>
      </c>
      <c r="F22" s="17"/>
    </row>
    <row r="23" spans="1:6" x14ac:dyDescent="0.2">
      <c r="A23" s="17" t="s">
        <v>18</v>
      </c>
      <c r="B23" s="17" t="s">
        <v>224</v>
      </c>
      <c r="C23" s="35"/>
      <c r="D23" s="90" t="s">
        <v>346</v>
      </c>
      <c r="E23" s="17" t="s">
        <v>322</v>
      </c>
      <c r="F23" s="17"/>
    </row>
    <row r="24" spans="1:6" x14ac:dyDescent="0.2">
      <c r="A24" s="17" t="s">
        <v>321</v>
      </c>
      <c r="B24" s="17" t="s">
        <v>224</v>
      </c>
      <c r="C24" s="35"/>
      <c r="D24" s="3"/>
      <c r="E24" s="17" t="s">
        <v>322</v>
      </c>
      <c r="F24" s="17"/>
    </row>
    <row r="25" spans="1:6" x14ac:dyDescent="0.2">
      <c r="A25" s="17" t="s">
        <v>324</v>
      </c>
      <c r="B25" s="84">
        <v>20021845</v>
      </c>
      <c r="C25" s="35"/>
      <c r="D25" s="3"/>
      <c r="E25" s="17" t="s">
        <v>322</v>
      </c>
      <c r="F25" s="17"/>
    </row>
    <row r="26" spans="1:6" x14ac:dyDescent="0.2">
      <c r="A26" s="17" t="s">
        <v>323</v>
      </c>
      <c r="B26" s="84">
        <v>20021845</v>
      </c>
      <c r="C26" s="35">
        <v>115160.41</v>
      </c>
      <c r="D26" s="3"/>
      <c r="E26" s="17" t="s">
        <v>322</v>
      </c>
      <c r="F26" s="17"/>
    </row>
    <row r="27" spans="1:6" x14ac:dyDescent="0.2">
      <c r="A27" s="17" t="s">
        <v>325</v>
      </c>
      <c r="B27" s="17" t="s">
        <v>224</v>
      </c>
      <c r="C27" s="35"/>
      <c r="D27" s="3" t="s">
        <v>326</v>
      </c>
      <c r="E27" s="17" t="s">
        <v>322</v>
      </c>
      <c r="F27" s="17"/>
    </row>
    <row r="28" spans="1:6" x14ac:dyDescent="0.2">
      <c r="A28" s="17" t="s">
        <v>327</v>
      </c>
      <c r="B28" s="17" t="s">
        <v>342</v>
      </c>
      <c r="C28" s="35"/>
      <c r="D28" s="3" t="s">
        <v>224</v>
      </c>
      <c r="E28" s="17" t="s">
        <v>322</v>
      </c>
      <c r="F28" s="17"/>
    </row>
    <row r="29" spans="1:6" x14ac:dyDescent="0.2">
      <c r="A29" s="17" t="s">
        <v>329</v>
      </c>
      <c r="B29" s="72" t="s">
        <v>231</v>
      </c>
      <c r="C29" s="85">
        <v>121756.56</v>
      </c>
      <c r="D29" s="3" t="s">
        <v>336</v>
      </c>
      <c r="E29" s="17" t="s">
        <v>322</v>
      </c>
      <c r="F29" s="72"/>
    </row>
    <row r="30" spans="1:6" x14ac:dyDescent="0.2">
      <c r="A30" s="17" t="s">
        <v>330</v>
      </c>
      <c r="B30" s="72" t="s">
        <v>231</v>
      </c>
      <c r="C30" s="35" t="s">
        <v>373</v>
      </c>
      <c r="D30" s="3" t="s">
        <v>336</v>
      </c>
      <c r="E30" s="17" t="s">
        <v>322</v>
      </c>
      <c r="F30" s="72"/>
    </row>
    <row r="31" spans="1:6" x14ac:dyDescent="0.2">
      <c r="A31" s="17"/>
      <c r="B31" s="17"/>
      <c r="C31" s="35"/>
      <c r="D31" s="3"/>
      <c r="E31" s="17"/>
      <c r="F31" s="17"/>
    </row>
    <row r="32" spans="1:6" x14ac:dyDescent="0.2">
      <c r="A32" s="86" t="s">
        <v>316</v>
      </c>
      <c r="B32" s="86" t="s">
        <v>338</v>
      </c>
      <c r="C32" s="87">
        <v>323.67</v>
      </c>
      <c r="D32" s="89"/>
      <c r="E32" s="86" t="s">
        <v>322</v>
      </c>
      <c r="F32" s="86" t="s">
        <v>238</v>
      </c>
    </row>
    <row r="33" spans="1:6" x14ac:dyDescent="0.2">
      <c r="A33" s="86" t="s">
        <v>334</v>
      </c>
      <c r="B33" s="86" t="s">
        <v>337</v>
      </c>
      <c r="C33" s="70">
        <v>3158.11</v>
      </c>
      <c r="D33" s="89" t="s">
        <v>339</v>
      </c>
      <c r="E33" s="86" t="s">
        <v>322</v>
      </c>
      <c r="F33" s="72" t="s">
        <v>340</v>
      </c>
    </row>
    <row r="34" spans="1:6" x14ac:dyDescent="0.2">
      <c r="A34" s="86" t="s">
        <v>18</v>
      </c>
      <c r="B34" s="86" t="s">
        <v>165</v>
      </c>
      <c r="C34" s="87"/>
      <c r="D34" s="11" t="s">
        <v>345</v>
      </c>
      <c r="E34" s="86" t="s">
        <v>322</v>
      </c>
      <c r="F34" s="86" t="s">
        <v>238</v>
      </c>
    </row>
    <row r="35" spans="1:6" x14ac:dyDescent="0.2">
      <c r="A35" s="86" t="s">
        <v>321</v>
      </c>
      <c r="B35" s="86" t="s">
        <v>339</v>
      </c>
      <c r="C35" s="87"/>
      <c r="D35" s="89"/>
      <c r="E35" s="86" t="s">
        <v>322</v>
      </c>
      <c r="F35" s="86" t="s">
        <v>238</v>
      </c>
    </row>
    <row r="36" spans="1:6" x14ac:dyDescent="0.2">
      <c r="A36" s="86" t="s">
        <v>324</v>
      </c>
      <c r="B36" s="88">
        <v>20021911</v>
      </c>
      <c r="C36" s="87"/>
      <c r="D36" s="89"/>
      <c r="E36" s="86" t="s">
        <v>322</v>
      </c>
      <c r="F36" s="86" t="s">
        <v>238</v>
      </c>
    </row>
    <row r="37" spans="1:6" x14ac:dyDescent="0.2">
      <c r="A37" s="86" t="s">
        <v>323</v>
      </c>
      <c r="B37" s="88">
        <v>20021911</v>
      </c>
      <c r="C37" s="87">
        <v>13895.39</v>
      </c>
      <c r="D37" s="89"/>
      <c r="E37" s="86" t="s">
        <v>322</v>
      </c>
      <c r="F37" s="86" t="s">
        <v>238</v>
      </c>
    </row>
    <row r="38" spans="1:6" x14ac:dyDescent="0.2">
      <c r="A38" s="86" t="s">
        <v>325</v>
      </c>
      <c r="B38" s="86" t="s">
        <v>165</v>
      </c>
      <c r="C38" s="87"/>
      <c r="D38" s="89"/>
      <c r="E38" s="86" t="s">
        <v>322</v>
      </c>
      <c r="F38" s="86" t="s">
        <v>238</v>
      </c>
    </row>
    <row r="39" spans="1:6" x14ac:dyDescent="0.2">
      <c r="A39" s="86" t="s">
        <v>327</v>
      </c>
      <c r="B39" s="86" t="s">
        <v>341</v>
      </c>
      <c r="C39" s="87"/>
      <c r="D39" s="89" t="s">
        <v>165</v>
      </c>
      <c r="E39" s="86" t="s">
        <v>322</v>
      </c>
      <c r="F39" s="86" t="s">
        <v>238</v>
      </c>
    </row>
    <row r="40" spans="1:6" x14ac:dyDescent="0.2">
      <c r="A40" s="86" t="s">
        <v>329</v>
      </c>
      <c r="B40" s="11" t="s">
        <v>345</v>
      </c>
      <c r="C40" s="87"/>
      <c r="D40" s="89"/>
      <c r="E40" s="86" t="s">
        <v>344</v>
      </c>
      <c r="F40" s="86"/>
    </row>
    <row r="41" spans="1:6" x14ac:dyDescent="0.2">
      <c r="A41" s="86" t="s">
        <v>330</v>
      </c>
      <c r="B41" s="11" t="s">
        <v>345</v>
      </c>
      <c r="C41" s="87"/>
      <c r="D41" s="89"/>
      <c r="E41" s="86" t="s">
        <v>344</v>
      </c>
      <c r="F41" s="86"/>
    </row>
  </sheetData>
  <phoneticPr fontId="4" type="noConversion"/>
  <pageMargins left="0.70866141732283472" right="0.70866141732283472" top="0.74803149606299213" bottom="0.74803149606299213" header="0.31496062992125984" footer="0.31496062992125984"/>
  <pageSetup paperSize="9" scale="8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1CBFD-2079-40CB-B0CE-E9FE49F24004}">
  <sheetPr>
    <pageSetUpPr fitToPage="1"/>
  </sheetPr>
  <dimension ref="A1:X33"/>
  <sheetViews>
    <sheetView workbookViewId="0">
      <selection activeCell="K17" sqref="K17:P17"/>
    </sheetView>
  </sheetViews>
  <sheetFormatPr defaultRowHeight="14.25" x14ac:dyDescent="0.2"/>
  <cols>
    <col min="1" max="1" width="21.375" customWidth="1"/>
    <col min="2" max="2" width="17.125" customWidth="1"/>
    <col min="3" max="3" width="15.625" customWidth="1"/>
    <col min="4" max="5" width="22.625" customWidth="1"/>
    <col min="6" max="6" width="11.625" customWidth="1"/>
    <col min="7" max="7" width="7.875" customWidth="1"/>
    <col min="8" max="8" width="9.375" customWidth="1"/>
    <col min="9" max="9" width="13.125" customWidth="1"/>
    <col min="10" max="10" width="18.375" customWidth="1"/>
    <col min="11" max="11" width="10.375" customWidth="1"/>
    <col min="12" max="12" width="11.375" customWidth="1"/>
    <col min="13" max="13" width="11.375" bestFit="1" customWidth="1"/>
    <col min="14" max="16" width="11.375" customWidth="1"/>
    <col min="17" max="17" width="14.875" customWidth="1"/>
    <col min="18" max="18" width="16.75" bestFit="1" customWidth="1"/>
    <col min="19" max="19" width="9.25" bestFit="1" customWidth="1"/>
    <col min="20" max="20" width="10.375" bestFit="1" customWidth="1"/>
    <col min="21" max="21" width="9.75" bestFit="1" customWidth="1"/>
    <col min="22" max="22" width="10.375" style="32" bestFit="1" customWidth="1"/>
    <col min="23" max="23" width="20.5" bestFit="1" customWidth="1"/>
  </cols>
  <sheetData>
    <row r="1" spans="1:24" ht="28.5" x14ac:dyDescent="0.2">
      <c r="A1" s="1" t="s">
        <v>144</v>
      </c>
      <c r="B1" s="1"/>
      <c r="C1" s="31">
        <v>45044</v>
      </c>
      <c r="D1" s="1" t="s">
        <v>145</v>
      </c>
      <c r="E1" s="1"/>
    </row>
    <row r="2" spans="1:24" x14ac:dyDescent="0.2">
      <c r="A2" t="s">
        <v>246</v>
      </c>
      <c r="B2" s="3">
        <v>1.0785</v>
      </c>
    </row>
    <row r="3" spans="1:24" ht="28.5" x14ac:dyDescent="0.2">
      <c r="A3" s="1" t="s">
        <v>61</v>
      </c>
      <c r="B3" s="1"/>
      <c r="C3" s="1" t="s">
        <v>62</v>
      </c>
      <c r="D3" s="2" t="s">
        <v>35</v>
      </c>
      <c r="E3" s="2"/>
      <c r="F3" s="1" t="s">
        <v>36</v>
      </c>
      <c r="G3" s="1"/>
      <c r="H3" s="1" t="s">
        <v>35</v>
      </c>
      <c r="I3" s="1" t="s">
        <v>63</v>
      </c>
      <c r="J3" s="1" t="s">
        <v>146</v>
      </c>
      <c r="K3" s="12">
        <v>45044</v>
      </c>
      <c r="L3" s="1"/>
      <c r="M3" s="1"/>
      <c r="N3" s="1"/>
      <c r="O3" s="1"/>
      <c r="P3" s="1"/>
      <c r="Q3" s="1" t="s">
        <v>72</v>
      </c>
    </row>
    <row r="4" spans="1:24" ht="28.5" x14ac:dyDescent="0.2">
      <c r="A4" s="3" t="s">
        <v>0</v>
      </c>
      <c r="B4" s="58"/>
      <c r="C4" s="3" t="s">
        <v>6</v>
      </c>
      <c r="D4" s="4" t="s">
        <v>241</v>
      </c>
      <c r="E4" s="4" t="s">
        <v>242</v>
      </c>
      <c r="F4" s="3"/>
      <c r="G4" s="3"/>
      <c r="H4" s="3" t="s">
        <v>3</v>
      </c>
      <c r="I4" s="3" t="s">
        <v>21</v>
      </c>
      <c r="J4" s="3" t="s">
        <v>146</v>
      </c>
      <c r="K4" s="3" t="s">
        <v>65</v>
      </c>
      <c r="L4" s="3" t="s">
        <v>19</v>
      </c>
      <c r="M4" s="3" t="s">
        <v>35</v>
      </c>
      <c r="N4" s="1" t="s">
        <v>281</v>
      </c>
      <c r="O4" s="1"/>
      <c r="P4" s="1"/>
      <c r="Q4" s="1" t="s">
        <v>54</v>
      </c>
      <c r="R4" s="3" t="s">
        <v>167</v>
      </c>
      <c r="S4" s="3" t="s">
        <v>159</v>
      </c>
      <c r="T4" s="3" t="s">
        <v>158</v>
      </c>
      <c r="U4" s="3" t="s">
        <v>19</v>
      </c>
      <c r="V4" s="16" t="s">
        <v>160</v>
      </c>
      <c r="W4" s="3" t="s">
        <v>166</v>
      </c>
    </row>
    <row r="5" spans="1:24" ht="28.5" x14ac:dyDescent="0.2">
      <c r="A5" s="3" t="s">
        <v>1</v>
      </c>
      <c r="B5" s="58"/>
      <c r="C5" s="3" t="s">
        <v>229</v>
      </c>
      <c r="D5" s="4">
        <v>14015.8</v>
      </c>
      <c r="E5" s="4">
        <f>D5/1.0785</f>
        <v>12995.642095503013</v>
      </c>
      <c r="F5" s="3" t="s">
        <v>164</v>
      </c>
      <c r="G5" s="3"/>
      <c r="H5" s="23"/>
      <c r="I5" s="33" t="s">
        <v>22</v>
      </c>
      <c r="J5" s="3" t="s">
        <v>148</v>
      </c>
      <c r="K5" s="22">
        <v>2070</v>
      </c>
      <c r="L5" s="4"/>
      <c r="M5" s="4">
        <f>K5+L5</f>
        <v>2070</v>
      </c>
      <c r="N5" s="71"/>
      <c r="O5" s="71"/>
      <c r="P5" s="71"/>
      <c r="Q5" s="131" t="s">
        <v>147</v>
      </c>
      <c r="R5" s="17" t="s">
        <v>296</v>
      </c>
      <c r="S5" s="35">
        <v>9.01</v>
      </c>
      <c r="T5" s="35">
        <v>230.55</v>
      </c>
      <c r="U5" s="35">
        <v>2918.55</v>
      </c>
      <c r="V5" s="35">
        <f>SUM(S5:U5)</f>
        <v>3158.11</v>
      </c>
      <c r="W5" s="17" t="s">
        <v>165</v>
      </c>
      <c r="X5" t="s">
        <v>238</v>
      </c>
    </row>
    <row r="6" spans="1:24" ht="28.5" x14ac:dyDescent="0.2">
      <c r="A6" s="6" t="s">
        <v>230</v>
      </c>
      <c r="B6" s="65">
        <v>45003</v>
      </c>
      <c r="C6" s="6" t="s">
        <v>231</v>
      </c>
      <c r="D6" s="66">
        <v>121756.56</v>
      </c>
      <c r="E6" s="66">
        <f>121756.56/1.0785</f>
        <v>112894.35326842837</v>
      </c>
      <c r="F6" s="6" t="s">
        <v>163</v>
      </c>
      <c r="G6" s="6"/>
      <c r="I6" s="34"/>
      <c r="J6" s="3" t="s">
        <v>149</v>
      </c>
      <c r="K6" s="22">
        <v>27.6</v>
      </c>
      <c r="L6" s="4"/>
      <c r="M6" s="4">
        <f t="shared" ref="M6:M16" si="0">K6+L6</f>
        <v>27.6</v>
      </c>
      <c r="N6" s="71"/>
      <c r="O6" s="71"/>
      <c r="P6" s="71"/>
      <c r="Q6" s="131"/>
      <c r="R6" s="17" t="s">
        <v>161</v>
      </c>
      <c r="S6" s="35">
        <v>49.14</v>
      </c>
      <c r="T6" s="35">
        <v>81.900000000000006</v>
      </c>
      <c r="U6" s="35">
        <v>24183.69</v>
      </c>
      <c r="V6" s="70">
        <f>SUM(S6:U6)</f>
        <v>24314.73</v>
      </c>
      <c r="W6" s="17" t="s">
        <v>163</v>
      </c>
      <c r="X6" t="s">
        <v>239</v>
      </c>
    </row>
    <row r="7" spans="1:24" ht="28.5" x14ac:dyDescent="0.2">
      <c r="A7" s="1"/>
      <c r="B7" s="1"/>
      <c r="C7" s="1"/>
      <c r="D7" s="1"/>
      <c r="E7" s="1"/>
      <c r="F7" s="1"/>
      <c r="G7" s="1"/>
      <c r="H7" s="1"/>
      <c r="I7" s="62"/>
      <c r="J7" s="3" t="s">
        <v>150</v>
      </c>
      <c r="K7" s="22">
        <v>20.97</v>
      </c>
      <c r="L7" s="4">
        <f>K7*0.21</f>
        <v>4.4036999999999997</v>
      </c>
      <c r="M7" s="4">
        <f t="shared" si="0"/>
        <v>25.373699999999999</v>
      </c>
      <c r="N7" s="71"/>
      <c r="O7" s="71"/>
      <c r="P7" s="71"/>
      <c r="Q7" s="131"/>
      <c r="R7" s="17" t="s">
        <v>162</v>
      </c>
      <c r="S7" s="35">
        <v>6.4</v>
      </c>
      <c r="T7" s="35">
        <v>2148</v>
      </c>
      <c r="U7" s="35">
        <v>3239.16</v>
      </c>
      <c r="V7" s="70">
        <f>SUM(S7:U7)</f>
        <v>5393.5599999999995</v>
      </c>
      <c r="W7" s="17" t="s">
        <v>164</v>
      </c>
      <c r="X7" t="s">
        <v>240</v>
      </c>
    </row>
    <row r="8" spans="1:24" x14ac:dyDescent="0.2">
      <c r="A8" s="72" t="s">
        <v>453</v>
      </c>
      <c r="B8" s="115"/>
      <c r="C8" s="115"/>
      <c r="D8" s="115"/>
      <c r="E8" s="115"/>
      <c r="F8" s="115"/>
      <c r="G8" s="115"/>
      <c r="H8" s="1"/>
      <c r="I8" s="62"/>
      <c r="J8" s="3" t="s">
        <v>91</v>
      </c>
      <c r="K8" s="10">
        <v>245</v>
      </c>
      <c r="L8" s="4"/>
      <c r="M8" s="4">
        <f t="shared" si="0"/>
        <v>245</v>
      </c>
      <c r="N8" s="71"/>
      <c r="O8" s="71"/>
      <c r="P8" s="71"/>
      <c r="Q8" s="131"/>
      <c r="R8" s="17"/>
      <c r="S8" s="35">
        <f>SUM(S5:S7)</f>
        <v>64.55</v>
      </c>
      <c r="T8" s="35">
        <f t="shared" ref="T8:U8" si="1">SUM(T5:T7)</f>
        <v>2460.4499999999998</v>
      </c>
      <c r="U8" s="35">
        <f t="shared" si="1"/>
        <v>30341.399999999998</v>
      </c>
      <c r="V8" s="35">
        <f>SUM(V5:V7)</f>
        <v>32866.400000000001</v>
      </c>
      <c r="W8" s="17"/>
    </row>
    <row r="9" spans="1:24" x14ac:dyDescent="0.2">
      <c r="A9" s="72" t="s">
        <v>454</v>
      </c>
      <c r="B9" s="115" t="s">
        <v>455</v>
      </c>
      <c r="C9" s="115">
        <v>0</v>
      </c>
      <c r="D9" s="115" t="s">
        <v>463</v>
      </c>
      <c r="E9" s="115">
        <v>10</v>
      </c>
      <c r="F9" s="115">
        <v>0</v>
      </c>
      <c r="G9" s="115">
        <f>F9*E9</f>
        <v>0</v>
      </c>
      <c r="H9" s="1"/>
      <c r="I9" s="62"/>
      <c r="J9" s="6" t="s">
        <v>151</v>
      </c>
      <c r="K9" s="25">
        <v>50</v>
      </c>
      <c r="L9" s="4"/>
      <c r="M9" s="4">
        <f t="shared" si="0"/>
        <v>50</v>
      </c>
      <c r="N9" s="4"/>
      <c r="O9" s="4"/>
      <c r="P9" s="4"/>
      <c r="Q9" s="132"/>
    </row>
    <row r="10" spans="1:24" x14ac:dyDescent="0.2">
      <c r="A10" s="11" t="s">
        <v>459</v>
      </c>
      <c r="B10" s="115" t="s">
        <v>458</v>
      </c>
      <c r="C10" s="115">
        <f>160*2</f>
        <v>320</v>
      </c>
      <c r="D10" s="115" t="s">
        <v>464</v>
      </c>
      <c r="E10" s="115">
        <v>2</v>
      </c>
      <c r="F10" s="115">
        <v>160</v>
      </c>
      <c r="G10" s="115">
        <f t="shared" ref="G10:G11" si="2">F10*E10</f>
        <v>320</v>
      </c>
      <c r="H10" s="68"/>
      <c r="I10" s="62"/>
      <c r="J10" s="6"/>
      <c r="K10" s="25"/>
      <c r="L10" s="4"/>
      <c r="M10" s="4"/>
      <c r="N10" s="4"/>
      <c r="O10" s="4"/>
      <c r="P10" s="4"/>
      <c r="Q10" s="132"/>
    </row>
    <row r="11" spans="1:24" ht="42.75" x14ac:dyDescent="0.2">
      <c r="A11" s="11"/>
      <c r="B11" s="115" t="s">
        <v>456</v>
      </c>
      <c r="C11" s="115">
        <f>230*4</f>
        <v>920</v>
      </c>
      <c r="D11" s="115" t="s">
        <v>457</v>
      </c>
      <c r="E11" s="115">
        <v>2</v>
      </c>
      <c r="F11" s="115">
        <v>230</v>
      </c>
      <c r="G11" s="115">
        <f t="shared" si="2"/>
        <v>460</v>
      </c>
      <c r="H11" s="68"/>
      <c r="I11" s="62"/>
      <c r="J11" s="3" t="s">
        <v>152</v>
      </c>
      <c r="K11" s="22">
        <v>1560</v>
      </c>
      <c r="L11" s="4">
        <f t="shared" ref="L11:L16" si="3">K11*0.21</f>
        <v>327.59999999999997</v>
      </c>
      <c r="M11" s="4">
        <f t="shared" si="0"/>
        <v>1887.6</v>
      </c>
      <c r="N11" s="4"/>
      <c r="O11" s="4"/>
      <c r="P11" s="4"/>
      <c r="Q11" s="132"/>
    </row>
    <row r="12" spans="1:24" ht="28.5" customHeight="1" x14ac:dyDescent="0.2">
      <c r="A12" s="11"/>
      <c r="B12" s="115" t="s">
        <v>457</v>
      </c>
      <c r="C12" s="115">
        <f>330*2</f>
        <v>660</v>
      </c>
      <c r="D12" s="115"/>
      <c r="E12" s="115"/>
      <c r="F12" s="115"/>
      <c r="G12" s="115">
        <f>SUM(G9:G11)</f>
        <v>780</v>
      </c>
      <c r="H12" s="68"/>
      <c r="I12" s="62">
        <v>45</v>
      </c>
      <c r="J12" s="3" t="s">
        <v>153</v>
      </c>
      <c r="K12" s="22">
        <v>45</v>
      </c>
      <c r="L12" s="4">
        <f t="shared" si="3"/>
        <v>9.4499999999999993</v>
      </c>
      <c r="M12" s="4">
        <f t="shared" si="0"/>
        <v>54.45</v>
      </c>
      <c r="N12" s="4"/>
      <c r="O12" s="4"/>
      <c r="P12" s="4"/>
      <c r="Q12" s="132"/>
    </row>
    <row r="13" spans="1:24" ht="28.5" x14ac:dyDescent="0.2">
      <c r="A13" s="11"/>
      <c r="B13" s="115"/>
      <c r="C13" s="115">
        <f>SUM(C9:C12)</f>
        <v>1900</v>
      </c>
      <c r="D13" s="115"/>
      <c r="E13" s="115"/>
      <c r="F13" s="115"/>
      <c r="G13" s="115"/>
      <c r="H13" s="68"/>
      <c r="I13" s="62">
        <v>25</v>
      </c>
      <c r="J13" s="3" t="s">
        <v>154</v>
      </c>
      <c r="K13" s="22">
        <v>50</v>
      </c>
      <c r="L13" s="4">
        <f t="shared" si="3"/>
        <v>10.5</v>
      </c>
      <c r="M13" s="4">
        <f t="shared" si="0"/>
        <v>60.5</v>
      </c>
      <c r="N13" s="4">
        <v>-25</v>
      </c>
      <c r="O13" s="4">
        <f>N13*0.21</f>
        <v>-5.25</v>
      </c>
      <c r="P13" s="4">
        <f>SUM(N13:O13)</f>
        <v>-30.25</v>
      </c>
      <c r="Q13" s="132"/>
    </row>
    <row r="14" spans="1:24" ht="28.5" customHeight="1" x14ac:dyDescent="0.2">
      <c r="A14" s="1"/>
      <c r="B14" s="67"/>
      <c r="C14" s="67"/>
      <c r="D14" s="67"/>
      <c r="E14" s="67"/>
      <c r="F14" s="67"/>
      <c r="G14" s="67"/>
      <c r="H14" s="68"/>
      <c r="I14" s="62"/>
      <c r="J14" s="3" t="s">
        <v>155</v>
      </c>
      <c r="K14" s="10">
        <v>125</v>
      </c>
      <c r="L14" s="4">
        <f t="shared" si="3"/>
        <v>26.25</v>
      </c>
      <c r="M14" s="4">
        <f t="shared" si="0"/>
        <v>151.25</v>
      </c>
      <c r="N14" s="4"/>
      <c r="O14" s="4"/>
      <c r="P14" s="4"/>
      <c r="Q14" s="132"/>
    </row>
    <row r="15" spans="1:24" x14ac:dyDescent="0.2">
      <c r="A15" s="1"/>
      <c r="B15" s="67"/>
      <c r="C15" s="67"/>
      <c r="D15" s="67"/>
      <c r="E15" s="67"/>
      <c r="F15" s="67"/>
      <c r="G15" s="67"/>
      <c r="H15" s="68"/>
      <c r="I15" s="62"/>
      <c r="J15" s="3" t="s">
        <v>156</v>
      </c>
      <c r="K15" s="22">
        <v>150</v>
      </c>
      <c r="L15" s="4">
        <f t="shared" si="3"/>
        <v>31.5</v>
      </c>
      <c r="M15" s="4">
        <f t="shared" si="0"/>
        <v>181.5</v>
      </c>
      <c r="N15" s="4"/>
      <c r="O15" s="4"/>
      <c r="P15" s="4"/>
      <c r="Q15" s="132"/>
    </row>
    <row r="16" spans="1:24" ht="28.5" x14ac:dyDescent="0.2">
      <c r="A16" s="1"/>
      <c r="B16" s="67"/>
      <c r="C16" s="67"/>
      <c r="D16" s="67"/>
      <c r="E16" s="67"/>
      <c r="F16" s="67"/>
      <c r="G16" s="67"/>
      <c r="H16" s="68"/>
      <c r="I16" s="62">
        <v>80</v>
      </c>
      <c r="J16" s="3" t="s">
        <v>157</v>
      </c>
      <c r="K16" s="22">
        <v>160</v>
      </c>
      <c r="L16" s="4">
        <f t="shared" si="3"/>
        <v>33.6</v>
      </c>
      <c r="M16" s="4">
        <f t="shared" si="0"/>
        <v>193.6</v>
      </c>
      <c r="N16" s="4"/>
      <c r="O16" s="4"/>
      <c r="P16" s="4"/>
      <c r="Q16" s="132"/>
    </row>
    <row r="17" spans="1:22" x14ac:dyDescent="0.2">
      <c r="A17" s="1"/>
      <c r="B17" s="67"/>
      <c r="C17" s="67"/>
      <c r="D17" s="67"/>
      <c r="E17" s="67"/>
      <c r="F17" s="67"/>
      <c r="G17" s="67"/>
      <c r="H17" s="68"/>
      <c r="I17" s="62"/>
      <c r="J17" s="3" t="s">
        <v>77</v>
      </c>
      <c r="K17" s="4">
        <f>SUM(K5:K16)</f>
        <v>4503.57</v>
      </c>
      <c r="L17" s="4">
        <f t="shared" ref="L17:M17" si="4">SUM(L5:L16)</f>
        <v>443.30369999999999</v>
      </c>
      <c r="M17" s="4">
        <f t="shared" si="4"/>
        <v>4946.8737000000001</v>
      </c>
      <c r="N17" s="4">
        <f>SUM(N5:N16)</f>
        <v>-25</v>
      </c>
      <c r="O17" s="4">
        <f t="shared" ref="O17" si="5">SUM(O5:O16)</f>
        <v>-5.25</v>
      </c>
      <c r="P17" s="4">
        <f t="shared" ref="P17" si="6">SUM(P5:P16)</f>
        <v>-30.25</v>
      </c>
      <c r="Q17" s="132"/>
    </row>
    <row r="18" spans="1:22" x14ac:dyDescent="0.2">
      <c r="A18" s="1"/>
      <c r="B18" s="67"/>
      <c r="C18" s="67"/>
      <c r="D18" s="67"/>
      <c r="E18" s="67"/>
      <c r="F18" s="67"/>
      <c r="G18" s="67"/>
      <c r="H18" s="68"/>
      <c r="I18" s="62"/>
      <c r="J18" s="3"/>
      <c r="K18" s="4">
        <f>2460.45+64.55</f>
        <v>2525</v>
      </c>
      <c r="L18" s="3">
        <f>30341.4</f>
        <v>30341.4</v>
      </c>
      <c r="M18" s="10">
        <f>SUM(K18:L18)</f>
        <v>32866.400000000001</v>
      </c>
      <c r="N18" s="10"/>
      <c r="O18" s="10"/>
      <c r="P18" s="10"/>
      <c r="Q18" s="132"/>
    </row>
    <row r="19" spans="1:22" x14ac:dyDescent="0.2">
      <c r="A19" s="1"/>
      <c r="B19" s="67"/>
      <c r="C19" s="67"/>
      <c r="D19" s="67"/>
      <c r="E19" s="67"/>
      <c r="F19" s="67"/>
      <c r="G19" s="67"/>
      <c r="H19" s="68"/>
      <c r="I19" s="63"/>
      <c r="Q19" s="132"/>
    </row>
    <row r="20" spans="1:22" x14ac:dyDescent="0.2">
      <c r="A20" s="1"/>
      <c r="B20" s="67"/>
      <c r="C20" s="67"/>
      <c r="D20" s="67"/>
      <c r="E20" s="67"/>
      <c r="F20" s="67"/>
      <c r="G20" s="67"/>
      <c r="H20" s="68"/>
      <c r="I20" s="64"/>
      <c r="J20" s="3"/>
      <c r="K20" s="4">
        <f t="shared" ref="K20:L20" si="7">K18+K17</f>
        <v>7028.57</v>
      </c>
      <c r="L20" s="4">
        <f t="shared" si="7"/>
        <v>30784.703700000002</v>
      </c>
      <c r="M20" s="4">
        <f>M18+M17</f>
        <v>37813.273700000005</v>
      </c>
      <c r="N20" s="4"/>
      <c r="O20" s="4"/>
      <c r="P20" s="4"/>
      <c r="Q20" s="3"/>
    </row>
    <row r="21" spans="1:22" x14ac:dyDescent="0.2">
      <c r="A21" s="1"/>
      <c r="B21" s="67"/>
      <c r="C21" s="67"/>
      <c r="D21" s="67"/>
      <c r="E21" s="67"/>
      <c r="F21" s="67"/>
      <c r="G21" s="67"/>
      <c r="H21" s="68"/>
      <c r="J21" s="1"/>
      <c r="K21" s="1"/>
      <c r="L21" s="1"/>
      <c r="M21" s="1"/>
      <c r="N21" s="1"/>
      <c r="O21" s="1"/>
      <c r="P21" s="1"/>
      <c r="Q21" s="1"/>
    </row>
    <row r="22" spans="1:22" x14ac:dyDescent="0.2">
      <c r="J22" s="1"/>
      <c r="K22" s="1"/>
      <c r="L22" s="1"/>
      <c r="M22" s="1"/>
      <c r="N22" s="1"/>
      <c r="O22" s="1"/>
      <c r="P22" s="1"/>
      <c r="Q22" s="1"/>
    </row>
    <row r="23" spans="1:22" x14ac:dyDescent="0.2">
      <c r="A23" s="17" t="s">
        <v>244</v>
      </c>
      <c r="B23" s="17" t="s">
        <v>243</v>
      </c>
      <c r="C23" s="17" t="s">
        <v>250</v>
      </c>
      <c r="D23" s="17" t="s">
        <v>256</v>
      </c>
      <c r="E23" s="17" t="s">
        <v>173</v>
      </c>
      <c r="F23" s="17" t="s">
        <v>257</v>
      </c>
      <c r="G23" s="17" t="s">
        <v>247</v>
      </c>
      <c r="H23" s="17" t="s">
        <v>248</v>
      </c>
      <c r="I23" s="17" t="s">
        <v>258</v>
      </c>
      <c r="J23" s="17" t="s">
        <v>259</v>
      </c>
      <c r="K23" s="17" t="s">
        <v>260</v>
      </c>
      <c r="L23" s="17" t="s">
        <v>160</v>
      </c>
      <c r="M23" s="17" t="s">
        <v>261</v>
      </c>
      <c r="N23" s="17" t="s">
        <v>190</v>
      </c>
      <c r="O23" s="17" t="s">
        <v>225</v>
      </c>
      <c r="S23" s="32"/>
      <c r="V23"/>
    </row>
    <row r="24" spans="1:22" x14ac:dyDescent="0.2">
      <c r="A24" s="17" t="s">
        <v>253</v>
      </c>
      <c r="B24" s="17" t="s">
        <v>245</v>
      </c>
      <c r="C24" s="35">
        <v>9979.2099999999991</v>
      </c>
      <c r="D24" s="35">
        <v>9252.8604543347228</v>
      </c>
      <c r="E24" s="35">
        <v>154.32</v>
      </c>
      <c r="F24" s="35">
        <v>9407.1804543347225</v>
      </c>
      <c r="G24" s="35">
        <v>7</v>
      </c>
      <c r="H24" s="35">
        <v>3.15</v>
      </c>
      <c r="I24" s="35">
        <v>0</v>
      </c>
      <c r="J24" s="35"/>
      <c r="K24" s="35">
        <v>16.11</v>
      </c>
      <c r="L24" s="35">
        <v>9426.4404543347227</v>
      </c>
      <c r="M24" s="35">
        <v>9426.4404543347227</v>
      </c>
      <c r="N24" s="35">
        <v>1979.5524954102916</v>
      </c>
      <c r="O24" s="35">
        <f t="shared" ref="O24:O29" si="8">N24+H24+I24</f>
        <v>1982.7024954102917</v>
      </c>
      <c r="S24" s="32"/>
      <c r="V24"/>
    </row>
    <row r="25" spans="1:22" x14ac:dyDescent="0.2">
      <c r="A25" s="17" t="s">
        <v>254</v>
      </c>
      <c r="B25" s="17" t="s">
        <v>249</v>
      </c>
      <c r="C25" s="35">
        <v>109180.07</v>
      </c>
      <c r="D25" s="35">
        <v>101233.25915623552</v>
      </c>
      <c r="E25" s="35">
        <v>1710.48</v>
      </c>
      <c r="F25" s="35">
        <v>102943.73915623552</v>
      </c>
      <c r="G25" s="35">
        <v>98.6</v>
      </c>
      <c r="H25" s="35">
        <v>44.37</v>
      </c>
      <c r="I25" s="35">
        <v>0</v>
      </c>
      <c r="J25" s="35"/>
      <c r="K25" s="35">
        <v>176.26</v>
      </c>
      <c r="L25" s="35">
        <v>103164.36915623551</v>
      </c>
      <c r="M25" s="35">
        <v>103164.36915623551</v>
      </c>
      <c r="N25" s="35">
        <v>21664.517522809456</v>
      </c>
      <c r="O25" s="35">
        <f t="shared" si="8"/>
        <v>21708.887522809455</v>
      </c>
      <c r="S25" s="32"/>
      <c r="V25"/>
    </row>
    <row r="26" spans="1:22" x14ac:dyDescent="0.2">
      <c r="A26" s="17" t="s">
        <v>255</v>
      </c>
      <c r="B26" s="17" t="s">
        <v>251</v>
      </c>
      <c r="C26" s="35">
        <v>2597.2800000000002</v>
      </c>
      <c r="D26" s="35">
        <v>2408.2336578581367</v>
      </c>
      <c r="E26" s="35">
        <v>73.66</v>
      </c>
      <c r="F26" s="35">
        <v>2481.8936578581365</v>
      </c>
      <c r="G26" s="35">
        <v>3.6</v>
      </c>
      <c r="H26" s="35">
        <v>1.62</v>
      </c>
      <c r="I26" s="35">
        <v>81.902490709318513</v>
      </c>
      <c r="J26" s="35"/>
      <c r="K26" s="35">
        <v>4.1900000000000004</v>
      </c>
      <c r="L26" s="35">
        <v>2569.606148567455</v>
      </c>
      <c r="M26" s="35">
        <v>2569.606148567455</v>
      </c>
      <c r="N26" s="35">
        <v>539.61729119916549</v>
      </c>
      <c r="O26" s="35">
        <f t="shared" si="8"/>
        <v>623.139781908484</v>
      </c>
      <c r="S26" s="32"/>
      <c r="V26"/>
    </row>
    <row r="27" spans="1:22" x14ac:dyDescent="0.2">
      <c r="A27" s="17"/>
      <c r="B27" s="72" t="s">
        <v>252</v>
      </c>
      <c r="C27" s="70">
        <f>SUM(C24:C26)</f>
        <v>121756.56</v>
      </c>
      <c r="D27" s="70">
        <f t="shared" ref="D27:M27" si="9">SUM(D24:D26)</f>
        <v>112894.35326842837</v>
      </c>
      <c r="E27" s="70">
        <f t="shared" si="9"/>
        <v>1938.46</v>
      </c>
      <c r="F27" s="70">
        <f t="shared" si="9"/>
        <v>114832.81326842838</v>
      </c>
      <c r="G27" s="70">
        <f t="shared" si="9"/>
        <v>109.19999999999999</v>
      </c>
      <c r="H27" s="70">
        <f t="shared" si="9"/>
        <v>49.139999999999993</v>
      </c>
      <c r="I27" s="70">
        <f t="shared" si="9"/>
        <v>81.902490709318513</v>
      </c>
      <c r="J27" s="70">
        <f t="shared" si="9"/>
        <v>0</v>
      </c>
      <c r="K27" s="70">
        <f t="shared" si="9"/>
        <v>196.56</v>
      </c>
      <c r="L27" s="70">
        <f t="shared" si="9"/>
        <v>115160.41575913769</v>
      </c>
      <c r="M27" s="70">
        <f t="shared" si="9"/>
        <v>115160.41575913769</v>
      </c>
      <c r="N27" s="70">
        <f>SUM(N24:N26)</f>
        <v>24183.687309418914</v>
      </c>
      <c r="O27" s="35">
        <f t="shared" si="8"/>
        <v>24314.729800128232</v>
      </c>
      <c r="S27" s="32"/>
      <c r="V27"/>
    </row>
    <row r="28" spans="1:22" x14ac:dyDescent="0.2">
      <c r="A28" s="17" t="s">
        <v>262</v>
      </c>
      <c r="B28" s="102" t="s">
        <v>263</v>
      </c>
      <c r="C28" s="35">
        <v>9189</v>
      </c>
      <c r="D28" s="35">
        <f>C28/$B$2</f>
        <v>8520.1668984700973</v>
      </c>
      <c r="E28" s="35">
        <v>183.07</v>
      </c>
      <c r="F28" s="35">
        <f>SUM(D28:E28)</f>
        <v>8703.236898470097</v>
      </c>
      <c r="G28" s="35">
        <v>11.1</v>
      </c>
      <c r="H28" s="35">
        <f>G28*0.45</f>
        <v>4.9950000000000001</v>
      </c>
      <c r="I28" s="35">
        <v>0</v>
      </c>
      <c r="J28" s="35"/>
      <c r="K28" s="35">
        <v>17.21</v>
      </c>
      <c r="L28" s="35">
        <f>F28+H28+I28+K28</f>
        <v>8725.4418984700969</v>
      </c>
      <c r="M28" s="35">
        <f>L28</f>
        <v>8725.4418984700969</v>
      </c>
      <c r="N28" s="35">
        <f>M28*0.21</f>
        <v>1832.3427986787203</v>
      </c>
      <c r="O28" s="35">
        <f t="shared" si="8"/>
        <v>1837.3377986787202</v>
      </c>
      <c r="S28" s="32"/>
      <c r="V28"/>
    </row>
    <row r="29" spans="1:22" x14ac:dyDescent="0.2">
      <c r="A29" s="17" t="s">
        <v>265</v>
      </c>
      <c r="B29" s="102" t="s">
        <v>266</v>
      </c>
      <c r="C29" s="35">
        <v>2522.8000000000002</v>
      </c>
      <c r="D29" s="35">
        <f t="shared" ref="D29:D33" si="10">C29/$B$2</f>
        <v>2339.1747797867411</v>
      </c>
      <c r="E29" s="35">
        <v>41.74</v>
      </c>
      <c r="F29" s="35">
        <f t="shared" ref="F29:F30" si="11">SUM(D29:E29)</f>
        <v>2380.9147797867408</v>
      </c>
      <c r="G29" s="35">
        <v>1.9</v>
      </c>
      <c r="H29" s="35">
        <f t="shared" ref="H29:H30" si="12">G29*0.45</f>
        <v>0.85499999999999998</v>
      </c>
      <c r="I29" s="35">
        <f>7160*0.3</f>
        <v>2148</v>
      </c>
      <c r="J29" s="35"/>
      <c r="K29" s="35">
        <v>4.72</v>
      </c>
      <c r="L29" s="35">
        <f t="shared" ref="L29:L30" si="13">F29+H29+I29+K29</f>
        <v>4534.4897797867407</v>
      </c>
      <c r="M29" s="35">
        <f t="shared" ref="M29:M30" si="14">L29</f>
        <v>4534.4897797867407</v>
      </c>
      <c r="N29" s="35">
        <f>M29*0.21</f>
        <v>952.24285375521549</v>
      </c>
      <c r="O29" s="35">
        <f t="shared" si="8"/>
        <v>3101.0978537552155</v>
      </c>
      <c r="S29" s="32"/>
      <c r="V29"/>
    </row>
    <row r="30" spans="1:22" x14ac:dyDescent="0.2">
      <c r="A30" s="17" t="s">
        <v>264</v>
      </c>
      <c r="B30" s="102" t="s">
        <v>267</v>
      </c>
      <c r="C30" s="35">
        <v>2304</v>
      </c>
      <c r="D30" s="35">
        <f t="shared" si="10"/>
        <v>2136.3004172461751</v>
      </c>
      <c r="E30" s="35">
        <v>23.52</v>
      </c>
      <c r="F30" s="35">
        <f t="shared" si="11"/>
        <v>2159.8204172461751</v>
      </c>
      <c r="G30" s="35">
        <v>1.2</v>
      </c>
      <c r="H30" s="35">
        <f t="shared" si="12"/>
        <v>0.54</v>
      </c>
      <c r="I30" s="35">
        <v>0</v>
      </c>
      <c r="J30" s="35"/>
      <c r="K30" s="35">
        <v>4.32</v>
      </c>
      <c r="L30" s="35">
        <f t="shared" si="13"/>
        <v>2164.6804172461752</v>
      </c>
      <c r="M30" s="35">
        <f t="shared" si="14"/>
        <v>2164.6804172461752</v>
      </c>
      <c r="N30" s="35">
        <f>M30*0.21</f>
        <v>454.58288762169678</v>
      </c>
      <c r="O30" s="35">
        <f>N30+H30</f>
        <v>455.1228876216968</v>
      </c>
      <c r="S30" s="32"/>
      <c r="V30"/>
    </row>
    <row r="31" spans="1:22" x14ac:dyDescent="0.2">
      <c r="A31" s="17"/>
      <c r="B31" s="72" t="s">
        <v>252</v>
      </c>
      <c r="C31" s="103">
        <f>SUM(C28:C30)</f>
        <v>14015.8</v>
      </c>
      <c r="D31" s="103">
        <f t="shared" ref="D31:O31" si="15">SUM(D28:D30)</f>
        <v>12995.642095503013</v>
      </c>
      <c r="E31" s="103">
        <f t="shared" si="15"/>
        <v>248.33</v>
      </c>
      <c r="F31" s="103">
        <f t="shared" si="15"/>
        <v>13243.972095503013</v>
      </c>
      <c r="G31" s="103">
        <f t="shared" si="15"/>
        <v>14.2</v>
      </c>
      <c r="H31" s="103">
        <f t="shared" si="15"/>
        <v>6.39</v>
      </c>
      <c r="I31" s="103">
        <f t="shared" si="15"/>
        <v>2148</v>
      </c>
      <c r="J31" s="103">
        <f t="shared" si="15"/>
        <v>0</v>
      </c>
      <c r="K31" s="103">
        <f t="shared" si="15"/>
        <v>26.25</v>
      </c>
      <c r="L31" s="103">
        <f t="shared" si="15"/>
        <v>15424.612095503013</v>
      </c>
      <c r="M31" s="103">
        <f t="shared" si="15"/>
        <v>15424.612095503013</v>
      </c>
      <c r="N31" s="103">
        <f t="shared" si="15"/>
        <v>3239.168540055633</v>
      </c>
      <c r="O31" s="103">
        <f t="shared" si="15"/>
        <v>5393.558540055632</v>
      </c>
      <c r="S31" s="32"/>
      <c r="V31"/>
    </row>
    <row r="32" spans="1:22" x14ac:dyDescent="0.2">
      <c r="A32" s="17"/>
      <c r="B32" s="104" t="s">
        <v>160</v>
      </c>
      <c r="C32" s="105">
        <f t="shared" ref="C32:D32" si="16">SUM(C27,C31)</f>
        <v>135772.35999999999</v>
      </c>
      <c r="D32" s="105">
        <f t="shared" si="16"/>
        <v>125889.99536393139</v>
      </c>
      <c r="E32" s="105">
        <f>SUM(E27,E31)</f>
        <v>2186.79</v>
      </c>
      <c r="F32" s="105">
        <f t="shared" ref="F32:O32" si="17">SUM(F27,F31)</f>
        <v>128076.78536393138</v>
      </c>
      <c r="G32" s="105">
        <f t="shared" si="17"/>
        <v>123.39999999999999</v>
      </c>
      <c r="H32" s="105">
        <f t="shared" si="17"/>
        <v>55.529999999999994</v>
      </c>
      <c r="I32" s="105">
        <f t="shared" si="17"/>
        <v>2229.9024907093185</v>
      </c>
      <c r="J32" s="105">
        <f t="shared" si="17"/>
        <v>0</v>
      </c>
      <c r="K32" s="105">
        <f t="shared" si="17"/>
        <v>222.81</v>
      </c>
      <c r="L32" s="105">
        <f t="shared" si="17"/>
        <v>130585.02785464071</v>
      </c>
      <c r="M32" s="105">
        <f t="shared" si="17"/>
        <v>130585.02785464071</v>
      </c>
      <c r="N32" s="105">
        <f t="shared" si="17"/>
        <v>27422.855849474548</v>
      </c>
      <c r="O32" s="105">
        <f t="shared" si="17"/>
        <v>29708.288340183863</v>
      </c>
      <c r="S32" s="32"/>
      <c r="V32"/>
    </row>
    <row r="33" spans="4:4" x14ac:dyDescent="0.2">
      <c r="D33" s="32">
        <f t="shared" si="10"/>
        <v>0</v>
      </c>
    </row>
  </sheetData>
  <mergeCells count="1">
    <mergeCell ref="Q5:Q19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39" orientation="landscape" horizontalDpi="0" verticalDpi="0" r:id="rId1"/>
  <ignoredErrors>
    <ignoredError sqref="B24:B26 B28:B30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A8447-9CD4-4CFA-B966-6D834DC0A24F}">
  <dimension ref="A1:H2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" sqref="A8"/>
    </sheetView>
  </sheetViews>
  <sheetFormatPr defaultRowHeight="14.25" x14ac:dyDescent="0.2"/>
  <cols>
    <col min="1" max="1" width="13.125" bestFit="1" customWidth="1"/>
    <col min="2" max="2" width="22.125" customWidth="1"/>
    <col min="3" max="3" width="21.125" bestFit="1" customWidth="1"/>
    <col min="4" max="4" width="29.125" customWidth="1"/>
    <col min="5" max="5" width="10.5" bestFit="1" customWidth="1"/>
    <col min="6" max="6" width="18.75" customWidth="1"/>
    <col min="7" max="7" width="16.625" customWidth="1"/>
    <col min="8" max="8" width="21.125" customWidth="1"/>
  </cols>
  <sheetData>
    <row r="1" spans="1:8" x14ac:dyDescent="0.2">
      <c r="A1" s="28" t="s">
        <v>113</v>
      </c>
      <c r="B1" s="36" t="s">
        <v>175</v>
      </c>
      <c r="C1" s="28" t="s">
        <v>191</v>
      </c>
      <c r="D1" s="29" t="s">
        <v>186</v>
      </c>
      <c r="E1" s="28" t="s">
        <v>192</v>
      </c>
      <c r="F1" s="28" t="s">
        <v>193</v>
      </c>
      <c r="G1" s="28" t="s">
        <v>194</v>
      </c>
    </row>
    <row r="2" spans="1:8" x14ac:dyDescent="0.2">
      <c r="A2" s="17" t="s">
        <v>115</v>
      </c>
      <c r="B2" s="17" t="s">
        <v>180</v>
      </c>
      <c r="C2" s="17" t="s">
        <v>195</v>
      </c>
      <c r="D2" s="23"/>
      <c r="E2" s="17" t="s">
        <v>125</v>
      </c>
      <c r="F2" s="17">
        <v>67856.259999999995</v>
      </c>
      <c r="G2" s="26">
        <v>20000</v>
      </c>
    </row>
    <row r="3" spans="1:8" x14ac:dyDescent="0.2">
      <c r="A3" s="17" t="s">
        <v>118</v>
      </c>
      <c r="B3" s="17" t="s">
        <v>180</v>
      </c>
      <c r="C3" s="17" t="s">
        <v>135</v>
      </c>
      <c r="D3" s="23"/>
      <c r="E3" s="17" t="s">
        <v>127</v>
      </c>
      <c r="F3" s="17">
        <v>0</v>
      </c>
      <c r="G3" s="26">
        <v>67946.8</v>
      </c>
    </row>
    <row r="4" spans="1:8" x14ac:dyDescent="0.2">
      <c r="A4" s="17" t="s">
        <v>119</v>
      </c>
      <c r="B4" s="38" t="s">
        <v>184</v>
      </c>
      <c r="C4" s="17" t="s">
        <v>139</v>
      </c>
      <c r="D4" s="3"/>
      <c r="E4" s="17" t="s">
        <v>129</v>
      </c>
      <c r="F4" s="17">
        <v>0</v>
      </c>
      <c r="G4" s="26">
        <v>108198.42</v>
      </c>
    </row>
    <row r="5" spans="1:8" x14ac:dyDescent="0.2">
      <c r="A5" s="17" t="s">
        <v>120</v>
      </c>
      <c r="B5" s="17" t="s">
        <v>180</v>
      </c>
      <c r="C5" s="17" t="s">
        <v>130</v>
      </c>
      <c r="D5" s="3"/>
      <c r="E5" s="17" t="s">
        <v>131</v>
      </c>
      <c r="F5" s="17">
        <v>52640.480000000003</v>
      </c>
      <c r="G5" s="26">
        <v>52640.480000000003</v>
      </c>
    </row>
    <row r="6" spans="1:8" x14ac:dyDescent="0.2">
      <c r="A6" s="17"/>
      <c r="B6" s="17"/>
      <c r="C6" s="17"/>
      <c r="D6" s="3"/>
      <c r="E6" s="17"/>
      <c r="F6" s="17"/>
      <c r="G6" s="26"/>
    </row>
    <row r="7" spans="1:8" ht="28.5" x14ac:dyDescent="0.2">
      <c r="A7" t="s">
        <v>278</v>
      </c>
      <c r="B7" s="17" t="s">
        <v>180</v>
      </c>
      <c r="C7" t="s">
        <v>237</v>
      </c>
      <c r="E7" s="3" t="s">
        <v>229</v>
      </c>
      <c r="F7" s="17">
        <v>0</v>
      </c>
      <c r="G7" s="4">
        <v>14015.8</v>
      </c>
    </row>
    <row r="8" spans="1:8" ht="28.5" x14ac:dyDescent="0.2">
      <c r="A8" t="s">
        <v>271</v>
      </c>
      <c r="B8" s="17" t="s">
        <v>180</v>
      </c>
      <c r="C8" t="s">
        <v>276</v>
      </c>
      <c r="D8" s="31">
        <v>45027</v>
      </c>
      <c r="E8" s="3" t="s">
        <v>275</v>
      </c>
      <c r="F8" s="17">
        <v>0</v>
      </c>
      <c r="G8" s="4">
        <v>43928.04</v>
      </c>
    </row>
    <row r="9" spans="1:8" x14ac:dyDescent="0.2">
      <c r="A9" s="3"/>
      <c r="B9" s="58"/>
      <c r="C9" s="3"/>
      <c r="D9" s="4"/>
      <c r="E9" s="3"/>
      <c r="F9" s="17">
        <v>0</v>
      </c>
    </row>
    <row r="13" spans="1:8" x14ac:dyDescent="0.2">
      <c r="A13" t="s">
        <v>208</v>
      </c>
    </row>
    <row r="14" spans="1:8" x14ac:dyDescent="0.2">
      <c r="A14" s="40" t="s">
        <v>197</v>
      </c>
      <c r="B14" s="40" t="s">
        <v>6</v>
      </c>
      <c r="C14" s="40" t="s">
        <v>198</v>
      </c>
      <c r="D14" s="40" t="s">
        <v>199</v>
      </c>
      <c r="E14" s="40" t="s">
        <v>26</v>
      </c>
      <c r="F14" s="41" t="s">
        <v>200</v>
      </c>
      <c r="G14" s="42"/>
      <c r="H14" s="43" t="s">
        <v>201</v>
      </c>
    </row>
    <row r="15" spans="1:8" x14ac:dyDescent="0.2">
      <c r="A15" s="44">
        <v>45026</v>
      </c>
      <c r="B15" s="45" t="s">
        <v>202</v>
      </c>
      <c r="C15" s="40" t="s">
        <v>203</v>
      </c>
      <c r="D15" s="41">
        <f>17000*1.076489</f>
        <v>18300.313000000002</v>
      </c>
      <c r="E15" s="40">
        <v>1.076489</v>
      </c>
      <c r="F15" s="41">
        <v>17000</v>
      </c>
      <c r="G15" s="42" t="s">
        <v>204</v>
      </c>
      <c r="H15" s="43"/>
    </row>
    <row r="16" spans="1:8" x14ac:dyDescent="0.2">
      <c r="A16" s="44">
        <v>45026</v>
      </c>
      <c r="B16" s="45" t="s">
        <v>202</v>
      </c>
      <c r="C16" s="40" t="s">
        <v>203</v>
      </c>
      <c r="D16" s="41">
        <f>18166.42*1.076489</f>
        <v>19555.951299379998</v>
      </c>
      <c r="E16" s="40">
        <v>1.076489</v>
      </c>
      <c r="F16" s="41">
        <v>18166.419999999998</v>
      </c>
      <c r="G16" s="42" t="s">
        <v>205</v>
      </c>
      <c r="H16" s="43">
        <v>15</v>
      </c>
    </row>
    <row r="17" spans="1:8" x14ac:dyDescent="0.2">
      <c r="A17" s="44">
        <v>45057</v>
      </c>
      <c r="B17" s="45" t="s">
        <v>202</v>
      </c>
      <c r="C17" s="40" t="s">
        <v>206</v>
      </c>
      <c r="D17" s="46">
        <f>F17*1.0902</f>
        <v>20296.133478</v>
      </c>
      <c r="E17" s="40">
        <v>1.0902000000000001</v>
      </c>
      <c r="F17" s="41">
        <v>18616.89</v>
      </c>
      <c r="G17" s="42" t="s">
        <v>205</v>
      </c>
      <c r="H17" s="43"/>
    </row>
    <row r="18" spans="1:8" x14ac:dyDescent="0.2">
      <c r="A18" s="44">
        <v>45057</v>
      </c>
      <c r="B18" s="45" t="s">
        <v>202</v>
      </c>
      <c r="C18" s="40" t="s">
        <v>206</v>
      </c>
      <c r="D18" s="46">
        <f t="shared" ref="D18:D19" si="0">F18*1.0902</f>
        <v>9702.7800000000007</v>
      </c>
      <c r="E18" s="40">
        <v>1.0902000000000001</v>
      </c>
      <c r="F18" s="41">
        <v>8900</v>
      </c>
      <c r="G18" s="42" t="s">
        <v>207</v>
      </c>
      <c r="H18" s="43"/>
    </row>
    <row r="19" spans="1:8" x14ac:dyDescent="0.2">
      <c r="A19" s="44">
        <v>45054</v>
      </c>
      <c r="B19" s="45" t="s">
        <v>202</v>
      </c>
      <c r="C19" s="40" t="s">
        <v>206</v>
      </c>
      <c r="D19" s="46">
        <f t="shared" si="0"/>
        <v>1.0902000000000001</v>
      </c>
      <c r="E19" s="40">
        <v>1.0902000000000001</v>
      </c>
      <c r="F19" s="41">
        <v>1</v>
      </c>
      <c r="G19" s="42" t="s">
        <v>207</v>
      </c>
      <c r="H19" s="43"/>
    </row>
    <row r="20" spans="1:8" x14ac:dyDescent="0.2">
      <c r="A20" s="40"/>
      <c r="B20" s="40"/>
      <c r="C20" s="40"/>
      <c r="D20" s="40"/>
      <c r="E20" s="40"/>
      <c r="F20" s="41"/>
      <c r="G20" s="42"/>
      <c r="H20" s="43"/>
    </row>
    <row r="21" spans="1:8" x14ac:dyDescent="0.2">
      <c r="A21" s="44">
        <v>45064</v>
      </c>
      <c r="B21" s="40" t="s">
        <v>131</v>
      </c>
      <c r="C21" s="40" t="s">
        <v>206</v>
      </c>
      <c r="D21" s="46">
        <f>F21*E21</f>
        <v>10563.379999999919</v>
      </c>
      <c r="E21" s="40">
        <v>1.0789</v>
      </c>
      <c r="F21" s="69">
        <f>48790.8795995921-39000</f>
        <v>9790.8795995921027</v>
      </c>
      <c r="G21" s="42" t="s">
        <v>207</v>
      </c>
      <c r="H21" s="43"/>
    </row>
    <row r="22" spans="1:8" x14ac:dyDescent="0.2">
      <c r="A22" s="44">
        <v>45064</v>
      </c>
      <c r="B22" s="40" t="s">
        <v>131</v>
      </c>
      <c r="C22" s="40" t="s">
        <v>206</v>
      </c>
      <c r="D22" s="46">
        <f>F22*E22</f>
        <v>42077.1</v>
      </c>
      <c r="E22" s="40">
        <v>1.0789</v>
      </c>
      <c r="F22" s="41">
        <v>39000</v>
      </c>
      <c r="G22" s="42" t="s">
        <v>205</v>
      </c>
      <c r="H22" s="43"/>
    </row>
    <row r="23" spans="1:8" x14ac:dyDescent="0.2">
      <c r="A23" s="40"/>
      <c r="B23" s="40"/>
      <c r="C23" s="40"/>
      <c r="D23" s="40"/>
      <c r="E23" s="40"/>
      <c r="F23" s="41"/>
      <c r="G23" s="42"/>
      <c r="H23" s="43"/>
    </row>
    <row r="24" spans="1:8" x14ac:dyDescent="0.2">
      <c r="A24" s="40"/>
      <c r="B24" s="40"/>
      <c r="C24" s="40"/>
      <c r="D24" s="40"/>
      <c r="E24" s="40"/>
      <c r="F24" s="41"/>
      <c r="G24" s="42"/>
      <c r="H24" s="43"/>
    </row>
    <row r="25" spans="1:8" x14ac:dyDescent="0.2">
      <c r="A25" s="40"/>
      <c r="B25" s="40"/>
      <c r="C25" s="40"/>
      <c r="D25" s="40"/>
      <c r="E25" s="40"/>
      <c r="F25" s="41"/>
      <c r="G25" s="42"/>
      <c r="H25" s="43"/>
    </row>
    <row r="26" spans="1:8" x14ac:dyDescent="0.2">
      <c r="A26" s="40"/>
      <c r="B26" s="40"/>
      <c r="C26" s="40"/>
      <c r="D26" s="40"/>
      <c r="E26" s="40"/>
      <c r="F26" s="41"/>
      <c r="G26" s="42"/>
      <c r="H26" s="43"/>
    </row>
    <row r="27" spans="1:8" x14ac:dyDescent="0.2">
      <c r="A27" s="40"/>
      <c r="B27" s="40"/>
      <c r="C27" s="40"/>
      <c r="D27" s="40"/>
      <c r="E27" s="40"/>
      <c r="F27" s="41"/>
      <c r="G27" s="42"/>
      <c r="H27" s="43"/>
    </row>
    <row r="28" spans="1:8" x14ac:dyDescent="0.2">
      <c r="A28" s="40"/>
      <c r="B28" s="40"/>
      <c r="C28" s="40"/>
      <c r="D28" s="40"/>
      <c r="E28" s="40"/>
      <c r="F28" s="41"/>
      <c r="G28" s="42"/>
      <c r="H28" s="43"/>
    </row>
  </sheetData>
  <autoFilter ref="A1:H6" xr:uid="{EBEA8447-9CD4-4CFA-B966-6D834DC0A24F}"/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73083-13E5-4BD0-AB99-49B274654671}">
  <dimension ref="A1:I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9" sqref="A9"/>
    </sheetView>
  </sheetViews>
  <sheetFormatPr defaultRowHeight="14.25" x14ac:dyDescent="0.2"/>
  <cols>
    <col min="1" max="1" width="13.125" bestFit="1" customWidth="1"/>
    <col min="2" max="2" width="11.875" bestFit="1" customWidth="1"/>
    <col min="3" max="3" width="21.125" bestFit="1" customWidth="1"/>
    <col min="4" max="5" width="12.5" customWidth="1"/>
    <col min="6" max="7" width="18.75" customWidth="1"/>
    <col min="8" max="8" width="16.625" customWidth="1"/>
    <col min="9" max="9" width="21.125" customWidth="1"/>
    <col min="11" max="11" width="10.375" bestFit="1" customWidth="1"/>
  </cols>
  <sheetData>
    <row r="1" spans="1:9" x14ac:dyDescent="0.2">
      <c r="A1" s="28" t="s">
        <v>113</v>
      </c>
      <c r="B1" s="36" t="s">
        <v>175</v>
      </c>
      <c r="C1" s="28" t="s">
        <v>191</v>
      </c>
      <c r="D1" s="29" t="s">
        <v>188</v>
      </c>
      <c r="E1" s="29" t="s">
        <v>186</v>
      </c>
      <c r="F1" s="28" t="s">
        <v>192</v>
      </c>
      <c r="G1" s="36" t="s">
        <v>220</v>
      </c>
      <c r="H1" s="28" t="s">
        <v>193</v>
      </c>
      <c r="I1" s="28" t="s">
        <v>194</v>
      </c>
    </row>
    <row r="2" spans="1:9" ht="15" thickBot="1" x14ac:dyDescent="0.25">
      <c r="A2" s="17" t="s">
        <v>114</v>
      </c>
      <c r="B2" s="17" t="s">
        <v>181</v>
      </c>
      <c r="C2" s="17" t="s">
        <v>108</v>
      </c>
      <c r="D2" s="17" t="s">
        <v>117</v>
      </c>
      <c r="E2" s="17"/>
      <c r="F2" s="17" t="s">
        <v>124</v>
      </c>
      <c r="G2" s="35">
        <v>302</v>
      </c>
      <c r="H2" s="17">
        <v>302</v>
      </c>
      <c r="I2" s="26">
        <v>0</v>
      </c>
    </row>
    <row r="3" spans="1:9" x14ac:dyDescent="0.2">
      <c r="A3" s="17" t="s">
        <v>115</v>
      </c>
      <c r="B3" s="17" t="s">
        <v>180</v>
      </c>
      <c r="C3" s="17" t="s">
        <v>196</v>
      </c>
      <c r="D3" s="17" t="s">
        <v>117</v>
      </c>
      <c r="E3" s="48">
        <v>44771</v>
      </c>
      <c r="F3" s="17" t="s">
        <v>126</v>
      </c>
      <c r="G3" s="35">
        <v>96309.36</v>
      </c>
      <c r="H3" s="17">
        <v>96309.36</v>
      </c>
      <c r="I3" s="26">
        <v>0</v>
      </c>
    </row>
    <row r="4" spans="1:9" ht="57" x14ac:dyDescent="0.2">
      <c r="A4" s="17" t="s">
        <v>118</v>
      </c>
      <c r="B4" s="17" t="s">
        <v>180</v>
      </c>
      <c r="C4" s="17" t="s">
        <v>133</v>
      </c>
      <c r="D4" s="23" t="s">
        <v>117</v>
      </c>
      <c r="E4" s="23" t="s">
        <v>218</v>
      </c>
      <c r="F4" s="17" t="s">
        <v>128</v>
      </c>
      <c r="G4" s="35">
        <v>17227.400000000001</v>
      </c>
      <c r="H4" s="17">
        <v>17227.400000000001</v>
      </c>
      <c r="I4" s="26">
        <v>0</v>
      </c>
    </row>
    <row r="5" spans="1:9" x14ac:dyDescent="0.2">
      <c r="G5">
        <f>SUM(G2:G4)</f>
        <v>113838.76000000001</v>
      </c>
      <c r="H5">
        <f>SUM(H2:H4)</f>
        <v>113838.76000000001</v>
      </c>
    </row>
    <row r="8" spans="1:9" x14ac:dyDescent="0.2">
      <c r="A8" t="s">
        <v>222</v>
      </c>
    </row>
    <row r="9" spans="1:9" x14ac:dyDescent="0.2">
      <c r="A9" s="47" t="s">
        <v>209</v>
      </c>
      <c r="B9" s="40" t="s">
        <v>210</v>
      </c>
      <c r="C9" s="40" t="s">
        <v>219</v>
      </c>
      <c r="D9" s="40" t="s">
        <v>211</v>
      </c>
      <c r="E9" s="41" t="s">
        <v>212</v>
      </c>
      <c r="F9" s="40" t="s">
        <v>221</v>
      </c>
    </row>
    <row r="10" spans="1:9" x14ac:dyDescent="0.2">
      <c r="A10" s="50">
        <v>44908</v>
      </c>
      <c r="B10" s="40" t="s">
        <v>213</v>
      </c>
      <c r="C10" s="40" t="s">
        <v>126</v>
      </c>
      <c r="D10" s="46">
        <v>15443.46</v>
      </c>
      <c r="E10" s="41">
        <v>15428.46</v>
      </c>
      <c r="F10" s="41">
        <v>16309.360266467998</v>
      </c>
    </row>
    <row r="11" spans="1:9" x14ac:dyDescent="0.2">
      <c r="A11" s="51">
        <v>44910</v>
      </c>
      <c r="B11" s="52" t="s">
        <v>213</v>
      </c>
      <c r="C11" s="52" t="s">
        <v>126</v>
      </c>
      <c r="D11" s="53">
        <v>15447.84</v>
      </c>
      <c r="E11" s="134">
        <v>28432.84</v>
      </c>
      <c r="F11" s="41">
        <v>30000</v>
      </c>
    </row>
    <row r="12" spans="1:9" x14ac:dyDescent="0.2">
      <c r="A12" s="51">
        <v>44910</v>
      </c>
      <c r="B12" s="52" t="s">
        <v>214</v>
      </c>
      <c r="C12" s="52" t="s">
        <v>126</v>
      </c>
      <c r="D12" s="49">
        <v>13000</v>
      </c>
      <c r="E12" s="134"/>
      <c r="F12" s="41"/>
    </row>
    <row r="13" spans="1:9" x14ac:dyDescent="0.2">
      <c r="A13" s="50">
        <v>44914</v>
      </c>
      <c r="B13" s="40" t="s">
        <v>213</v>
      </c>
      <c r="C13" s="40" t="s">
        <v>126</v>
      </c>
      <c r="D13" s="46">
        <v>12023.15</v>
      </c>
      <c r="E13" s="135">
        <v>19008.150000000001</v>
      </c>
      <c r="F13" s="41">
        <v>20000</v>
      </c>
    </row>
    <row r="14" spans="1:9" x14ac:dyDescent="0.2">
      <c r="A14" s="50">
        <v>44914</v>
      </c>
      <c r="B14" s="40" t="s">
        <v>214</v>
      </c>
      <c r="C14" s="40" t="s">
        <v>126</v>
      </c>
      <c r="D14" s="41">
        <v>7000.0000000000018</v>
      </c>
      <c r="E14" s="135"/>
      <c r="F14" s="41"/>
    </row>
    <row r="15" spans="1:9" x14ac:dyDescent="0.2">
      <c r="A15" s="50">
        <v>44986</v>
      </c>
      <c r="B15" s="40" t="s">
        <v>215</v>
      </c>
      <c r="C15" s="40" t="s">
        <v>126</v>
      </c>
      <c r="D15" s="43">
        <v>12600</v>
      </c>
      <c r="E15" s="54">
        <v>28301.41</v>
      </c>
      <c r="F15" s="54">
        <v>30000</v>
      </c>
    </row>
    <row r="16" spans="1:9" x14ac:dyDescent="0.2">
      <c r="A16" s="50">
        <v>44986</v>
      </c>
      <c r="B16" s="40" t="s">
        <v>216</v>
      </c>
      <c r="C16" s="40" t="s">
        <v>126</v>
      </c>
      <c r="D16" s="43">
        <v>2716.41</v>
      </c>
      <c r="E16" s="17"/>
      <c r="F16" s="54"/>
    </row>
    <row r="17" spans="1:6" x14ac:dyDescent="0.2">
      <c r="A17" s="50">
        <v>44986</v>
      </c>
      <c r="B17" s="40" t="s">
        <v>217</v>
      </c>
      <c r="C17" s="40" t="s">
        <v>126</v>
      </c>
      <c r="D17" s="43">
        <v>13000</v>
      </c>
      <c r="E17" s="17"/>
      <c r="F17" s="54"/>
    </row>
    <row r="18" spans="1:6" x14ac:dyDescent="0.2">
      <c r="A18" s="50">
        <v>44993</v>
      </c>
      <c r="B18" s="40" t="s">
        <v>215</v>
      </c>
      <c r="C18" s="17" t="s">
        <v>128</v>
      </c>
      <c r="D18" s="17">
        <v>13000</v>
      </c>
      <c r="E18" s="55">
        <v>16753.61</v>
      </c>
      <c r="F18" s="55">
        <v>17529.400000000001</v>
      </c>
    </row>
    <row r="19" spans="1:6" x14ac:dyDescent="0.2">
      <c r="A19" s="50">
        <v>44993</v>
      </c>
      <c r="B19" s="40" t="s">
        <v>217</v>
      </c>
      <c r="C19" s="17" t="s">
        <v>128</v>
      </c>
      <c r="D19" s="17">
        <v>3768.6100000000006</v>
      </c>
      <c r="E19" s="55"/>
      <c r="F19" s="55"/>
    </row>
    <row r="20" spans="1:6" x14ac:dyDescent="0.2">
      <c r="A20" s="50">
        <v>44993</v>
      </c>
      <c r="B20" s="17"/>
      <c r="C20" s="17" t="s">
        <v>124</v>
      </c>
      <c r="D20" s="35"/>
      <c r="E20" s="17"/>
      <c r="F20" s="17"/>
    </row>
    <row r="21" spans="1:6" x14ac:dyDescent="0.2">
      <c r="D21" s="20">
        <f t="shared" ref="D21:E21" si="0">SUM(D10:D20)</f>
        <v>107999.47000000002</v>
      </c>
      <c r="E21" s="20">
        <f t="shared" si="0"/>
        <v>107924.47</v>
      </c>
      <c r="F21" s="20">
        <f>SUM(F10:F20)</f>
        <v>113838.76026646799</v>
      </c>
    </row>
  </sheetData>
  <autoFilter ref="A1:I4" xr:uid="{EBEA8447-9CD4-4CFA-B966-6D834DC0A24F}"/>
  <mergeCells count="2">
    <mergeCell ref="E11:E12"/>
    <mergeCell ref="E13:E14"/>
  </mergeCells>
  <phoneticPr fontId="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55CD-81AB-47AA-85C2-6ECA7A3C57AB}">
  <sheetPr>
    <pageSetUpPr fitToPage="1"/>
  </sheetPr>
  <dimension ref="A1:L20"/>
  <sheetViews>
    <sheetView workbookViewId="0">
      <selection activeCell="D6" sqref="D6"/>
    </sheetView>
  </sheetViews>
  <sheetFormatPr defaultRowHeight="14.25" x14ac:dyDescent="0.2"/>
  <cols>
    <col min="1" max="1" width="21.375" customWidth="1"/>
    <col min="2" max="2" width="23.5" customWidth="1"/>
    <col min="3" max="3" width="22.625" customWidth="1"/>
    <col min="4" max="4" width="11.625" customWidth="1"/>
    <col min="5" max="5" width="6.875" bestFit="1" customWidth="1"/>
    <col min="6" max="6" width="9.25" bestFit="1" customWidth="1"/>
    <col min="7" max="7" width="13" bestFit="1" customWidth="1"/>
    <col min="8" max="8" width="18.375" customWidth="1"/>
    <col min="9" max="9" width="10.25" bestFit="1" customWidth="1"/>
    <col min="11" max="11" width="10.25" bestFit="1" customWidth="1"/>
    <col min="12" max="12" width="14.875" customWidth="1"/>
  </cols>
  <sheetData>
    <row r="1" spans="1:12" ht="42.75" x14ac:dyDescent="0.2">
      <c r="A1" s="1" t="s">
        <v>83</v>
      </c>
      <c r="B1" s="13">
        <v>44883</v>
      </c>
      <c r="C1" s="1" t="s">
        <v>84</v>
      </c>
    </row>
    <row r="3" spans="1:12" ht="28.5" x14ac:dyDescent="0.2">
      <c r="A3" s="1" t="s">
        <v>61</v>
      </c>
      <c r="B3" s="1" t="s">
        <v>62</v>
      </c>
      <c r="C3" s="2" t="s">
        <v>35</v>
      </c>
      <c r="D3" s="1" t="s">
        <v>36</v>
      </c>
      <c r="E3" s="1"/>
      <c r="F3" s="1" t="s">
        <v>35</v>
      </c>
      <c r="G3" s="1" t="s">
        <v>63</v>
      </c>
      <c r="H3" s="1" t="s">
        <v>100</v>
      </c>
      <c r="I3" s="1" t="s">
        <v>101</v>
      </c>
      <c r="J3" s="1"/>
      <c r="K3" s="1"/>
      <c r="L3" s="1" t="s">
        <v>72</v>
      </c>
    </row>
    <row r="4" spans="1:12" x14ac:dyDescent="0.2">
      <c r="A4" s="3" t="s">
        <v>0</v>
      </c>
      <c r="B4" s="3" t="s">
        <v>6</v>
      </c>
      <c r="C4" s="4" t="s">
        <v>3</v>
      </c>
      <c r="D4" s="3" t="s">
        <v>7</v>
      </c>
      <c r="E4" s="3"/>
      <c r="F4" s="3" t="s">
        <v>3</v>
      </c>
      <c r="G4" s="3" t="s">
        <v>21</v>
      </c>
      <c r="H4" s="3"/>
      <c r="I4" s="3" t="s">
        <v>65</v>
      </c>
      <c r="J4" s="3" t="s">
        <v>19</v>
      </c>
      <c r="K4" s="3" t="s">
        <v>35</v>
      </c>
      <c r="L4" s="1" t="s">
        <v>54</v>
      </c>
    </row>
    <row r="5" spans="1:12" ht="57" x14ac:dyDescent="0.2">
      <c r="A5" s="3" t="s">
        <v>1</v>
      </c>
      <c r="B5" s="3" t="s">
        <v>94</v>
      </c>
      <c r="C5" s="4">
        <v>52640.480000000003</v>
      </c>
      <c r="D5" s="3" t="s">
        <v>96</v>
      </c>
      <c r="E5" s="3" t="s">
        <v>98</v>
      </c>
      <c r="F5" s="23">
        <v>5600</v>
      </c>
      <c r="G5" s="136" t="s">
        <v>22</v>
      </c>
      <c r="H5" s="3" t="s">
        <v>85</v>
      </c>
      <c r="I5" s="22">
        <v>360</v>
      </c>
      <c r="J5" s="4">
        <f>I5*0.21</f>
        <v>75.599999999999994</v>
      </c>
      <c r="K5" s="4">
        <f>I5+J5</f>
        <v>435.6</v>
      </c>
      <c r="L5" s="132" t="s">
        <v>102</v>
      </c>
    </row>
    <row r="6" spans="1:12" x14ac:dyDescent="0.2">
      <c r="A6" s="3"/>
      <c r="B6" s="3">
        <v>0.9778</v>
      </c>
      <c r="C6" s="18">
        <f>C5/B6</f>
        <v>53835.631008386175</v>
      </c>
      <c r="D6" s="3"/>
      <c r="E6" s="3">
        <f>B6</f>
        <v>0.9778</v>
      </c>
      <c r="F6" s="4">
        <v>5727.14</v>
      </c>
      <c r="G6" s="137"/>
      <c r="H6" s="3" t="s">
        <v>47</v>
      </c>
      <c r="I6" s="22">
        <v>40</v>
      </c>
      <c r="J6" s="4">
        <f t="shared" ref="J6:J15" si="0">I6*0.21</f>
        <v>8.4</v>
      </c>
      <c r="K6" s="4">
        <f t="shared" ref="K6:K15" si="1">I6+J6</f>
        <v>48.4</v>
      </c>
      <c r="L6" s="132"/>
    </row>
    <row r="7" spans="1:12" ht="28.5" x14ac:dyDescent="0.2">
      <c r="A7" s="3" t="s">
        <v>95</v>
      </c>
      <c r="B7" s="3" t="s">
        <v>97</v>
      </c>
      <c r="C7" s="10">
        <f>F6+161.51</f>
        <v>5888.6500000000005</v>
      </c>
      <c r="D7" s="3"/>
      <c r="E7" s="3"/>
      <c r="G7" s="137"/>
      <c r="H7" s="3" t="s">
        <v>92</v>
      </c>
      <c r="I7" s="22">
        <v>417.08</v>
      </c>
      <c r="J7" s="4">
        <f t="shared" si="0"/>
        <v>87.586799999999997</v>
      </c>
      <c r="K7" s="4">
        <f t="shared" si="1"/>
        <v>504.66679999999997</v>
      </c>
      <c r="L7" s="132"/>
    </row>
    <row r="8" spans="1:12" x14ac:dyDescent="0.2">
      <c r="A8" s="3"/>
      <c r="B8" s="3">
        <v>8544429090</v>
      </c>
      <c r="C8" s="3"/>
      <c r="D8" s="3"/>
      <c r="E8" s="3"/>
      <c r="F8" s="3"/>
      <c r="G8" s="137"/>
      <c r="H8" s="3" t="s">
        <v>67</v>
      </c>
      <c r="I8" s="10">
        <v>24.64</v>
      </c>
      <c r="J8" s="4"/>
      <c r="K8" s="4">
        <f t="shared" si="1"/>
        <v>24.64</v>
      </c>
      <c r="L8" s="132"/>
    </row>
    <row r="9" spans="1:12" x14ac:dyDescent="0.2">
      <c r="A9" s="3" t="s">
        <v>103</v>
      </c>
      <c r="B9" s="3" t="s">
        <v>78</v>
      </c>
      <c r="C9" s="3"/>
      <c r="D9" s="3"/>
      <c r="E9" s="3"/>
      <c r="F9" s="3"/>
      <c r="G9" s="137"/>
      <c r="H9" s="6" t="s">
        <v>86</v>
      </c>
      <c r="I9" s="25">
        <v>140</v>
      </c>
      <c r="J9" s="4">
        <f t="shared" si="0"/>
        <v>29.4</v>
      </c>
      <c r="K9" s="4">
        <f t="shared" si="1"/>
        <v>169.4</v>
      </c>
      <c r="L9" s="132"/>
    </row>
    <row r="10" spans="1:12" x14ac:dyDescent="0.2">
      <c r="A10" s="3" t="s">
        <v>13</v>
      </c>
      <c r="B10" s="4">
        <f>C6</f>
        <v>53835.631008386175</v>
      </c>
      <c r="C10" s="4"/>
      <c r="D10" s="18"/>
      <c r="E10" s="4"/>
      <c r="F10" s="4"/>
      <c r="G10" s="137"/>
      <c r="H10" s="3" t="s">
        <v>87</v>
      </c>
      <c r="I10" s="22">
        <v>30</v>
      </c>
      <c r="J10" s="4">
        <f t="shared" si="0"/>
        <v>6.3</v>
      </c>
      <c r="K10" s="4">
        <f t="shared" si="1"/>
        <v>36.299999999999997</v>
      </c>
      <c r="L10" s="132"/>
    </row>
    <row r="11" spans="1:12" ht="28.5" customHeight="1" x14ac:dyDescent="0.2">
      <c r="A11" s="3" t="s">
        <v>14</v>
      </c>
      <c r="B11" s="4">
        <f>C7</f>
        <v>5888.6500000000005</v>
      </c>
      <c r="C11" s="4"/>
      <c r="D11" s="22"/>
      <c r="E11" s="4"/>
      <c r="F11" s="4"/>
      <c r="G11" s="137"/>
      <c r="H11" s="3" t="s">
        <v>88</v>
      </c>
      <c r="I11" s="22">
        <v>150</v>
      </c>
      <c r="J11" s="4">
        <f t="shared" si="0"/>
        <v>31.5</v>
      </c>
      <c r="K11" s="4">
        <f t="shared" si="1"/>
        <v>181.5</v>
      </c>
      <c r="L11" s="132"/>
    </row>
    <row r="12" spans="1:12" x14ac:dyDescent="0.2">
      <c r="A12" s="3" t="s">
        <v>15</v>
      </c>
      <c r="B12" s="4">
        <f>SUM(B10:B11)</f>
        <v>59724.281008386177</v>
      </c>
      <c r="C12" s="4"/>
      <c r="D12" s="4"/>
      <c r="E12" s="4"/>
      <c r="F12" s="4"/>
      <c r="G12" s="137"/>
      <c r="H12" s="3" t="s">
        <v>89</v>
      </c>
      <c r="I12" s="22">
        <v>15</v>
      </c>
      <c r="J12" s="4">
        <f t="shared" si="0"/>
        <v>3.15</v>
      </c>
      <c r="K12" s="4">
        <f t="shared" si="1"/>
        <v>18.149999999999999</v>
      </c>
      <c r="L12" s="132"/>
    </row>
    <row r="13" spans="1:12" ht="28.5" customHeight="1" x14ac:dyDescent="0.2">
      <c r="A13" s="3" t="s">
        <v>18</v>
      </c>
      <c r="B13" s="10">
        <f>B12*0.033</f>
        <v>1970.901273276744</v>
      </c>
      <c r="C13" s="4"/>
      <c r="D13" s="4"/>
      <c r="E13" s="4"/>
      <c r="F13" s="4"/>
      <c r="G13" s="137"/>
      <c r="H13" s="3" t="s">
        <v>90</v>
      </c>
      <c r="I13" s="10">
        <v>50</v>
      </c>
      <c r="J13" s="4"/>
      <c r="K13" s="4">
        <f t="shared" si="1"/>
        <v>50</v>
      </c>
      <c r="L13" s="132"/>
    </row>
    <row r="14" spans="1:12" x14ac:dyDescent="0.2">
      <c r="A14" s="3" t="s">
        <v>99</v>
      </c>
      <c r="B14" s="4">
        <v>185</v>
      </c>
      <c r="C14" s="4"/>
      <c r="D14" s="4"/>
      <c r="E14" s="4"/>
      <c r="F14" s="4"/>
      <c r="G14" s="137"/>
      <c r="H14" s="3" t="s">
        <v>91</v>
      </c>
      <c r="I14" s="22">
        <v>220</v>
      </c>
      <c r="J14" s="4">
        <f t="shared" si="0"/>
        <v>46.199999999999996</v>
      </c>
      <c r="K14" s="4">
        <f t="shared" si="1"/>
        <v>266.2</v>
      </c>
      <c r="L14" s="132"/>
    </row>
    <row r="15" spans="1:12" ht="28.5" x14ac:dyDescent="0.2">
      <c r="A15" s="3" t="s">
        <v>17</v>
      </c>
      <c r="B15" s="4">
        <v>53.48</v>
      </c>
      <c r="C15" s="4"/>
      <c r="D15" s="4"/>
      <c r="E15" s="4"/>
      <c r="F15" s="4"/>
      <c r="G15" s="137"/>
      <c r="H15" s="3" t="s">
        <v>24</v>
      </c>
      <c r="I15" s="22">
        <v>1560</v>
      </c>
      <c r="J15" s="4">
        <f t="shared" si="0"/>
        <v>327.59999999999997</v>
      </c>
      <c r="K15" s="4">
        <f t="shared" si="1"/>
        <v>1887.6</v>
      </c>
      <c r="L15" s="132"/>
    </row>
    <row r="16" spans="1:12" x14ac:dyDescent="0.2">
      <c r="A16" s="3"/>
      <c r="B16" s="4">
        <f>SUM(B12:B15)</f>
        <v>61933.662281662924</v>
      </c>
      <c r="C16" s="4"/>
      <c r="D16" s="4"/>
      <c r="E16" s="4"/>
      <c r="F16" s="4"/>
      <c r="G16" s="137"/>
      <c r="H16" s="3" t="s">
        <v>106</v>
      </c>
      <c r="I16" s="4">
        <v>1970.9</v>
      </c>
      <c r="J16" s="4"/>
      <c r="K16" s="10">
        <f>B13</f>
        <v>1970.901273276744</v>
      </c>
      <c r="L16" s="132"/>
    </row>
    <row r="17" spans="1:12" x14ac:dyDescent="0.2">
      <c r="A17" s="3" t="s">
        <v>20</v>
      </c>
      <c r="B17" s="4">
        <f>B16</f>
        <v>61933.662281662924</v>
      </c>
      <c r="C17" s="4"/>
      <c r="D17" s="4"/>
      <c r="E17" s="4"/>
      <c r="F17" s="4"/>
      <c r="G17" s="137"/>
      <c r="H17" s="3" t="s">
        <v>93</v>
      </c>
      <c r="I17" s="4">
        <v>13006.07</v>
      </c>
      <c r="J17" s="3"/>
      <c r="K17" s="10">
        <f>B18</f>
        <v>13006.069079149214</v>
      </c>
      <c r="L17" s="132"/>
    </row>
    <row r="18" spans="1:12" x14ac:dyDescent="0.2">
      <c r="A18" s="3" t="s">
        <v>19</v>
      </c>
      <c r="B18" s="10">
        <f t="shared" ref="B18" si="2">B17*0.21</f>
        <v>13006.069079149214</v>
      </c>
      <c r="C18" s="4"/>
      <c r="D18" s="4"/>
      <c r="E18" s="4"/>
      <c r="F18" s="4"/>
      <c r="G18" s="138"/>
      <c r="H18" s="3" t="s">
        <v>77</v>
      </c>
      <c r="I18" s="4">
        <f>SUM(I5:I17)</f>
        <v>17983.689999999999</v>
      </c>
      <c r="J18" s="23">
        <f>SUM(J5:J17)</f>
        <v>615.7367999999999</v>
      </c>
      <c r="K18" s="24">
        <f>SUM(K5:K17)</f>
        <v>18599.42715242596</v>
      </c>
      <c r="L18" s="132"/>
    </row>
    <row r="19" spans="1:12" x14ac:dyDescent="0.2">
      <c r="G19" s="17" t="s">
        <v>104</v>
      </c>
      <c r="H19" s="3" t="s">
        <v>67</v>
      </c>
      <c r="I19" s="10">
        <v>42.24</v>
      </c>
      <c r="J19" s="4"/>
      <c r="K19" s="4">
        <v>42.24</v>
      </c>
      <c r="L19" s="3" t="s">
        <v>105</v>
      </c>
    </row>
    <row r="20" spans="1:12" x14ac:dyDescent="0.2">
      <c r="H20" s="1"/>
      <c r="I20" s="1"/>
      <c r="J20" s="1"/>
      <c r="K20" s="1"/>
      <c r="L20" s="1"/>
    </row>
  </sheetData>
  <mergeCells count="2">
    <mergeCell ref="G5:G18"/>
    <mergeCell ref="L5:L18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77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E3605-CA72-4201-91D6-1C7F63CB7B5F}">
  <sheetPr>
    <pageSetUpPr fitToPage="1"/>
  </sheetPr>
  <dimension ref="A1:F1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8" sqref="C28"/>
    </sheetView>
  </sheetViews>
  <sheetFormatPr defaultRowHeight="14.25" x14ac:dyDescent="0.2"/>
  <cols>
    <col min="1" max="1" width="27.5" customWidth="1"/>
    <col min="2" max="2" width="20.5" bestFit="1" customWidth="1"/>
    <col min="3" max="3" width="11.875" style="32" bestFit="1" customWidth="1"/>
    <col min="4" max="4" width="26.5" style="1" customWidth="1"/>
    <col min="6" max="6" width="18.75" bestFit="1" customWidth="1"/>
  </cols>
  <sheetData>
    <row r="1" spans="1:6" ht="28.5" x14ac:dyDescent="0.2">
      <c r="A1" s="99" t="s">
        <v>497</v>
      </c>
      <c r="B1" s="100" t="s">
        <v>317</v>
      </c>
      <c r="C1" s="101" t="s">
        <v>357</v>
      </c>
      <c r="D1" s="98" t="s">
        <v>320</v>
      </c>
      <c r="E1" s="100" t="s">
        <v>318</v>
      </c>
      <c r="F1" s="100" t="s">
        <v>319</v>
      </c>
    </row>
    <row r="2" spans="1:6" ht="37.5" customHeight="1" x14ac:dyDescent="0.2">
      <c r="A2" s="17" t="s">
        <v>316</v>
      </c>
      <c r="B2" s="17" t="s">
        <v>475</v>
      </c>
      <c r="C2" s="91">
        <v>2312.1</v>
      </c>
      <c r="D2" s="3" t="s">
        <v>498</v>
      </c>
      <c r="E2" s="17" t="s">
        <v>322</v>
      </c>
      <c r="F2" s="17"/>
    </row>
    <row r="3" spans="1:6" x14ac:dyDescent="0.2">
      <c r="A3" s="17" t="s">
        <v>334</v>
      </c>
      <c r="B3" s="17" t="s">
        <v>476</v>
      </c>
      <c r="C3" s="91">
        <v>21599.25</v>
      </c>
      <c r="D3" s="3" t="s">
        <v>496</v>
      </c>
      <c r="E3" s="17" t="s">
        <v>322</v>
      </c>
      <c r="F3" s="17"/>
    </row>
    <row r="4" spans="1:6" x14ac:dyDescent="0.2">
      <c r="A4" s="17" t="s">
        <v>64</v>
      </c>
      <c r="B4" s="17"/>
      <c r="C4" s="95"/>
      <c r="D4" s="3"/>
      <c r="E4" s="17" t="s">
        <v>344</v>
      </c>
      <c r="F4" s="17"/>
    </row>
    <row r="5" spans="1:6" x14ac:dyDescent="0.2">
      <c r="A5" s="17" t="s">
        <v>384</v>
      </c>
      <c r="B5" s="17"/>
      <c r="C5" s="91"/>
      <c r="D5" s="3"/>
      <c r="E5" s="17" t="s">
        <v>344</v>
      </c>
      <c r="F5" s="17"/>
    </row>
    <row r="6" spans="1:6" x14ac:dyDescent="0.2">
      <c r="A6" s="17" t="s">
        <v>349</v>
      </c>
      <c r="B6" s="17"/>
      <c r="C6" s="91"/>
      <c r="D6" s="3"/>
      <c r="E6" s="17" t="s">
        <v>344</v>
      </c>
      <c r="F6" s="17"/>
    </row>
    <row r="7" spans="1:6" x14ac:dyDescent="0.2">
      <c r="A7" s="17" t="s">
        <v>18</v>
      </c>
      <c r="B7" s="3" t="s">
        <v>496</v>
      </c>
      <c r="C7" s="91">
        <v>2842.3</v>
      </c>
      <c r="D7" s="3" t="s">
        <v>474</v>
      </c>
      <c r="E7" s="17" t="s">
        <v>322</v>
      </c>
      <c r="F7" s="17"/>
    </row>
    <row r="8" spans="1:6" x14ac:dyDescent="0.2">
      <c r="A8" s="17" t="s">
        <v>321</v>
      </c>
      <c r="B8" s="3" t="s">
        <v>496</v>
      </c>
      <c r="C8" s="91"/>
      <c r="D8" s="3" t="s">
        <v>413</v>
      </c>
      <c r="E8" s="17" t="s">
        <v>322</v>
      </c>
      <c r="F8" s="17"/>
    </row>
    <row r="9" spans="1:6" x14ac:dyDescent="0.2">
      <c r="A9" s="17" t="s">
        <v>324</v>
      </c>
      <c r="B9" s="96">
        <v>20023189</v>
      </c>
      <c r="C9" s="91"/>
      <c r="D9" s="3" t="s">
        <v>496</v>
      </c>
      <c r="E9" s="17" t="s">
        <v>322</v>
      </c>
      <c r="F9" s="17"/>
    </row>
    <row r="10" spans="1:6" x14ac:dyDescent="0.2">
      <c r="A10" s="17" t="s">
        <v>323</v>
      </c>
      <c r="B10" s="96">
        <f>B9</f>
        <v>20023189</v>
      </c>
      <c r="C10" s="91">
        <v>89151.06</v>
      </c>
      <c r="D10" s="3" t="s">
        <v>496</v>
      </c>
      <c r="E10" s="17" t="s">
        <v>322</v>
      </c>
      <c r="F10" s="17"/>
    </row>
    <row r="11" spans="1:6" x14ac:dyDescent="0.2">
      <c r="A11" s="17" t="s">
        <v>325</v>
      </c>
      <c r="B11" s="3" t="str">
        <f>D3</f>
        <v>23ES00461131249962</v>
      </c>
      <c r="C11" s="91"/>
      <c r="D11" s="3" t="s">
        <v>413</v>
      </c>
      <c r="E11" s="17" t="s">
        <v>322</v>
      </c>
      <c r="F11" s="17"/>
    </row>
    <row r="12" spans="1:6" x14ac:dyDescent="0.2">
      <c r="A12" s="17" t="s">
        <v>327</v>
      </c>
      <c r="B12" s="3"/>
      <c r="C12" s="91"/>
      <c r="D12" s="3" t="s">
        <v>496</v>
      </c>
      <c r="E12" s="17" t="s">
        <v>322</v>
      </c>
      <c r="F12" s="17"/>
    </row>
    <row r="13" spans="1:6" x14ac:dyDescent="0.2">
      <c r="A13" s="17" t="s">
        <v>414</v>
      </c>
      <c r="B13" s="3"/>
      <c r="C13" s="91"/>
      <c r="D13" s="3"/>
      <c r="E13" s="17" t="s">
        <v>344</v>
      </c>
      <c r="F13" s="17"/>
    </row>
    <row r="14" spans="1:6" x14ac:dyDescent="0.2">
      <c r="A14" s="17" t="s">
        <v>374</v>
      </c>
      <c r="B14" s="3"/>
      <c r="C14" s="91"/>
      <c r="D14" s="3"/>
      <c r="E14" s="72" t="s">
        <v>344</v>
      </c>
      <c r="F14" s="17"/>
    </row>
    <row r="15" spans="1:6" x14ac:dyDescent="0.2">
      <c r="A15" s="17" t="s">
        <v>329</v>
      </c>
      <c r="B15" s="3" t="s">
        <v>474</v>
      </c>
      <c r="C15" s="95">
        <v>92522.36</v>
      </c>
      <c r="D15" s="3" t="s">
        <v>335</v>
      </c>
      <c r="E15" s="17" t="s">
        <v>344</v>
      </c>
      <c r="F15" s="17"/>
    </row>
    <row r="16" spans="1:6" x14ac:dyDescent="0.2">
      <c r="A16" s="17" t="s">
        <v>330</v>
      </c>
      <c r="B16" s="3" t="s">
        <v>474</v>
      </c>
      <c r="C16" s="91"/>
      <c r="D16" s="3" t="s">
        <v>335</v>
      </c>
      <c r="E16" s="17" t="s">
        <v>344</v>
      </c>
      <c r="F16" s="17"/>
    </row>
    <row r="17" spans="1:6" x14ac:dyDescent="0.2">
      <c r="A17" s="17" t="s">
        <v>395</v>
      </c>
      <c r="B17" s="3" t="s">
        <v>474</v>
      </c>
      <c r="C17" s="91"/>
      <c r="D17" s="3" t="s">
        <v>335</v>
      </c>
      <c r="E17" s="17" t="s">
        <v>344</v>
      </c>
      <c r="F17" s="17"/>
    </row>
  </sheetData>
  <phoneticPr fontId="4" type="noConversion"/>
  <conditionalFormatting sqref="E1:E1048576">
    <cfRule type="containsText" dxfId="8" priority="1" operator="containsText" text="NO">
      <formula>NOT(ISERROR(SEARCH("NO",E1)))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A6718-1E5C-419A-975E-DD19A679741C}">
  <sheetPr>
    <pageSetUpPr fitToPage="1"/>
  </sheetPr>
  <dimension ref="A1:M27"/>
  <sheetViews>
    <sheetView topLeftCell="A3" workbookViewId="0">
      <selection activeCell="J19" sqref="J19"/>
    </sheetView>
  </sheetViews>
  <sheetFormatPr defaultRowHeight="14.25" x14ac:dyDescent="0.2"/>
  <cols>
    <col min="1" max="1" width="16.125" style="1" customWidth="1"/>
    <col min="2" max="2" width="12.125" style="1" customWidth="1"/>
    <col min="3" max="3" width="11.375" style="2" bestFit="1" customWidth="1"/>
    <col min="4" max="4" width="11.375" style="1" bestFit="1" customWidth="1"/>
    <col min="5" max="5" width="19.75" style="1" customWidth="1"/>
    <col min="6" max="6" width="12.875" style="1" bestFit="1" customWidth="1"/>
    <col min="7" max="7" width="11.375" style="1" bestFit="1" customWidth="1"/>
    <col min="8" max="8" width="13" style="1" bestFit="1" customWidth="1"/>
    <col min="9" max="9" width="20.625" style="1" customWidth="1"/>
    <col min="10" max="10" width="10.25" style="1" bestFit="1" customWidth="1"/>
    <col min="11" max="11" width="11.375" style="1" bestFit="1" customWidth="1"/>
    <col min="12" max="12" width="10.25" style="1" bestFit="1" customWidth="1"/>
    <col min="13" max="13" width="9" style="1"/>
  </cols>
  <sheetData>
    <row r="1" spans="1:13" ht="16.5" x14ac:dyDescent="0.2">
      <c r="A1" s="5" t="s">
        <v>29</v>
      </c>
    </row>
    <row r="2" spans="1:13" s="1" customFormat="1" x14ac:dyDescent="0.2">
      <c r="A2" s="3" t="s">
        <v>0</v>
      </c>
      <c r="B2" s="3" t="s">
        <v>6</v>
      </c>
      <c r="C2" s="4" t="s">
        <v>3</v>
      </c>
      <c r="D2" s="3" t="s">
        <v>7</v>
      </c>
      <c r="E2" s="3"/>
      <c r="F2" s="3"/>
      <c r="G2" s="3" t="s">
        <v>3</v>
      </c>
      <c r="H2" s="3" t="s">
        <v>21</v>
      </c>
      <c r="I2" s="3"/>
      <c r="J2" s="3"/>
      <c r="K2" s="3"/>
      <c r="L2" s="3"/>
    </row>
    <row r="3" spans="1:13" s="1" customFormat="1" ht="42.75" x14ac:dyDescent="0.2">
      <c r="A3" s="3" t="s">
        <v>33</v>
      </c>
      <c r="B3" s="3" t="s">
        <v>34</v>
      </c>
      <c r="C3" s="4" t="s">
        <v>35</v>
      </c>
      <c r="D3" s="3" t="s">
        <v>36</v>
      </c>
      <c r="E3" s="3" t="s">
        <v>37</v>
      </c>
      <c r="F3" s="3" t="s">
        <v>38</v>
      </c>
      <c r="G3" s="3" t="s">
        <v>40</v>
      </c>
      <c r="H3" s="6" t="s">
        <v>18</v>
      </c>
      <c r="I3" s="3" t="s">
        <v>234</v>
      </c>
      <c r="J3" s="3" t="s">
        <v>233</v>
      </c>
      <c r="K3" s="3" t="s">
        <v>19</v>
      </c>
      <c r="L3" s="3" t="s">
        <v>35</v>
      </c>
    </row>
    <row r="4" spans="1:13" s="1" customFormat="1" ht="28.5" x14ac:dyDescent="0.2">
      <c r="A4" s="3" t="s">
        <v>1</v>
      </c>
      <c r="B4" s="3" t="s">
        <v>30</v>
      </c>
      <c r="C4" s="4">
        <v>108198.42</v>
      </c>
      <c r="D4" s="3" t="s">
        <v>31</v>
      </c>
      <c r="E4" s="3" t="s">
        <v>185</v>
      </c>
      <c r="F4" s="3" t="s">
        <v>39</v>
      </c>
      <c r="G4" s="3">
        <v>7500</v>
      </c>
      <c r="H4" s="136" t="s">
        <v>41</v>
      </c>
      <c r="I4" s="3" t="s">
        <v>42</v>
      </c>
      <c r="J4" s="4">
        <v>295</v>
      </c>
      <c r="K4" s="4"/>
      <c r="L4" s="4">
        <f>J4+K4</f>
        <v>295</v>
      </c>
    </row>
    <row r="5" spans="1:13" s="1" customFormat="1" ht="28.5" x14ac:dyDescent="0.2">
      <c r="A5" s="3"/>
      <c r="B5" s="3"/>
      <c r="C5" s="4">
        <v>0.99060000000000004</v>
      </c>
      <c r="D5" s="3"/>
      <c r="E5" s="3"/>
      <c r="F5" s="3"/>
      <c r="G5" s="3"/>
      <c r="H5" s="137"/>
      <c r="I5" s="3" t="s">
        <v>43</v>
      </c>
      <c r="J5" s="4">
        <v>1455</v>
      </c>
      <c r="K5" s="4">
        <f t="shared" ref="K5:K10" si="0">J5*0.21</f>
        <v>305.55</v>
      </c>
      <c r="L5" s="4">
        <f t="shared" ref="L5:L10" si="1">J5+K5</f>
        <v>1760.55</v>
      </c>
    </row>
    <row r="6" spans="1:13" s="1" customFormat="1" ht="28.5" x14ac:dyDescent="0.2">
      <c r="A6" s="3"/>
      <c r="B6" s="3"/>
      <c r="C6" s="10">
        <f>C4/C5</f>
        <v>109225.13628104179</v>
      </c>
      <c r="D6" s="3"/>
      <c r="E6" s="3"/>
      <c r="F6" s="3"/>
      <c r="G6" s="3"/>
      <c r="H6" s="137"/>
      <c r="I6" s="3" t="s">
        <v>44</v>
      </c>
      <c r="J6" s="4">
        <v>200</v>
      </c>
      <c r="K6" s="4">
        <f t="shared" si="0"/>
        <v>42</v>
      </c>
      <c r="L6" s="4">
        <f t="shared" si="1"/>
        <v>242</v>
      </c>
    </row>
    <row r="7" spans="1:13" s="1" customFormat="1" x14ac:dyDescent="0.2">
      <c r="A7" s="3"/>
      <c r="B7" s="3"/>
      <c r="C7" s="4"/>
      <c r="D7" s="3"/>
      <c r="E7" s="3"/>
      <c r="F7" s="3"/>
      <c r="G7" s="3"/>
      <c r="H7" s="137"/>
      <c r="I7" s="3" t="s">
        <v>45</v>
      </c>
      <c r="J7" s="4">
        <v>150</v>
      </c>
      <c r="K7" s="4">
        <f t="shared" si="0"/>
        <v>31.5</v>
      </c>
      <c r="L7" s="4">
        <f t="shared" si="1"/>
        <v>181.5</v>
      </c>
    </row>
    <row r="8" spans="1:13" s="1" customFormat="1" ht="28.5" x14ac:dyDescent="0.2">
      <c r="A8" s="3"/>
      <c r="B8" s="3"/>
      <c r="C8" s="4"/>
      <c r="D8" s="3"/>
      <c r="E8" s="3"/>
      <c r="F8" s="3"/>
      <c r="G8" s="3"/>
      <c r="H8" s="137"/>
      <c r="I8" s="3" t="s">
        <v>46</v>
      </c>
      <c r="J8" s="4">
        <v>60</v>
      </c>
      <c r="K8" s="4">
        <f t="shared" si="0"/>
        <v>12.6</v>
      </c>
      <c r="L8" s="4">
        <f t="shared" si="1"/>
        <v>72.599999999999994</v>
      </c>
    </row>
    <row r="9" spans="1:13" s="1" customFormat="1" x14ac:dyDescent="0.2">
      <c r="A9" s="3"/>
      <c r="B9" s="3"/>
      <c r="C9" s="4"/>
      <c r="D9" s="3"/>
      <c r="E9" s="3"/>
      <c r="F9" s="3"/>
      <c r="G9" s="3"/>
      <c r="H9" s="137"/>
      <c r="I9" s="3" t="s">
        <v>47</v>
      </c>
      <c r="J9" s="4">
        <v>80</v>
      </c>
      <c r="K9" s="4">
        <f t="shared" si="0"/>
        <v>16.8</v>
      </c>
      <c r="L9" s="4">
        <f t="shared" si="1"/>
        <v>96.8</v>
      </c>
    </row>
    <row r="10" spans="1:13" s="1" customFormat="1" x14ac:dyDescent="0.2">
      <c r="A10" s="3"/>
      <c r="B10" s="3"/>
      <c r="C10" s="4"/>
      <c r="D10" s="3"/>
      <c r="E10" s="3"/>
      <c r="F10" s="3"/>
      <c r="G10" s="3"/>
      <c r="H10" s="137"/>
      <c r="I10" s="3" t="s">
        <v>48</v>
      </c>
      <c r="J10" s="4">
        <v>6.36</v>
      </c>
      <c r="K10" s="4">
        <f t="shared" si="0"/>
        <v>1.3356000000000001</v>
      </c>
      <c r="L10" s="4">
        <f t="shared" si="1"/>
        <v>7.6956000000000007</v>
      </c>
    </row>
    <row r="11" spans="1:13" s="1" customFormat="1" x14ac:dyDescent="0.2">
      <c r="A11" s="3"/>
      <c r="B11" s="3"/>
      <c r="C11" s="4"/>
      <c r="D11" s="3"/>
      <c r="E11" s="3"/>
      <c r="F11" s="3"/>
      <c r="G11" s="3"/>
      <c r="H11" s="137"/>
      <c r="I11" s="3"/>
      <c r="J11" s="4"/>
      <c r="K11" s="4"/>
      <c r="L11" s="4"/>
    </row>
    <row r="12" spans="1:13" s="1" customFormat="1" x14ac:dyDescent="0.2">
      <c r="A12" s="3"/>
      <c r="B12" s="3"/>
      <c r="C12" s="4"/>
      <c r="D12" s="3"/>
      <c r="E12" s="3"/>
      <c r="F12" s="3"/>
      <c r="G12" s="3"/>
      <c r="H12" s="137"/>
      <c r="I12" s="3"/>
      <c r="J12" s="4"/>
      <c r="K12" s="4"/>
      <c r="L12" s="4"/>
    </row>
    <row r="13" spans="1:13" s="1" customFormat="1" x14ac:dyDescent="0.2">
      <c r="A13" s="3"/>
      <c r="B13" s="3"/>
      <c r="C13" s="4"/>
      <c r="D13" s="3"/>
      <c r="E13" s="3"/>
      <c r="F13" s="3"/>
      <c r="G13" s="3"/>
      <c r="H13" s="138"/>
      <c r="I13" s="3"/>
      <c r="J13" s="4"/>
      <c r="K13" s="4"/>
      <c r="L13" s="4"/>
    </row>
    <row r="14" spans="1:13" s="1" customFormat="1" x14ac:dyDescent="0.2">
      <c r="J14" s="7">
        <f>SUM(J4:J13)</f>
        <v>2246.36</v>
      </c>
      <c r="K14" s="7">
        <f t="shared" ref="K14:L14" si="2">SUM(K4:K13)</f>
        <v>409.78560000000004</v>
      </c>
      <c r="L14" s="7">
        <f t="shared" si="2"/>
        <v>2656.1456000000003</v>
      </c>
      <c r="M14" s="2"/>
    </row>
    <row r="15" spans="1:13" s="1" customFormat="1" ht="28.5" x14ac:dyDescent="0.2">
      <c r="A15" s="1" t="s">
        <v>122</v>
      </c>
      <c r="B15" s="1" t="s">
        <v>140</v>
      </c>
    </row>
    <row r="16" spans="1:13" s="1" customFormat="1" ht="28.5" x14ac:dyDescent="0.2">
      <c r="A16" s="3"/>
      <c r="B16" s="3" t="s">
        <v>26</v>
      </c>
      <c r="C16" s="4" t="s">
        <v>27</v>
      </c>
      <c r="D16" s="3" t="s">
        <v>28</v>
      </c>
      <c r="E16" s="3" t="s">
        <v>49</v>
      </c>
      <c r="F16" s="3" t="s">
        <v>53</v>
      </c>
      <c r="G16" s="4" t="s">
        <v>52</v>
      </c>
      <c r="H16" s="3" t="s">
        <v>50</v>
      </c>
      <c r="I16" s="3" t="s">
        <v>50</v>
      </c>
      <c r="J16" s="11">
        <v>3.0000000000000001E-3</v>
      </c>
      <c r="K16" s="3" t="s">
        <v>51</v>
      </c>
      <c r="L16" s="3" t="s">
        <v>19</v>
      </c>
    </row>
    <row r="17" spans="1:13" s="1" customFormat="1" x14ac:dyDescent="0.2">
      <c r="A17" s="3" t="s">
        <v>13</v>
      </c>
      <c r="B17" s="3">
        <v>0.99060000000000004</v>
      </c>
      <c r="C17" s="4">
        <v>26198.400000000001</v>
      </c>
      <c r="D17" s="4">
        <f>C17/B17</f>
        <v>26447.001817080556</v>
      </c>
      <c r="E17" s="4">
        <v>3727.27</v>
      </c>
      <c r="F17" s="4">
        <v>79.34</v>
      </c>
      <c r="G17" s="4">
        <f>D17+E17</f>
        <v>30174.271817080557</v>
      </c>
      <c r="H17" s="8">
        <v>3.3000000000000002E-2</v>
      </c>
      <c r="I17" s="4">
        <f>G17*H17</f>
        <v>995.75096996365846</v>
      </c>
      <c r="J17" s="10">
        <v>90.68</v>
      </c>
      <c r="K17" s="4">
        <f>G17+I17+J17</f>
        <v>31260.702787044214</v>
      </c>
      <c r="L17" s="4">
        <v>6564.75</v>
      </c>
      <c r="M17" s="9"/>
    </row>
    <row r="18" spans="1:13" s="1" customFormat="1" x14ac:dyDescent="0.2">
      <c r="A18" s="3"/>
      <c r="B18" s="3">
        <v>0.99060000000000004</v>
      </c>
      <c r="C18" s="4">
        <v>82000.02</v>
      </c>
      <c r="D18" s="4">
        <f>C18/B18</f>
        <v>82778.134463961236</v>
      </c>
      <c r="E18" s="4">
        <v>4171.58</v>
      </c>
      <c r="F18" s="4">
        <v>248.34</v>
      </c>
      <c r="G18" s="4">
        <f>D18+E18</f>
        <v>86949.714463961238</v>
      </c>
      <c r="H18" s="8">
        <v>0</v>
      </c>
      <c r="I18" s="4">
        <f>G18*H18</f>
        <v>0</v>
      </c>
      <c r="J18" s="10">
        <v>234.32</v>
      </c>
      <c r="K18" s="4">
        <f>G18+I18+J18</f>
        <v>87184.034463961245</v>
      </c>
      <c r="L18" s="4">
        <v>18308.650000000001</v>
      </c>
      <c r="M18" s="9"/>
    </row>
    <row r="19" spans="1:13" s="1" customFormat="1" x14ac:dyDescent="0.2">
      <c r="A19" s="3" t="s">
        <v>14</v>
      </c>
      <c r="B19" s="3">
        <v>0.99060000000000004</v>
      </c>
      <c r="C19" s="4">
        <v>7500</v>
      </c>
      <c r="D19" s="4">
        <v>7898.85</v>
      </c>
      <c r="E19" s="4">
        <f>SUM(E17:E18)</f>
        <v>7898.85</v>
      </c>
      <c r="F19" s="4">
        <f>SUM(F17:F18)</f>
        <v>327.68</v>
      </c>
      <c r="G19" s="4">
        <f t="shared" ref="G19:K19" si="3">SUM(G17:G18)</f>
        <v>117123.9862810418</v>
      </c>
      <c r="H19" s="4">
        <f t="shared" si="3"/>
        <v>3.3000000000000002E-2</v>
      </c>
      <c r="I19" s="4">
        <f t="shared" si="3"/>
        <v>995.75096996365846</v>
      </c>
      <c r="J19" s="4">
        <f>SUM(J16:J18)</f>
        <v>325.00299999999999</v>
      </c>
      <c r="K19" s="4">
        <f t="shared" si="3"/>
        <v>118444.73725100546</v>
      </c>
      <c r="L19" s="4">
        <f>SUM(L17:L18)</f>
        <v>24873.4</v>
      </c>
    </row>
    <row r="20" spans="1:13" s="1" customFormat="1" x14ac:dyDescent="0.2">
      <c r="A20" s="3" t="s">
        <v>15</v>
      </c>
      <c r="B20" s="3"/>
      <c r="C20" s="4"/>
      <c r="D20" s="4">
        <f>SUM(D17:D19)</f>
        <v>117123.9862810418</v>
      </c>
      <c r="E20" s="4"/>
      <c r="F20" s="4"/>
      <c r="G20" s="4"/>
      <c r="H20" s="4"/>
      <c r="I20" s="4"/>
      <c r="J20" s="4"/>
      <c r="K20" s="4"/>
    </row>
    <row r="21" spans="1:13" s="1" customFormat="1" x14ac:dyDescent="0.2">
      <c r="A21" s="3" t="s">
        <v>16</v>
      </c>
      <c r="B21" s="3"/>
      <c r="C21" s="4"/>
      <c r="D21" s="4"/>
      <c r="E21" s="4"/>
      <c r="F21" s="4"/>
      <c r="G21" s="4"/>
      <c r="H21" s="4"/>
      <c r="I21" s="4"/>
      <c r="J21" s="4"/>
      <c r="K21" s="4"/>
    </row>
    <row r="22" spans="1:13" s="1" customFormat="1" x14ac:dyDescent="0.2">
      <c r="A22" s="3" t="s">
        <v>17</v>
      </c>
      <c r="B22" s="3"/>
      <c r="C22" s="4"/>
      <c r="D22" s="4">
        <f>J19</f>
        <v>325.00299999999999</v>
      </c>
      <c r="E22" s="4"/>
      <c r="F22" s="4"/>
      <c r="G22" s="4"/>
      <c r="H22" s="4"/>
      <c r="I22" s="4"/>
      <c r="J22" s="4"/>
      <c r="K22" s="4"/>
    </row>
    <row r="23" spans="1:13" s="1" customFormat="1" x14ac:dyDescent="0.2">
      <c r="A23" s="3"/>
      <c r="B23" s="3"/>
      <c r="C23" s="4"/>
      <c r="D23" s="4">
        <f>D20+D21+D22</f>
        <v>117448.9892810418</v>
      </c>
      <c r="E23" s="4"/>
      <c r="F23" s="4"/>
      <c r="G23" s="4"/>
      <c r="H23" s="4"/>
      <c r="I23" s="4"/>
      <c r="J23" s="4"/>
      <c r="K23" s="4"/>
    </row>
    <row r="24" spans="1:13" s="1" customFormat="1" x14ac:dyDescent="0.2">
      <c r="A24" s="3" t="s">
        <v>18</v>
      </c>
      <c r="B24" s="3"/>
      <c r="C24" s="4"/>
      <c r="D24" s="4">
        <f>I19</f>
        <v>995.75096996365846</v>
      </c>
      <c r="E24" s="4"/>
      <c r="F24" s="4"/>
      <c r="G24" s="4"/>
      <c r="H24" s="4"/>
      <c r="I24" s="4"/>
      <c r="J24" s="4"/>
      <c r="K24" s="4"/>
    </row>
    <row r="25" spans="1:13" x14ac:dyDescent="0.2">
      <c r="A25" s="3" t="s">
        <v>20</v>
      </c>
      <c r="B25" s="3"/>
      <c r="C25" s="4"/>
      <c r="D25" s="4">
        <f>D23+D24+0.01</f>
        <v>118444.75025100545</v>
      </c>
      <c r="E25" s="4"/>
      <c r="F25" s="4"/>
      <c r="G25" s="4"/>
      <c r="H25" s="4"/>
      <c r="I25" s="4"/>
      <c r="J25" s="4"/>
      <c r="K25" s="4"/>
    </row>
    <row r="26" spans="1:13" x14ac:dyDescent="0.2">
      <c r="A26" s="3" t="s">
        <v>19</v>
      </c>
      <c r="B26" s="3"/>
      <c r="C26" s="4"/>
      <c r="D26" s="10">
        <f>D25*0.21</f>
        <v>24873.397552711143</v>
      </c>
      <c r="E26" s="4"/>
      <c r="F26" s="4"/>
      <c r="G26" s="4"/>
      <c r="H26" s="4"/>
      <c r="I26" s="4"/>
      <c r="J26" s="4"/>
      <c r="K26" s="4"/>
    </row>
    <row r="27" spans="1:13" x14ac:dyDescent="0.2">
      <c r="I27" s="3"/>
      <c r="J27" s="3"/>
      <c r="K27" s="3"/>
    </row>
  </sheetData>
  <mergeCells count="1">
    <mergeCell ref="H4:H13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79" orientation="landscape" horizontalDpi="0" verticalDpi="0" r:id="rId1"/>
  <ignoredErrors>
    <ignoredError sqref="J19" formula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6BAF4-45C7-4778-9DA1-20C9776F5241}">
  <sheetPr>
    <pageSetUpPr fitToPage="1"/>
  </sheetPr>
  <dimension ref="A1:M15"/>
  <sheetViews>
    <sheetView workbookViewId="0">
      <selection activeCell="D3" sqref="D3"/>
    </sheetView>
  </sheetViews>
  <sheetFormatPr defaultRowHeight="14.25" x14ac:dyDescent="0.2"/>
  <cols>
    <col min="1" max="1" width="16.125" style="1" customWidth="1"/>
    <col min="2" max="2" width="12.125" style="1" customWidth="1"/>
    <col min="3" max="3" width="10.25" style="2" bestFit="1" customWidth="1"/>
    <col min="4" max="4" width="10.25" style="1" bestFit="1" customWidth="1"/>
    <col min="5" max="5" width="19.75" style="1" customWidth="1"/>
    <col min="6" max="6" width="12.875" style="1" bestFit="1" customWidth="1"/>
    <col min="7" max="7" width="10.25" style="1" bestFit="1" customWidth="1"/>
    <col min="8" max="8" width="13" style="1" bestFit="1" customWidth="1"/>
    <col min="9" max="9" width="20.625" style="1" customWidth="1"/>
    <col min="10" max="10" width="9.25" style="1" bestFit="1" customWidth="1"/>
    <col min="11" max="11" width="9.125" style="1" bestFit="1" customWidth="1"/>
    <col min="12" max="12" width="9.375" style="1" bestFit="1" customWidth="1"/>
    <col min="13" max="13" width="9.25" style="1" bestFit="1" customWidth="1"/>
  </cols>
  <sheetData>
    <row r="1" spans="1:13" x14ac:dyDescent="0.2">
      <c r="A1" s="1" t="s">
        <v>10</v>
      </c>
    </row>
    <row r="2" spans="1:13" x14ac:dyDescent="0.2">
      <c r="A2" s="3" t="s">
        <v>0</v>
      </c>
      <c r="B2" s="3" t="s">
        <v>6</v>
      </c>
      <c r="C2" s="4" t="s">
        <v>3</v>
      </c>
      <c r="D2" s="3" t="s">
        <v>7</v>
      </c>
      <c r="E2" s="3"/>
      <c r="F2" s="3"/>
      <c r="G2" s="3" t="s">
        <v>3</v>
      </c>
      <c r="H2" s="3" t="s">
        <v>21</v>
      </c>
      <c r="I2" s="3"/>
      <c r="J2" s="3"/>
      <c r="K2" s="3"/>
      <c r="L2" s="3"/>
      <c r="M2" s="1" t="s">
        <v>54</v>
      </c>
    </row>
    <row r="3" spans="1:13" ht="42.75" x14ac:dyDescent="0.2">
      <c r="A3" s="3" t="s">
        <v>1</v>
      </c>
      <c r="B3" s="3" t="s">
        <v>2</v>
      </c>
      <c r="C3" s="4">
        <v>67946.8</v>
      </c>
      <c r="D3" s="3" t="s">
        <v>8</v>
      </c>
      <c r="E3" s="3" t="s">
        <v>9</v>
      </c>
      <c r="F3" s="3" t="s">
        <v>11</v>
      </c>
      <c r="G3" s="3">
        <v>8220</v>
      </c>
      <c r="H3" s="136" t="s">
        <v>22</v>
      </c>
      <c r="I3" s="3" t="s">
        <v>23</v>
      </c>
      <c r="J3" s="4">
        <v>65</v>
      </c>
      <c r="K3" s="4">
        <f>J3*0.21</f>
        <v>13.65</v>
      </c>
      <c r="L3" s="4">
        <f>J3+K3</f>
        <v>78.650000000000006</v>
      </c>
    </row>
    <row r="4" spans="1:13" ht="42.75" x14ac:dyDescent="0.2">
      <c r="A4" s="3" t="s">
        <v>4</v>
      </c>
      <c r="B4" s="3" t="s">
        <v>5</v>
      </c>
      <c r="C4" s="4">
        <v>17227.400000000001</v>
      </c>
      <c r="D4" s="3" t="s">
        <v>8</v>
      </c>
      <c r="E4" s="3" t="s">
        <v>9</v>
      </c>
      <c r="F4" s="3" t="s">
        <v>12</v>
      </c>
      <c r="G4" s="3">
        <v>1580</v>
      </c>
      <c r="H4" s="137"/>
      <c r="I4" s="3" t="s">
        <v>24</v>
      </c>
      <c r="J4" s="4">
        <v>1980</v>
      </c>
      <c r="K4" s="4">
        <f t="shared" ref="K4" si="0">J4*0.21</f>
        <v>415.8</v>
      </c>
      <c r="L4" s="4">
        <f t="shared" ref="L4" si="1">J4+K4</f>
        <v>2395.8000000000002</v>
      </c>
    </row>
    <row r="5" spans="1:13" ht="28.5" x14ac:dyDescent="0.2">
      <c r="A5" s="3"/>
      <c r="B5" s="3"/>
      <c r="C5" s="4"/>
      <c r="D5" s="3" t="s">
        <v>136</v>
      </c>
      <c r="E5" s="3"/>
      <c r="F5" s="3"/>
      <c r="G5" s="3" t="s">
        <v>134</v>
      </c>
      <c r="H5" s="138"/>
      <c r="I5" s="3" t="s">
        <v>25</v>
      </c>
      <c r="J5" s="4">
        <v>250</v>
      </c>
      <c r="K5" s="4">
        <f>J5*0.21</f>
        <v>52.5</v>
      </c>
      <c r="L5" s="4">
        <f>J5+K5</f>
        <v>302.5</v>
      </c>
    </row>
    <row r="6" spans="1:13" x14ac:dyDescent="0.2">
      <c r="A6" s="3"/>
      <c r="B6" s="3" t="s">
        <v>26</v>
      </c>
      <c r="C6" s="4" t="s">
        <v>27</v>
      </c>
      <c r="D6" s="3" t="s">
        <v>28</v>
      </c>
      <c r="E6" s="3" t="s">
        <v>26</v>
      </c>
      <c r="F6" s="4" t="s">
        <v>27</v>
      </c>
      <c r="G6" s="3" t="s">
        <v>28</v>
      </c>
      <c r="J6" s="2">
        <f>SUM(J3:J5)</f>
        <v>2295</v>
      </c>
      <c r="K6" s="2">
        <f>SUM(K3:K5)</f>
        <v>481.95</v>
      </c>
      <c r="L6" s="2">
        <f>J6+K6</f>
        <v>2776.95</v>
      </c>
      <c r="M6" s="12">
        <v>44886</v>
      </c>
    </row>
    <row r="7" spans="1:13" x14ac:dyDescent="0.2">
      <c r="A7" s="3" t="s">
        <v>13</v>
      </c>
      <c r="B7" s="3">
        <v>0.99339999999999995</v>
      </c>
      <c r="C7" s="4">
        <v>64946.8</v>
      </c>
      <c r="D7" s="4">
        <f>C7/B7</f>
        <v>65378.296758606812</v>
      </c>
      <c r="E7" s="4">
        <v>0.99339999999999995</v>
      </c>
      <c r="F7" s="4">
        <v>17227.400000000001</v>
      </c>
      <c r="G7" s="10">
        <f>F7/E7</f>
        <v>17341.856251258308</v>
      </c>
    </row>
    <row r="8" spans="1:13" x14ac:dyDescent="0.2">
      <c r="A8" s="3" t="s">
        <v>14</v>
      </c>
      <c r="B8" s="3"/>
      <c r="C8" s="4">
        <v>8220</v>
      </c>
      <c r="D8" s="4">
        <v>8470.74</v>
      </c>
      <c r="E8" s="4"/>
      <c r="F8" s="4">
        <v>1580</v>
      </c>
      <c r="G8" s="4">
        <v>1642.53</v>
      </c>
    </row>
    <row r="9" spans="1:13" x14ac:dyDescent="0.2">
      <c r="A9" s="3" t="s">
        <v>15</v>
      </c>
      <c r="B9" s="3"/>
      <c r="C9" s="4"/>
      <c r="D9" s="4">
        <f>SUM(D7:D8)</f>
        <v>73849.036758606817</v>
      </c>
      <c r="E9" s="4"/>
      <c r="F9" s="4"/>
      <c r="G9" s="4">
        <f>SUM(G7:G8)</f>
        <v>18984.386251258307</v>
      </c>
    </row>
    <row r="10" spans="1:13" x14ac:dyDescent="0.2">
      <c r="A10" s="3" t="s">
        <v>16</v>
      </c>
      <c r="B10" s="3"/>
      <c r="C10" s="4"/>
      <c r="D10" s="4">
        <v>0</v>
      </c>
      <c r="E10" s="4"/>
      <c r="F10" s="4"/>
      <c r="G10" s="4">
        <v>0</v>
      </c>
    </row>
    <row r="11" spans="1:13" x14ac:dyDescent="0.2">
      <c r="A11" s="3" t="s">
        <v>17</v>
      </c>
      <c r="B11" s="3"/>
      <c r="C11" s="4"/>
      <c r="D11" s="4">
        <v>220.48</v>
      </c>
      <c r="E11" s="4"/>
      <c r="F11" s="4"/>
      <c r="G11" s="4">
        <v>42</v>
      </c>
    </row>
    <row r="12" spans="1:13" x14ac:dyDescent="0.2">
      <c r="A12" s="3"/>
      <c r="B12" s="3"/>
      <c r="C12" s="4"/>
      <c r="D12" s="4">
        <f>D9+D10+D11</f>
        <v>74069.516758606813</v>
      </c>
      <c r="E12" s="4">
        <f t="shared" ref="E12:G12" si="2">E9+E10+E11</f>
        <v>0</v>
      </c>
      <c r="F12" s="4">
        <f t="shared" si="2"/>
        <v>0</v>
      </c>
      <c r="G12" s="4">
        <f t="shared" si="2"/>
        <v>19026.386251258307</v>
      </c>
    </row>
    <row r="13" spans="1:13" x14ac:dyDescent="0.2">
      <c r="A13" s="3" t="s">
        <v>18</v>
      </c>
      <c r="B13" s="3"/>
      <c r="C13" s="4"/>
      <c r="D13" s="4"/>
      <c r="E13" s="4"/>
      <c r="F13" s="4"/>
      <c r="G13" s="4"/>
    </row>
    <row r="14" spans="1:13" x14ac:dyDescent="0.2">
      <c r="A14" s="3" t="s">
        <v>20</v>
      </c>
      <c r="B14" s="3"/>
      <c r="C14" s="4"/>
      <c r="D14" s="4">
        <f>D12+D13</f>
        <v>74069.516758606813</v>
      </c>
      <c r="E14" s="4"/>
      <c r="F14" s="4"/>
      <c r="G14" s="4">
        <f t="shared" ref="G14" si="3">G12+G13</f>
        <v>19026.386251258307</v>
      </c>
    </row>
    <row r="15" spans="1:13" x14ac:dyDescent="0.2">
      <c r="A15" s="3" t="s">
        <v>19</v>
      </c>
      <c r="B15" s="3"/>
      <c r="C15" s="4"/>
      <c r="D15" s="4">
        <f>D14*0.21</f>
        <v>15554.59851930743</v>
      </c>
      <c r="E15" s="4"/>
      <c r="F15" s="4"/>
      <c r="G15" s="4">
        <f t="shared" ref="G15" si="4">G14*0.21</f>
        <v>3995.5411127642442</v>
      </c>
    </row>
  </sheetData>
  <mergeCells count="1">
    <mergeCell ref="H3:H5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79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7A8C-36A2-4CB8-8D6A-CF84A014B59F}">
  <dimension ref="A1:C20"/>
  <sheetViews>
    <sheetView topLeftCell="A7" workbookViewId="0">
      <selection activeCell="D24" sqref="D24"/>
    </sheetView>
  </sheetViews>
  <sheetFormatPr defaultRowHeight="14.25" x14ac:dyDescent="0.2"/>
  <cols>
    <col min="1" max="1" width="18.75" customWidth="1"/>
    <col min="2" max="2" width="15.875" customWidth="1"/>
    <col min="3" max="3" width="11.625" bestFit="1" customWidth="1"/>
  </cols>
  <sheetData>
    <row r="1" spans="1:3" x14ac:dyDescent="0.2">
      <c r="A1" t="s">
        <v>112</v>
      </c>
    </row>
    <row r="2" spans="1:3" ht="28.5" x14ac:dyDescent="0.2">
      <c r="A2" s="1" t="s">
        <v>61</v>
      </c>
      <c r="B2" s="1" t="s">
        <v>62</v>
      </c>
      <c r="C2" s="2" t="s">
        <v>35</v>
      </c>
    </row>
    <row r="3" spans="1:3" x14ac:dyDescent="0.2">
      <c r="A3" s="3" t="s">
        <v>0</v>
      </c>
      <c r="B3" s="3" t="s">
        <v>6</v>
      </c>
      <c r="C3" s="4" t="s">
        <v>3</v>
      </c>
    </row>
    <row r="4" spans="1:3" ht="28.5" x14ac:dyDescent="0.2">
      <c r="A4" s="3" t="s">
        <v>4</v>
      </c>
      <c r="B4" s="3" t="s">
        <v>107</v>
      </c>
      <c r="C4" s="4">
        <v>302</v>
      </c>
    </row>
    <row r="5" spans="1:3" x14ac:dyDescent="0.2">
      <c r="A5" s="3"/>
      <c r="B5" s="4">
        <f>302/350.13</f>
        <v>0.86253677205609347</v>
      </c>
      <c r="C5" s="18">
        <f>C4/B5</f>
        <v>350.13</v>
      </c>
    </row>
    <row r="6" spans="1:3" x14ac:dyDescent="0.2">
      <c r="A6" s="3"/>
      <c r="B6" s="3"/>
      <c r="C6" s="10">
        <f>C4/B5</f>
        <v>350.13</v>
      </c>
    </row>
    <row r="7" spans="1:3" ht="28.5" x14ac:dyDescent="0.2">
      <c r="A7" s="27" t="s">
        <v>111</v>
      </c>
      <c r="B7" s="3" t="s">
        <v>108</v>
      </c>
      <c r="C7" s="3"/>
    </row>
    <row r="8" spans="1:3" x14ac:dyDescent="0.2">
      <c r="A8" s="3"/>
      <c r="B8" s="3" t="s">
        <v>78</v>
      </c>
      <c r="C8" s="3"/>
    </row>
    <row r="9" spans="1:3" x14ac:dyDescent="0.2">
      <c r="A9" s="3" t="s">
        <v>13</v>
      </c>
      <c r="B9" s="4">
        <f>C6</f>
        <v>350.13</v>
      </c>
      <c r="C9" s="4"/>
    </row>
    <row r="10" spans="1:3" x14ac:dyDescent="0.2">
      <c r="A10" s="3" t="s">
        <v>14</v>
      </c>
      <c r="B10" s="4">
        <v>0</v>
      </c>
      <c r="C10" s="4"/>
    </row>
    <row r="11" spans="1:3" x14ac:dyDescent="0.2">
      <c r="A11" s="3" t="s">
        <v>15</v>
      </c>
      <c r="B11" s="4">
        <f t="shared" ref="B11" si="0">SUM(B9:B10)</f>
        <v>350.13</v>
      </c>
      <c r="C11" s="4"/>
    </row>
    <row r="12" spans="1:3" x14ac:dyDescent="0.2">
      <c r="A12" s="3" t="s">
        <v>16</v>
      </c>
      <c r="B12" s="4">
        <v>0</v>
      </c>
      <c r="C12" s="4"/>
    </row>
    <row r="13" spans="1:3" x14ac:dyDescent="0.2">
      <c r="A13" s="3" t="s">
        <v>17</v>
      </c>
      <c r="B13" s="4"/>
      <c r="C13" s="4"/>
    </row>
    <row r="14" spans="1:3" x14ac:dyDescent="0.2">
      <c r="A14" s="3"/>
      <c r="B14" s="4">
        <f t="shared" ref="B14" si="1">B11+B12+B13</f>
        <v>350.13</v>
      </c>
      <c r="C14" s="4"/>
    </row>
    <row r="15" spans="1:3" x14ac:dyDescent="0.2">
      <c r="A15" s="3" t="s">
        <v>18</v>
      </c>
      <c r="B15" s="4">
        <f>B14*0.12</f>
        <v>42.015599999999999</v>
      </c>
      <c r="C15" s="4"/>
    </row>
    <row r="16" spans="1:3" x14ac:dyDescent="0.2">
      <c r="A16" s="3" t="s">
        <v>20</v>
      </c>
      <c r="B16" s="4">
        <f t="shared" ref="B16" si="2">B14+B15</f>
        <v>392.1456</v>
      </c>
      <c r="C16" s="4"/>
    </row>
    <row r="17" spans="1:3" x14ac:dyDescent="0.2">
      <c r="A17" s="3" t="s">
        <v>19</v>
      </c>
      <c r="B17" s="4">
        <f t="shared" ref="B17" si="3">B16*0.21</f>
        <v>82.350576000000004</v>
      </c>
      <c r="C17" s="4"/>
    </row>
    <row r="18" spans="1:3" x14ac:dyDescent="0.2">
      <c r="A18" s="3" t="s">
        <v>109</v>
      </c>
      <c r="B18" s="17">
        <v>15</v>
      </c>
    </row>
    <row r="19" spans="1:3" x14ac:dyDescent="0.2">
      <c r="A19" s="3" t="s">
        <v>110</v>
      </c>
      <c r="B19" s="17">
        <f>B18*0.21</f>
        <v>3.15</v>
      </c>
    </row>
    <row r="20" spans="1:3" x14ac:dyDescent="0.2">
      <c r="A20" s="3" t="s">
        <v>77</v>
      </c>
      <c r="B20" s="26">
        <f>B18+B19+B17+B15</f>
        <v>142.516176</v>
      </c>
    </row>
  </sheetData>
  <phoneticPr fontId="4" type="noConversion"/>
  <pageMargins left="0.7" right="0.7" top="0.75" bottom="0.75" header="0.3" footer="0.3"/>
  <ignoredErrors>
    <ignoredError sqref="A7" numberStoredAsText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9336F-5E27-45BB-B612-72F09CEC534C}">
  <sheetPr>
    <pageSetUpPr fitToPage="1"/>
  </sheetPr>
  <dimension ref="A1:R21"/>
  <sheetViews>
    <sheetView topLeftCell="H2" workbookViewId="0">
      <selection activeCell="K14" sqref="K14"/>
    </sheetView>
  </sheetViews>
  <sheetFormatPr defaultRowHeight="14.25" x14ac:dyDescent="0.2"/>
  <cols>
    <col min="1" max="1" width="21.375" customWidth="1"/>
    <col min="2" max="2" width="23.5" customWidth="1"/>
    <col min="3" max="3" width="16.375" customWidth="1"/>
    <col min="4" max="4" width="11.625" bestFit="1" customWidth="1"/>
    <col min="5" max="8" width="11.625" customWidth="1"/>
    <col min="9" max="9" width="15.25" customWidth="1"/>
    <col min="10" max="10" width="14" customWidth="1"/>
    <col min="11" max="11" width="12.875" bestFit="1" customWidth="1"/>
    <col min="12" max="12" width="12.875" customWidth="1"/>
    <col min="13" max="13" width="14.375" customWidth="1"/>
    <col min="14" max="14" width="18.375" customWidth="1"/>
    <col min="15" max="15" width="10.25" bestFit="1" customWidth="1"/>
    <col min="17" max="17" width="10.25" bestFit="1" customWidth="1"/>
    <col min="18" max="18" width="10" bestFit="1" customWidth="1"/>
  </cols>
  <sheetData>
    <row r="1" spans="1:18" x14ac:dyDescent="0.2">
      <c r="A1" t="s">
        <v>55</v>
      </c>
      <c r="B1" s="13">
        <v>44818</v>
      </c>
    </row>
    <row r="3" spans="1:18" ht="28.5" x14ac:dyDescent="0.2">
      <c r="A3" s="1" t="s">
        <v>61</v>
      </c>
      <c r="B3" s="1" t="s">
        <v>62</v>
      </c>
      <c r="C3" s="2" t="s">
        <v>35</v>
      </c>
      <c r="D3" s="1"/>
      <c r="E3" s="1"/>
      <c r="F3" s="1"/>
      <c r="G3" s="1"/>
      <c r="H3" s="1" t="s">
        <v>36</v>
      </c>
      <c r="I3" s="1"/>
      <c r="J3" s="1"/>
      <c r="K3" s="1" t="s">
        <v>35</v>
      </c>
      <c r="L3" s="1"/>
      <c r="M3" s="1" t="s">
        <v>63</v>
      </c>
      <c r="N3" s="1"/>
      <c r="O3" s="1"/>
      <c r="P3" s="1"/>
      <c r="Q3" s="1"/>
      <c r="R3" s="1" t="s">
        <v>72</v>
      </c>
    </row>
    <row r="4" spans="1:18" x14ac:dyDescent="0.2">
      <c r="A4" s="3" t="s">
        <v>0</v>
      </c>
      <c r="B4" s="3" t="s">
        <v>6</v>
      </c>
      <c r="C4" s="4" t="s">
        <v>3</v>
      </c>
      <c r="D4" s="3"/>
      <c r="E4" s="3"/>
      <c r="F4" s="3"/>
      <c r="G4" s="3"/>
      <c r="H4" s="3" t="s">
        <v>7</v>
      </c>
      <c r="I4" s="3"/>
      <c r="J4" s="3"/>
      <c r="K4" s="3" t="s">
        <v>3</v>
      </c>
      <c r="L4" s="3"/>
      <c r="M4" s="3" t="s">
        <v>21</v>
      </c>
      <c r="N4" s="3"/>
      <c r="O4" s="3" t="s">
        <v>65</v>
      </c>
      <c r="P4" s="3" t="s">
        <v>19</v>
      </c>
      <c r="Q4" s="3" t="s">
        <v>35</v>
      </c>
      <c r="R4" s="1" t="s">
        <v>54</v>
      </c>
    </row>
    <row r="5" spans="1:18" ht="28.5" x14ac:dyDescent="0.2">
      <c r="A5" s="3" t="s">
        <v>1</v>
      </c>
      <c r="B5" s="3" t="s">
        <v>57</v>
      </c>
      <c r="C5" s="4">
        <v>87856.26</v>
      </c>
      <c r="D5" s="3"/>
      <c r="E5" s="3"/>
      <c r="F5" s="3"/>
      <c r="G5" s="3"/>
      <c r="H5" s="3" t="s">
        <v>76</v>
      </c>
      <c r="I5" s="3" t="s">
        <v>58</v>
      </c>
      <c r="J5" s="3" t="s">
        <v>60</v>
      </c>
      <c r="K5" s="23">
        <f>H12*I7</f>
        <v>7743.3318530739125</v>
      </c>
      <c r="L5" s="6"/>
      <c r="M5" s="136" t="s">
        <v>22</v>
      </c>
      <c r="N5" s="3" t="s">
        <v>23</v>
      </c>
      <c r="O5" s="4">
        <v>65</v>
      </c>
      <c r="P5" s="4">
        <f>O5*0.21</f>
        <v>13.65</v>
      </c>
      <c r="Q5" s="4">
        <f>O5+P5</f>
        <v>78.650000000000006</v>
      </c>
      <c r="R5" s="1"/>
    </row>
    <row r="6" spans="1:18" ht="28.5" x14ac:dyDescent="0.2">
      <c r="A6" s="3" t="s">
        <v>4</v>
      </c>
      <c r="B6" s="3" t="s">
        <v>56</v>
      </c>
      <c r="C6" s="4">
        <v>96309.36</v>
      </c>
      <c r="D6" s="3"/>
      <c r="E6" s="3"/>
      <c r="F6" s="3"/>
      <c r="G6" s="3"/>
      <c r="H6" s="3" t="s">
        <v>76</v>
      </c>
      <c r="I6" s="3" t="s">
        <v>58</v>
      </c>
      <c r="J6" s="3" t="s">
        <v>59</v>
      </c>
      <c r="K6" s="23">
        <f>L12*I7</f>
        <v>4087.6681469260852</v>
      </c>
      <c r="L6" s="19"/>
      <c r="M6" s="137"/>
      <c r="N6" s="3" t="s">
        <v>24</v>
      </c>
      <c r="O6" s="4">
        <v>1980</v>
      </c>
      <c r="P6" s="4">
        <f t="shared" ref="P6" si="0">O6*0.21</f>
        <v>415.8</v>
      </c>
      <c r="Q6" s="4">
        <f t="shared" ref="Q6:Q9" si="1">O6+P6</f>
        <v>2395.8000000000002</v>
      </c>
      <c r="R6" s="1"/>
    </row>
    <row r="7" spans="1:18" x14ac:dyDescent="0.2">
      <c r="A7" s="3"/>
      <c r="B7" s="3">
        <v>1.0199</v>
      </c>
      <c r="C7" s="18">
        <f>C5/B7</f>
        <v>86142.033532699279</v>
      </c>
      <c r="D7" s="3"/>
      <c r="E7" s="3"/>
      <c r="F7" s="3"/>
      <c r="G7" s="3"/>
      <c r="H7" s="3"/>
      <c r="I7" s="3">
        <f>K7/J7</f>
        <v>0.97204158310253053</v>
      </c>
      <c r="J7" s="3">
        <v>12171.29</v>
      </c>
      <c r="K7" s="3">
        <v>11831</v>
      </c>
      <c r="L7" s="19"/>
      <c r="M7" s="137"/>
      <c r="N7" s="3" t="s">
        <v>45</v>
      </c>
      <c r="O7" s="4">
        <v>30</v>
      </c>
      <c r="P7" s="4">
        <f>O7*0.21</f>
        <v>6.3</v>
      </c>
      <c r="Q7" s="4">
        <f t="shared" si="1"/>
        <v>36.299999999999997</v>
      </c>
      <c r="R7" s="1"/>
    </row>
    <row r="8" spans="1:18" ht="28.5" x14ac:dyDescent="0.2">
      <c r="A8" s="3"/>
      <c r="B8" s="3"/>
      <c r="C8" s="10">
        <f>C6/B7</f>
        <v>94430.199039121479</v>
      </c>
      <c r="D8" s="3"/>
      <c r="E8" s="3"/>
      <c r="F8" s="3"/>
      <c r="G8" s="3"/>
      <c r="H8" s="3" t="s">
        <v>81</v>
      </c>
      <c r="I8" s="3"/>
      <c r="J8" s="3"/>
      <c r="K8" s="3"/>
      <c r="L8" s="19" t="s">
        <v>82</v>
      </c>
      <c r="M8" s="137"/>
      <c r="N8" s="11" t="s">
        <v>64</v>
      </c>
      <c r="O8" s="10">
        <f>11211.87+30.18</f>
        <v>11242.050000000001</v>
      </c>
      <c r="P8" s="10"/>
      <c r="Q8" s="10">
        <f t="shared" si="1"/>
        <v>11242.050000000001</v>
      </c>
      <c r="R8" s="1"/>
    </row>
    <row r="9" spans="1:18" ht="28.5" x14ac:dyDescent="0.2">
      <c r="A9" s="3"/>
      <c r="B9" s="3">
        <v>8517620000</v>
      </c>
      <c r="C9" s="3">
        <v>8518300090</v>
      </c>
      <c r="D9" s="3">
        <v>9113900099</v>
      </c>
      <c r="E9" s="3">
        <v>9102910000</v>
      </c>
      <c r="F9" s="3">
        <v>8504405590</v>
      </c>
      <c r="G9" s="3">
        <v>8544429090</v>
      </c>
      <c r="H9" s="3" t="s">
        <v>81</v>
      </c>
      <c r="I9" s="3">
        <v>8504405590</v>
      </c>
      <c r="J9" s="3">
        <v>8517620000</v>
      </c>
      <c r="K9" s="3">
        <v>9102910000</v>
      </c>
      <c r="L9" s="19" t="s">
        <v>80</v>
      </c>
      <c r="M9" s="137"/>
      <c r="N9" s="6" t="s">
        <v>66</v>
      </c>
      <c r="O9" s="14">
        <v>112.42</v>
      </c>
      <c r="P9" s="14"/>
      <c r="Q9" s="14">
        <f t="shared" si="1"/>
        <v>112.42</v>
      </c>
      <c r="R9" s="1"/>
    </row>
    <row r="10" spans="1:18" x14ac:dyDescent="0.2">
      <c r="A10" s="3"/>
      <c r="B10" s="3" t="s">
        <v>78</v>
      </c>
      <c r="C10" s="3" t="s">
        <v>78</v>
      </c>
      <c r="D10" s="3" t="s">
        <v>78</v>
      </c>
      <c r="E10" s="3"/>
      <c r="F10" s="3"/>
      <c r="G10" s="3"/>
      <c r="H10" s="3"/>
      <c r="I10" s="3" t="s">
        <v>78</v>
      </c>
      <c r="J10" s="4" t="s">
        <v>78</v>
      </c>
      <c r="K10" s="3" t="s">
        <v>28</v>
      </c>
      <c r="L10" s="3" t="s">
        <v>79</v>
      </c>
      <c r="M10" s="139" t="s">
        <v>22</v>
      </c>
      <c r="N10" s="3"/>
      <c r="O10" s="4">
        <f>SUM(O5:O9)</f>
        <v>13429.470000000001</v>
      </c>
      <c r="P10" s="4">
        <f>SUM(P5:P9)</f>
        <v>435.75</v>
      </c>
      <c r="Q10" s="4">
        <f>O10+P10</f>
        <v>13865.220000000001</v>
      </c>
      <c r="R10" s="15">
        <v>44886</v>
      </c>
    </row>
    <row r="11" spans="1:18" ht="28.5" customHeight="1" x14ac:dyDescent="0.2">
      <c r="A11" s="3" t="s">
        <v>13</v>
      </c>
      <c r="B11" s="4">
        <f>36160/1.0199</f>
        <v>35454.456319246987</v>
      </c>
      <c r="C11" s="4">
        <f>7909.2/1.0199</f>
        <v>7754.8779292087456</v>
      </c>
      <c r="D11" s="4">
        <f>32.46/1.0199</f>
        <v>31.826649671536426</v>
      </c>
      <c r="E11" s="4">
        <f>21000/1.0199</f>
        <v>20590.253946465338</v>
      </c>
      <c r="F11" s="4">
        <f>1520/1.0199</f>
        <v>1490.3421904108245</v>
      </c>
      <c r="G11" s="4">
        <f>21234.6/1.0199</f>
        <v>20820.27649769585</v>
      </c>
      <c r="H11" s="18">
        <f>SUM(B11:G11)</f>
        <v>86142.033532699279</v>
      </c>
      <c r="I11" s="4">
        <f>48819.36/1.0199</f>
        <v>47866.810471614866</v>
      </c>
      <c r="J11" s="4">
        <f>40140/1.0199</f>
        <v>39356.79968624375</v>
      </c>
      <c r="K11" s="4">
        <f>7350/1.0199</f>
        <v>7206.5888812628691</v>
      </c>
      <c r="L11" s="10">
        <f>SUM(I11:K11)</f>
        <v>94430.199039121479</v>
      </c>
      <c r="M11" s="139"/>
      <c r="N11" s="3"/>
      <c r="O11" s="4"/>
      <c r="P11" s="4"/>
      <c r="Q11" s="4"/>
      <c r="R11" s="15"/>
    </row>
    <row r="12" spans="1:18" x14ac:dyDescent="0.2">
      <c r="A12" s="3" t="s">
        <v>14</v>
      </c>
      <c r="B12" s="4">
        <v>2411.7199999999998</v>
      </c>
      <c r="C12" s="4">
        <v>839.31</v>
      </c>
      <c r="D12" s="4">
        <v>6.22</v>
      </c>
      <c r="E12" s="4">
        <v>857.42</v>
      </c>
      <c r="F12" s="4">
        <v>116.68</v>
      </c>
      <c r="G12" s="4">
        <v>3734.7</v>
      </c>
      <c r="H12" s="22">
        <f t="shared" ref="H12:H19" si="2">SUM(B12:G12)</f>
        <v>7966.0499999999993</v>
      </c>
      <c r="I12" s="4">
        <v>2996.3</v>
      </c>
      <c r="J12" s="4">
        <v>1036.32</v>
      </c>
      <c r="K12" s="4">
        <v>172.62</v>
      </c>
      <c r="L12" s="22">
        <f t="shared" ref="L12:L19" si="3">SUM(I12:K12)</f>
        <v>4205.24</v>
      </c>
      <c r="M12" s="139"/>
      <c r="N12" s="3"/>
      <c r="O12" s="4" t="s">
        <v>73</v>
      </c>
      <c r="P12" s="4" t="s">
        <v>65</v>
      </c>
      <c r="Q12" s="4" t="s">
        <v>35</v>
      </c>
      <c r="R12" s="15" t="s">
        <v>74</v>
      </c>
    </row>
    <row r="13" spans="1:18" ht="28.5" customHeight="1" x14ac:dyDescent="0.2">
      <c r="A13" s="3" t="s">
        <v>15</v>
      </c>
      <c r="B13" s="4">
        <f t="shared" ref="B13:G13" si="4">SUM(B11:B12)</f>
        <v>37866.176319246988</v>
      </c>
      <c r="C13" s="4">
        <f t="shared" si="4"/>
        <v>8594.1879292087451</v>
      </c>
      <c r="D13" s="4">
        <f t="shared" si="4"/>
        <v>38.046649671536429</v>
      </c>
      <c r="E13" s="4">
        <f t="shared" si="4"/>
        <v>21447.673946465336</v>
      </c>
      <c r="F13" s="4">
        <f t="shared" si="4"/>
        <v>1607.0221904108246</v>
      </c>
      <c r="G13" s="4">
        <f t="shared" si="4"/>
        <v>24554.97649769585</v>
      </c>
      <c r="H13" s="22">
        <f t="shared" si="2"/>
        <v>94108.083532699282</v>
      </c>
      <c r="I13" s="4">
        <f>SUM(I11:I12)</f>
        <v>50863.110471614869</v>
      </c>
      <c r="J13" s="4">
        <f>SUM(J11:J12)</f>
        <v>40393.11968624375</v>
      </c>
      <c r="K13" s="4">
        <f>SUM(K11:K12)</f>
        <v>7379.208881262869</v>
      </c>
      <c r="L13" s="4">
        <f t="shared" si="3"/>
        <v>98635.439039121484</v>
      </c>
      <c r="M13" s="139"/>
      <c r="N13" s="140" t="s">
        <v>67</v>
      </c>
      <c r="O13" s="3">
        <v>3</v>
      </c>
      <c r="P13" s="3">
        <v>3.14</v>
      </c>
      <c r="Q13" s="3">
        <f>P13*O13</f>
        <v>9.42</v>
      </c>
      <c r="R13" s="3" t="s">
        <v>68</v>
      </c>
    </row>
    <row r="14" spans="1:18" x14ac:dyDescent="0.2">
      <c r="A14" s="3" t="s">
        <v>16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f t="shared" si="2"/>
        <v>0</v>
      </c>
      <c r="I14" s="4">
        <v>0</v>
      </c>
      <c r="J14" s="4"/>
      <c r="K14" s="4"/>
      <c r="L14" s="4">
        <f t="shared" si="3"/>
        <v>0</v>
      </c>
      <c r="M14" s="139"/>
      <c r="N14" s="140"/>
      <c r="O14" s="16">
        <v>6</v>
      </c>
      <c r="P14" s="16">
        <v>6.28</v>
      </c>
      <c r="Q14" s="3">
        <f>P14*O14</f>
        <v>37.68</v>
      </c>
      <c r="R14" s="17" t="s">
        <v>69</v>
      </c>
    </row>
    <row r="15" spans="1:18" x14ac:dyDescent="0.2">
      <c r="A15" s="3" t="s">
        <v>17</v>
      </c>
      <c r="B15" s="4">
        <v>76.97</v>
      </c>
      <c r="C15" s="4">
        <v>16.829999999999998</v>
      </c>
      <c r="D15" s="4">
        <v>7.0000000000000007E-2</v>
      </c>
      <c r="E15" s="4">
        <v>44.7</v>
      </c>
      <c r="F15" s="4">
        <v>3.24</v>
      </c>
      <c r="G15" s="4">
        <v>45.2</v>
      </c>
      <c r="H15" s="4">
        <f t="shared" si="2"/>
        <v>187.01</v>
      </c>
      <c r="I15" s="4">
        <v>48.16</v>
      </c>
      <c r="J15" s="4">
        <v>39.590000000000003</v>
      </c>
      <c r="K15" s="4">
        <v>7.25</v>
      </c>
      <c r="L15" s="4">
        <f t="shared" si="3"/>
        <v>95</v>
      </c>
      <c r="M15" s="139"/>
      <c r="N15" s="140" t="s">
        <v>47</v>
      </c>
      <c r="O15" s="3">
        <v>7</v>
      </c>
      <c r="P15" s="3">
        <v>46</v>
      </c>
      <c r="Q15" s="3">
        <f t="shared" ref="Q15:Q16" si="5">P15*O15</f>
        <v>322</v>
      </c>
      <c r="R15" s="3" t="s">
        <v>70</v>
      </c>
    </row>
    <row r="16" spans="1:18" x14ac:dyDescent="0.2">
      <c r="A16" s="3"/>
      <c r="B16" s="4">
        <f t="shared" ref="B16:D16" si="6">B13+B14+B15</f>
        <v>37943.146319246989</v>
      </c>
      <c r="C16" s="4">
        <f t="shared" si="6"/>
        <v>8611.017929208745</v>
      </c>
      <c r="D16" s="4">
        <f t="shared" si="6"/>
        <v>38.116649671536429</v>
      </c>
      <c r="E16" s="4">
        <f t="shared" ref="E16:G16" si="7">E13+E14+E15</f>
        <v>21492.373946465337</v>
      </c>
      <c r="F16" s="4">
        <f t="shared" ref="F16" si="8">F13+F14+F15</f>
        <v>1610.2621904108246</v>
      </c>
      <c r="G16" s="4">
        <f t="shared" si="7"/>
        <v>24600.176497695851</v>
      </c>
      <c r="H16" s="4">
        <f t="shared" si="2"/>
        <v>94295.093532699291</v>
      </c>
      <c r="I16" s="4">
        <f t="shared" ref="I16:J16" si="9">I13+I14+I15</f>
        <v>50911.270471614873</v>
      </c>
      <c r="J16" s="4">
        <f t="shared" si="9"/>
        <v>40432.709686243747</v>
      </c>
      <c r="K16" s="4">
        <f t="shared" ref="K16" si="10">K13+K14+K15</f>
        <v>7386.458881262869</v>
      </c>
      <c r="L16" s="4">
        <f t="shared" si="3"/>
        <v>98730.439039121484</v>
      </c>
      <c r="M16" s="139"/>
      <c r="N16" s="140"/>
      <c r="O16" s="3">
        <v>3</v>
      </c>
      <c r="P16" s="3">
        <v>73</v>
      </c>
      <c r="Q16" s="3">
        <f t="shared" si="5"/>
        <v>219</v>
      </c>
      <c r="R16" s="3" t="s">
        <v>71</v>
      </c>
    </row>
    <row r="17" spans="1:18" ht="28.5" x14ac:dyDescent="0.2">
      <c r="A17" s="3" t="s">
        <v>18</v>
      </c>
      <c r="B17" s="4"/>
      <c r="C17" s="4"/>
      <c r="D17" s="4">
        <f>D13*0.06</f>
        <v>2.2827989802921858</v>
      </c>
      <c r="E17" s="4">
        <f>5000*0.3</f>
        <v>1500</v>
      </c>
      <c r="F17" s="4"/>
      <c r="G17" s="4">
        <f>G13*0.033</f>
        <v>810.31422442396308</v>
      </c>
      <c r="H17" s="4">
        <f t="shared" si="2"/>
        <v>2312.5970234042552</v>
      </c>
      <c r="I17" s="4"/>
      <c r="J17" s="4"/>
      <c r="K17" s="4">
        <f>K13*0.045</f>
        <v>332.0643996568291</v>
      </c>
      <c r="L17" s="4">
        <f t="shared" si="3"/>
        <v>332.0643996568291</v>
      </c>
      <c r="M17" s="139"/>
      <c r="N17" s="3" t="s">
        <v>75</v>
      </c>
      <c r="O17" s="3"/>
      <c r="P17" s="3"/>
      <c r="Q17" s="3">
        <v>10</v>
      </c>
      <c r="R17" s="3"/>
    </row>
    <row r="18" spans="1:18" x14ac:dyDescent="0.2">
      <c r="A18" s="3" t="s">
        <v>20</v>
      </c>
      <c r="B18" s="4">
        <f t="shared" ref="B18:D18" si="11">B16+B17</f>
        <v>37943.146319246989</v>
      </c>
      <c r="C18" s="4">
        <f t="shared" si="11"/>
        <v>8611.017929208745</v>
      </c>
      <c r="D18" s="4">
        <f t="shared" si="11"/>
        <v>40.399448651828614</v>
      </c>
      <c r="E18" s="4">
        <f t="shared" ref="E18:G18" si="12">E16+E17</f>
        <v>22992.373946465337</v>
      </c>
      <c r="F18" s="4">
        <f t="shared" ref="F18" si="13">F16+F17</f>
        <v>1610.2621904108246</v>
      </c>
      <c r="G18" s="4">
        <f t="shared" si="12"/>
        <v>25410.490722119815</v>
      </c>
      <c r="H18" s="4">
        <f t="shared" si="2"/>
        <v>96607.690556103538</v>
      </c>
      <c r="I18" s="4">
        <f t="shared" ref="I18" si="14">I16+I17</f>
        <v>50911.270471614873</v>
      </c>
      <c r="J18" s="4">
        <f t="shared" ref="J18:K18" si="15">J16+J17</f>
        <v>40432.709686243747</v>
      </c>
      <c r="K18" s="4">
        <f t="shared" si="15"/>
        <v>7718.5232809196978</v>
      </c>
      <c r="L18" s="4">
        <f t="shared" si="3"/>
        <v>99062.503438778323</v>
      </c>
      <c r="M18" s="139"/>
      <c r="N18" s="3" t="s">
        <v>77</v>
      </c>
      <c r="O18" s="3"/>
      <c r="P18" s="3"/>
      <c r="Q18" s="3">
        <f>SUM(Q13:Q17)</f>
        <v>598.1</v>
      </c>
      <c r="R18" s="3"/>
    </row>
    <row r="19" spans="1:18" x14ac:dyDescent="0.2">
      <c r="A19" s="3" t="s">
        <v>19</v>
      </c>
      <c r="B19" s="4">
        <f t="shared" ref="B19:D19" si="16">B18*0.21</f>
        <v>7968.0607270418677</v>
      </c>
      <c r="C19" s="4">
        <f t="shared" si="16"/>
        <v>1808.3137651338363</v>
      </c>
      <c r="D19" s="4">
        <f t="shared" si="16"/>
        <v>8.4838842168840092</v>
      </c>
      <c r="E19" s="4">
        <f t="shared" ref="E19:G19" si="17">E18*0.21</f>
        <v>4828.3985287577207</v>
      </c>
      <c r="F19" s="4">
        <f t="shared" ref="F19" si="18">F18*0.21</f>
        <v>338.15505998627316</v>
      </c>
      <c r="G19" s="4">
        <f t="shared" si="17"/>
        <v>5336.2030516451614</v>
      </c>
      <c r="H19" s="4">
        <f t="shared" si="2"/>
        <v>20287.615016781743</v>
      </c>
      <c r="I19" s="4">
        <f t="shared" ref="I19" si="19">I18*0.21</f>
        <v>10691.366799039122</v>
      </c>
      <c r="J19" s="4">
        <f t="shared" ref="J19:K19" si="20">J18*0.21</f>
        <v>8490.8690341111869</v>
      </c>
      <c r="K19" s="4">
        <f t="shared" si="20"/>
        <v>1620.8898889931365</v>
      </c>
      <c r="L19" s="4">
        <f t="shared" si="3"/>
        <v>20803.125722143446</v>
      </c>
      <c r="M19" s="139"/>
      <c r="N19" s="3"/>
      <c r="O19" s="3"/>
      <c r="P19" s="3"/>
      <c r="Q19" s="3"/>
      <c r="R19" s="3"/>
    </row>
    <row r="20" spans="1:18" x14ac:dyDescent="0.2">
      <c r="H20" s="21">
        <f>H17+H19</f>
        <v>22600.212040185997</v>
      </c>
      <c r="I20" s="20"/>
      <c r="J20" s="20"/>
      <c r="K20" s="20"/>
      <c r="L20" s="21">
        <f t="shared" ref="L20" si="21">L17+L19</f>
        <v>21135.190121800275</v>
      </c>
      <c r="N20" s="1"/>
      <c r="O20" s="1"/>
      <c r="P20" s="1"/>
      <c r="Q20" s="1"/>
      <c r="R20" s="1"/>
    </row>
    <row r="21" spans="1:18" x14ac:dyDescent="0.2">
      <c r="N21" s="1"/>
      <c r="O21" s="1"/>
      <c r="P21" s="1"/>
      <c r="Q21" s="1"/>
      <c r="R21" s="1"/>
    </row>
  </sheetData>
  <mergeCells count="4">
    <mergeCell ref="M5:M9"/>
    <mergeCell ref="M10:M19"/>
    <mergeCell ref="N13:N14"/>
    <mergeCell ref="N15:N16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51" orientation="landscape" horizontalDpi="0" verticalDpi="0" r:id="rId1"/>
  <ignoredErrors>
    <ignoredError sqref="H13 H16 H18:H1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80A02-7748-498B-B3D6-878D4DBA4317}">
  <dimension ref="A1:M21"/>
  <sheetViews>
    <sheetView workbookViewId="0">
      <selection activeCell="F24" sqref="F24"/>
    </sheetView>
  </sheetViews>
  <sheetFormatPr defaultRowHeight="14.25" x14ac:dyDescent="0.2"/>
  <cols>
    <col min="1" max="1" width="7.125" customWidth="1"/>
    <col min="2" max="2" width="11.5" customWidth="1"/>
    <col min="3" max="3" width="14.625" style="1" bestFit="1" customWidth="1"/>
    <col min="4" max="4" width="9.125" bestFit="1" customWidth="1"/>
    <col min="5" max="5" width="13.5" customWidth="1"/>
    <col min="6" max="6" width="10.5" customWidth="1"/>
    <col min="7" max="7" width="10" customWidth="1"/>
    <col min="8" max="8" width="11.375" customWidth="1"/>
    <col min="9" max="9" width="12.125" bestFit="1" customWidth="1"/>
    <col min="10" max="10" width="11.125" bestFit="1" customWidth="1"/>
  </cols>
  <sheetData>
    <row r="1" spans="1:13" x14ac:dyDescent="0.2">
      <c r="A1" t="s">
        <v>283</v>
      </c>
      <c r="B1" t="s">
        <v>284</v>
      </c>
      <c r="C1" s="1" t="s">
        <v>285</v>
      </c>
      <c r="D1" t="s">
        <v>50</v>
      </c>
      <c r="E1" t="s">
        <v>18</v>
      </c>
      <c r="F1" t="s">
        <v>289</v>
      </c>
      <c r="G1" t="s">
        <v>290</v>
      </c>
      <c r="H1" t="s">
        <v>286</v>
      </c>
      <c r="I1" t="s">
        <v>287</v>
      </c>
    </row>
    <row r="2" spans="1:13" ht="27.95" customHeight="1" x14ac:dyDescent="0.2">
      <c r="A2" s="17" t="s">
        <v>223</v>
      </c>
      <c r="B2" s="59">
        <v>45043</v>
      </c>
      <c r="C2" s="133" t="s">
        <v>288</v>
      </c>
      <c r="D2">
        <v>20021845</v>
      </c>
      <c r="E2" t="s">
        <v>224</v>
      </c>
      <c r="F2" t="s">
        <v>226</v>
      </c>
      <c r="H2" t="s">
        <v>297</v>
      </c>
    </row>
    <row r="3" spans="1:13" x14ac:dyDescent="0.2">
      <c r="A3" s="17"/>
      <c r="B3" s="59"/>
      <c r="C3" s="133"/>
      <c r="D3">
        <v>20021910</v>
      </c>
      <c r="E3" t="s">
        <v>237</v>
      </c>
      <c r="F3" t="s">
        <v>162</v>
      </c>
      <c r="H3" t="s">
        <v>298</v>
      </c>
    </row>
    <row r="4" spans="1:13" x14ac:dyDescent="0.2">
      <c r="A4" s="17" t="s">
        <v>279</v>
      </c>
      <c r="B4" s="59">
        <v>45058</v>
      </c>
      <c r="C4" s="1" t="s">
        <v>295</v>
      </c>
    </row>
    <row r="5" spans="1:13" x14ac:dyDescent="0.2">
      <c r="A5" t="s">
        <v>294</v>
      </c>
      <c r="B5" s="59">
        <v>45068</v>
      </c>
      <c r="D5">
        <v>20022707</v>
      </c>
      <c r="E5" t="s">
        <v>300</v>
      </c>
      <c r="H5" t="s">
        <v>291</v>
      </c>
    </row>
    <row r="7" spans="1:13" ht="15.75" x14ac:dyDescent="0.2">
      <c r="A7" s="73" t="s">
        <v>301</v>
      </c>
      <c r="B7" s="74" t="s">
        <v>307</v>
      </c>
      <c r="C7" s="75" t="s">
        <v>113</v>
      </c>
      <c r="D7" s="75" t="s">
        <v>308</v>
      </c>
      <c r="E7" s="75" t="s">
        <v>309</v>
      </c>
      <c r="F7" s="76" t="s">
        <v>302</v>
      </c>
      <c r="G7" s="76" t="s">
        <v>303</v>
      </c>
      <c r="H7" s="76"/>
      <c r="I7" s="76" t="s">
        <v>19</v>
      </c>
      <c r="J7" s="120">
        <v>45046</v>
      </c>
      <c r="K7" s="121" t="s">
        <v>466</v>
      </c>
      <c r="L7" s="122" t="s">
        <v>469</v>
      </c>
      <c r="M7" s="123">
        <v>2918.55</v>
      </c>
    </row>
    <row r="8" spans="1:13" ht="16.5" x14ac:dyDescent="0.2">
      <c r="A8" s="17">
        <v>31</v>
      </c>
      <c r="B8" s="77" t="s">
        <v>304</v>
      </c>
      <c r="C8" s="78" t="s">
        <v>305</v>
      </c>
      <c r="D8" s="79">
        <v>230302</v>
      </c>
      <c r="E8" s="80">
        <v>45006</v>
      </c>
      <c r="F8" s="81">
        <v>45035</v>
      </c>
      <c r="G8" s="17" t="s">
        <v>306</v>
      </c>
      <c r="H8" s="17" t="s">
        <v>400</v>
      </c>
      <c r="I8" s="35">
        <v>27422.855849474548</v>
      </c>
      <c r="J8" s="116">
        <v>45044</v>
      </c>
      <c r="K8" s="117" t="s">
        <v>466</v>
      </c>
      <c r="L8" s="118" t="s">
        <v>467</v>
      </c>
      <c r="M8" s="119">
        <v>24183.69</v>
      </c>
    </row>
    <row r="9" spans="1:13" x14ac:dyDescent="0.2">
      <c r="A9" s="17">
        <v>35</v>
      </c>
      <c r="B9" s="82" t="s">
        <v>403</v>
      </c>
      <c r="C9" s="82" t="s">
        <v>398</v>
      </c>
      <c r="D9" s="79">
        <v>230401</v>
      </c>
      <c r="E9" s="83">
        <v>45025</v>
      </c>
      <c r="F9" s="83">
        <v>45052</v>
      </c>
      <c r="G9" s="17" t="s">
        <v>306</v>
      </c>
      <c r="H9" s="17" t="s">
        <v>401</v>
      </c>
      <c r="I9" s="35"/>
      <c r="J9" s="116">
        <v>45044</v>
      </c>
      <c r="K9" s="117" t="s">
        <v>466</v>
      </c>
      <c r="L9" s="118" t="s">
        <v>468</v>
      </c>
      <c r="M9" s="119">
        <v>3239.16</v>
      </c>
    </row>
    <row r="10" spans="1:13" x14ac:dyDescent="0.2">
      <c r="A10" s="17">
        <v>36</v>
      </c>
      <c r="B10" s="78" t="s">
        <v>304</v>
      </c>
      <c r="C10" s="78" t="s">
        <v>282</v>
      </c>
      <c r="D10" s="79">
        <v>230402</v>
      </c>
      <c r="E10" s="83">
        <v>45027</v>
      </c>
      <c r="F10" s="83">
        <v>45056</v>
      </c>
      <c r="G10" s="17" t="s">
        <v>306</v>
      </c>
      <c r="H10" s="17" t="s">
        <v>400</v>
      </c>
      <c r="I10" s="35">
        <v>9268.1491741034461</v>
      </c>
      <c r="J10" s="116">
        <v>45058</v>
      </c>
      <c r="K10" s="117" t="s">
        <v>466</v>
      </c>
      <c r="L10" s="118" t="s">
        <v>470</v>
      </c>
      <c r="M10" s="119">
        <v>9268.15</v>
      </c>
    </row>
    <row r="11" spans="1:13" x14ac:dyDescent="0.2">
      <c r="A11" s="17">
        <v>37</v>
      </c>
      <c r="B11" s="78" t="s">
        <v>304</v>
      </c>
      <c r="C11" s="78" t="s">
        <v>293</v>
      </c>
      <c r="D11" s="79">
        <v>230403</v>
      </c>
      <c r="E11" s="83">
        <v>45033</v>
      </c>
      <c r="F11" s="83">
        <v>45063</v>
      </c>
      <c r="G11" s="17" t="s">
        <v>306</v>
      </c>
      <c r="H11" s="17" t="s">
        <v>402</v>
      </c>
      <c r="I11" s="35">
        <v>12190.326507206157</v>
      </c>
      <c r="J11" s="116">
        <v>45071</v>
      </c>
      <c r="K11" s="117" t="s">
        <v>466</v>
      </c>
      <c r="L11" s="118" t="s">
        <v>471</v>
      </c>
      <c r="M11" s="119">
        <v>12190.32</v>
      </c>
    </row>
    <row r="12" spans="1:13" x14ac:dyDescent="0.2">
      <c r="A12" s="17">
        <v>38</v>
      </c>
      <c r="B12" s="78" t="s">
        <v>312</v>
      </c>
      <c r="C12" s="78" t="s">
        <v>313</v>
      </c>
      <c r="D12" s="79">
        <v>230404</v>
      </c>
      <c r="E12" s="83">
        <v>45037</v>
      </c>
      <c r="F12" s="83">
        <v>45070</v>
      </c>
      <c r="G12" s="17" t="s">
        <v>306</v>
      </c>
      <c r="H12" s="17" t="s">
        <v>400</v>
      </c>
      <c r="I12" s="35">
        <v>14312.592903039424</v>
      </c>
      <c r="J12" s="116">
        <v>45077</v>
      </c>
      <c r="K12" s="117" t="s">
        <v>466</v>
      </c>
      <c r="L12" s="118" t="s">
        <v>472</v>
      </c>
      <c r="M12" s="119">
        <v>14312.59</v>
      </c>
    </row>
    <row r="13" spans="1:13" x14ac:dyDescent="0.2">
      <c r="A13" s="17">
        <v>39</v>
      </c>
      <c r="B13" s="82" t="s">
        <v>314</v>
      </c>
      <c r="C13" s="82" t="s">
        <v>315</v>
      </c>
      <c r="D13" s="79">
        <v>230405</v>
      </c>
      <c r="E13" s="83">
        <v>45050</v>
      </c>
      <c r="F13" s="83">
        <v>45073</v>
      </c>
      <c r="G13" s="17" t="s">
        <v>306</v>
      </c>
      <c r="H13" s="17"/>
      <c r="I13" s="35">
        <v>18721.72</v>
      </c>
    </row>
    <row r="14" spans="1:13" x14ac:dyDescent="0.2">
      <c r="A14" s="17">
        <v>38</v>
      </c>
      <c r="B14" s="78" t="s">
        <v>312</v>
      </c>
      <c r="C14" s="78" t="s">
        <v>407</v>
      </c>
      <c r="D14" s="79">
        <v>230408</v>
      </c>
      <c r="E14" s="83">
        <v>45052</v>
      </c>
      <c r="F14" s="83">
        <v>45098</v>
      </c>
      <c r="G14" s="17" t="s">
        <v>306</v>
      </c>
      <c r="H14" s="17" t="s">
        <v>400</v>
      </c>
      <c r="I14" s="35">
        <v>22911.559850010155</v>
      </c>
    </row>
    <row r="15" spans="1:13" x14ac:dyDescent="0.2">
      <c r="I15" s="20">
        <f>SUM(I8:I14)</f>
        <v>104827.20428383374</v>
      </c>
    </row>
    <row r="16" spans="1:13" x14ac:dyDescent="0.2">
      <c r="I16" s="20">
        <v>66000</v>
      </c>
    </row>
    <row r="17" spans="9:9" x14ac:dyDescent="0.2">
      <c r="I17" s="20">
        <f>I16+I15</f>
        <v>170827.20428383374</v>
      </c>
    </row>
    <row r="18" spans="9:9" x14ac:dyDescent="0.2">
      <c r="I18">
        <v>-91457</v>
      </c>
    </row>
    <row r="19" spans="9:9" x14ac:dyDescent="0.2">
      <c r="I19" s="20">
        <v>-22903</v>
      </c>
    </row>
    <row r="20" spans="9:9" x14ac:dyDescent="0.2">
      <c r="I20" s="20">
        <f>I18+I19</f>
        <v>-114360</v>
      </c>
    </row>
    <row r="21" spans="9:9" x14ac:dyDescent="0.2">
      <c r="I21" s="20">
        <f>I17+I20</f>
        <v>56467.204283833737</v>
      </c>
    </row>
  </sheetData>
  <mergeCells count="1">
    <mergeCell ref="C2:C3"/>
  </mergeCells>
  <phoneticPr fontId="4" type="noConversion"/>
  <conditionalFormatting sqref="C7">
    <cfRule type="duplicateValues" dxfId="7" priority="2"/>
  </conditionalFormatting>
  <conditionalFormatting sqref="C8">
    <cfRule type="duplicateValues" dxfId="6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F85F-0359-410A-8A8F-1F22FC5FAADB}">
  <dimension ref="A1:AC2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21" sqref="E21"/>
    </sheetView>
  </sheetViews>
  <sheetFormatPr defaultRowHeight="14.25" outlineLevelCol="1" x14ac:dyDescent="0.2"/>
  <cols>
    <col min="1" max="1" width="13.125" customWidth="1"/>
    <col min="2" max="3" width="13.125" customWidth="1" outlineLevel="1"/>
    <col min="4" max="4" width="20.125" customWidth="1" outlineLevel="1"/>
    <col min="5" max="5" width="16.625" customWidth="1"/>
    <col min="6" max="6" width="8.5" customWidth="1" outlineLevel="1"/>
    <col min="7" max="7" width="11.375" customWidth="1" outlineLevel="1"/>
    <col min="8" max="8" width="13" customWidth="1" outlineLevel="1"/>
    <col min="9" max="13" width="11.375" customWidth="1" outlineLevel="1"/>
    <col min="14" max="15" width="11.625" customWidth="1"/>
    <col min="16" max="16" width="17" customWidth="1"/>
    <col min="17" max="17" width="22.25" customWidth="1"/>
    <col min="18" max="18" width="33.25" customWidth="1"/>
    <col min="19" max="19" width="11.875" customWidth="1"/>
    <col min="20" max="20" width="17.875" customWidth="1"/>
    <col min="21" max="21" width="11.5" customWidth="1"/>
    <col min="22" max="22" width="15.5" customWidth="1"/>
    <col min="23" max="23" width="11.375" customWidth="1"/>
    <col min="25" max="25" width="10.25" bestFit="1" customWidth="1"/>
    <col min="26" max="26" width="13.125" bestFit="1" customWidth="1"/>
    <col min="27" max="27" width="15.375" style="1" customWidth="1"/>
    <col min="28" max="28" width="16.75" style="1" customWidth="1"/>
  </cols>
  <sheetData>
    <row r="1" spans="1:29" x14ac:dyDescent="0.2">
      <c r="A1" s="56" t="s">
        <v>160</v>
      </c>
      <c r="B1" s="56"/>
      <c r="C1" s="56"/>
      <c r="D1" s="56"/>
      <c r="E1" s="56">
        <v>12220.460000000005</v>
      </c>
      <c r="F1" s="56"/>
      <c r="G1" s="60">
        <v>426703.28287111386</v>
      </c>
      <c r="H1" s="60"/>
      <c r="I1" s="60">
        <v>36981</v>
      </c>
      <c r="J1" s="60">
        <v>55.54</v>
      </c>
      <c r="K1" s="60">
        <v>45063.237128886154</v>
      </c>
      <c r="L1" s="60">
        <v>600121.62</v>
      </c>
      <c r="M1" s="60">
        <v>126025.54694885721</v>
      </c>
      <c r="N1" s="60">
        <v>126644.437293708</v>
      </c>
      <c r="O1" s="60"/>
      <c r="P1" s="56"/>
      <c r="Q1" s="56"/>
      <c r="R1" s="56"/>
      <c r="S1" s="56"/>
      <c r="T1" s="56"/>
      <c r="U1" s="60">
        <v>566253.07999999996</v>
      </c>
      <c r="V1" s="60">
        <v>181695.02</v>
      </c>
      <c r="W1" s="57">
        <v>506314.62</v>
      </c>
    </row>
    <row r="2" spans="1:29" ht="27" x14ac:dyDescent="0.35">
      <c r="A2" s="28" t="s">
        <v>113</v>
      </c>
      <c r="B2" s="36" t="s">
        <v>232</v>
      </c>
      <c r="C2" s="36" t="s">
        <v>176</v>
      </c>
      <c r="D2" s="36" t="s">
        <v>122</v>
      </c>
      <c r="E2" s="36" t="s">
        <v>177</v>
      </c>
      <c r="F2" s="36" t="s">
        <v>169</v>
      </c>
      <c r="G2" s="29" t="s">
        <v>123</v>
      </c>
      <c r="H2" s="29" t="s">
        <v>178</v>
      </c>
      <c r="I2" s="29" t="s">
        <v>14</v>
      </c>
      <c r="J2" s="29" t="s">
        <v>172</v>
      </c>
      <c r="K2" s="29" t="s">
        <v>171</v>
      </c>
      <c r="L2" s="29" t="s">
        <v>132</v>
      </c>
      <c r="M2" s="28" t="s">
        <v>19</v>
      </c>
      <c r="N2" s="30" t="s">
        <v>143</v>
      </c>
      <c r="O2" s="30"/>
      <c r="P2" s="30" t="s">
        <v>227</v>
      </c>
      <c r="Q2" s="30" t="s">
        <v>174</v>
      </c>
      <c r="R2" s="29" t="s">
        <v>189</v>
      </c>
      <c r="S2" s="29" t="s">
        <v>187</v>
      </c>
      <c r="T2" s="28" t="s">
        <v>121</v>
      </c>
      <c r="U2" s="29" t="s">
        <v>168</v>
      </c>
      <c r="V2" s="28" t="s">
        <v>141</v>
      </c>
      <c r="W2" s="28" t="s">
        <v>142</v>
      </c>
      <c r="AA2"/>
      <c r="AC2" s="1"/>
    </row>
    <row r="3" spans="1:29" x14ac:dyDescent="0.2">
      <c r="A3" s="17" t="s">
        <v>114</v>
      </c>
      <c r="B3" s="59">
        <v>44796</v>
      </c>
      <c r="C3" s="17" t="s">
        <v>182</v>
      </c>
      <c r="D3" s="17"/>
      <c r="E3" s="17"/>
      <c r="F3" s="17" t="s">
        <v>170</v>
      </c>
      <c r="G3" s="26">
        <v>350.13</v>
      </c>
      <c r="H3" s="37"/>
      <c r="I3" s="26"/>
      <c r="J3" s="26"/>
      <c r="K3" s="26">
        <v>42.019999999999982</v>
      </c>
      <c r="L3" s="26">
        <v>392.15</v>
      </c>
      <c r="M3" s="26">
        <v>82.350576000000004</v>
      </c>
      <c r="N3" s="26">
        <v>85.5</v>
      </c>
      <c r="O3" s="26"/>
      <c r="P3" s="26"/>
      <c r="Q3" s="26" t="s">
        <v>108</v>
      </c>
      <c r="R3" s="17" t="s">
        <v>117</v>
      </c>
      <c r="S3" s="59">
        <v>44774</v>
      </c>
      <c r="T3" s="17" t="s">
        <v>124</v>
      </c>
      <c r="U3" s="23">
        <v>302</v>
      </c>
      <c r="V3" s="17">
        <v>302</v>
      </c>
      <c r="W3" s="26">
        <v>0</v>
      </c>
      <c r="AA3"/>
      <c r="AC3" s="1"/>
    </row>
    <row r="4" spans="1:29" x14ac:dyDescent="0.2">
      <c r="A4" s="17" t="s">
        <v>115</v>
      </c>
      <c r="B4" s="59">
        <v>44818</v>
      </c>
      <c r="C4" s="17" t="s">
        <v>180</v>
      </c>
      <c r="D4" s="17"/>
      <c r="E4" s="26">
        <v>2196.5700000000038</v>
      </c>
      <c r="F4" s="17" t="s">
        <v>170</v>
      </c>
      <c r="G4" s="23">
        <v>86142.033532699279</v>
      </c>
      <c r="H4" s="37" t="s">
        <v>179</v>
      </c>
      <c r="I4" s="23">
        <v>7743.3318530739125</v>
      </c>
      <c r="J4" s="23"/>
      <c r="K4" s="26">
        <v>10465.586467300716</v>
      </c>
      <c r="L4" s="23">
        <v>96607.62</v>
      </c>
      <c r="M4" s="26">
        <v>20287.615016781743</v>
      </c>
      <c r="N4" s="26">
        <v>20287.615016781743</v>
      </c>
      <c r="O4" s="26"/>
      <c r="P4" s="26"/>
      <c r="Q4" s="26" t="s">
        <v>137</v>
      </c>
      <c r="R4" s="23" t="s">
        <v>116</v>
      </c>
      <c r="S4" s="58">
        <v>44745</v>
      </c>
      <c r="T4" s="17" t="s">
        <v>125</v>
      </c>
      <c r="U4" s="23">
        <v>87856.26</v>
      </c>
      <c r="V4" s="17">
        <v>67856.259999999995</v>
      </c>
      <c r="W4" s="26">
        <v>20000</v>
      </c>
      <c r="AA4"/>
      <c r="AC4" s="1"/>
    </row>
    <row r="5" spans="1:29" x14ac:dyDescent="0.2">
      <c r="A5" s="17" t="s">
        <v>115</v>
      </c>
      <c r="B5" s="59">
        <v>44818</v>
      </c>
      <c r="C5" s="17" t="s">
        <v>180</v>
      </c>
      <c r="D5" s="17"/>
      <c r="E5" s="17"/>
      <c r="F5" s="17" t="s">
        <v>170</v>
      </c>
      <c r="G5" s="26">
        <v>94430.199039121479</v>
      </c>
      <c r="H5" s="37" t="s">
        <v>179</v>
      </c>
      <c r="I5" s="23">
        <v>4087.6681469260852</v>
      </c>
      <c r="J5" s="26"/>
      <c r="K5" s="26">
        <v>4632.3209608785255</v>
      </c>
      <c r="L5" s="26">
        <v>99062.52</v>
      </c>
      <c r="M5" s="26">
        <v>20803.125722143446</v>
      </c>
      <c r="N5" s="26">
        <v>20803.125722143446</v>
      </c>
      <c r="O5" s="26"/>
      <c r="P5" s="26"/>
      <c r="Q5" s="26" t="s">
        <v>138</v>
      </c>
      <c r="R5" s="17" t="s">
        <v>117</v>
      </c>
      <c r="S5" s="59">
        <v>44745</v>
      </c>
      <c r="T5" s="17" t="s">
        <v>126</v>
      </c>
      <c r="U5" s="23">
        <v>96309.36</v>
      </c>
      <c r="V5" s="17">
        <v>96309.36</v>
      </c>
      <c r="W5" s="26">
        <v>0</v>
      </c>
      <c r="AA5"/>
      <c r="AC5" s="1"/>
    </row>
    <row r="6" spans="1:29" ht="28.5" x14ac:dyDescent="0.2">
      <c r="A6" s="17" t="s">
        <v>118</v>
      </c>
      <c r="B6" s="59">
        <v>44825</v>
      </c>
      <c r="C6" s="17" t="s">
        <v>180</v>
      </c>
      <c r="D6" s="17"/>
      <c r="E6" s="26">
        <v>2295</v>
      </c>
      <c r="F6" s="17" t="s">
        <v>170</v>
      </c>
      <c r="G6" s="23">
        <v>65378.296758606812</v>
      </c>
      <c r="H6" s="23" t="s">
        <v>183</v>
      </c>
      <c r="I6" s="23">
        <v>8220</v>
      </c>
      <c r="J6" s="23"/>
      <c r="K6" s="26">
        <v>8691.2232413931924</v>
      </c>
      <c r="L6" s="23">
        <v>74069.52</v>
      </c>
      <c r="M6" s="26">
        <v>15554.59851930743</v>
      </c>
      <c r="N6" s="26">
        <v>15554.59851930743</v>
      </c>
      <c r="O6" s="20">
        <v>24245.821760700623</v>
      </c>
      <c r="P6" s="26"/>
      <c r="Q6" s="26" t="s">
        <v>135</v>
      </c>
      <c r="R6" s="23" t="s">
        <v>116</v>
      </c>
      <c r="S6" s="58">
        <v>44776</v>
      </c>
      <c r="T6" s="17" t="s">
        <v>127</v>
      </c>
      <c r="U6" s="23">
        <v>67946.8</v>
      </c>
      <c r="V6" s="17">
        <v>0</v>
      </c>
      <c r="W6" s="26">
        <v>67946.8</v>
      </c>
      <c r="AA6"/>
      <c r="AC6" s="1"/>
    </row>
    <row r="7" spans="1:29" ht="28.5" x14ac:dyDescent="0.2">
      <c r="A7" s="17" t="s">
        <v>118</v>
      </c>
      <c r="B7" s="59">
        <v>44825</v>
      </c>
      <c r="C7" s="17" t="s">
        <v>180</v>
      </c>
      <c r="D7" s="17"/>
      <c r="E7" s="17"/>
      <c r="F7" s="17" t="s">
        <v>170</v>
      </c>
      <c r="G7" s="23">
        <v>17341.856251258308</v>
      </c>
      <c r="H7" s="23" t="s">
        <v>183</v>
      </c>
      <c r="I7" s="23">
        <v>1580</v>
      </c>
      <c r="J7" s="23"/>
      <c r="K7" s="26">
        <v>1684.5237487416925</v>
      </c>
      <c r="L7" s="23">
        <v>19026.38</v>
      </c>
      <c r="M7" s="26">
        <v>3995.5411127642442</v>
      </c>
      <c r="N7" s="26">
        <v>3995.5411127642442</v>
      </c>
      <c r="O7" s="20">
        <v>5680.0648615059363</v>
      </c>
      <c r="P7" s="26"/>
      <c r="Q7" s="26" t="s">
        <v>133</v>
      </c>
      <c r="R7" s="23" t="s">
        <v>117</v>
      </c>
      <c r="S7" s="58">
        <v>44776</v>
      </c>
      <c r="T7" s="17" t="s">
        <v>128</v>
      </c>
      <c r="U7" s="23">
        <v>17227.400000000001</v>
      </c>
      <c r="V7" s="17">
        <v>17227.400000000001</v>
      </c>
      <c r="W7" s="26">
        <v>0</v>
      </c>
      <c r="AA7"/>
      <c r="AC7" s="1"/>
    </row>
    <row r="8" spans="1:29" ht="42.75" x14ac:dyDescent="0.2">
      <c r="A8" s="17" t="s">
        <v>119</v>
      </c>
      <c r="B8" s="17"/>
      <c r="C8" s="38" t="s">
        <v>184</v>
      </c>
      <c r="D8" s="17"/>
      <c r="E8" s="26">
        <v>2246.36</v>
      </c>
      <c r="F8" s="17" t="s">
        <v>170</v>
      </c>
      <c r="G8" s="23">
        <v>109225.13628104179</v>
      </c>
      <c r="H8" s="23" t="s">
        <v>32</v>
      </c>
      <c r="I8" s="23">
        <v>7500</v>
      </c>
      <c r="J8" s="23"/>
      <c r="K8" s="26">
        <v>9219.6237189582025</v>
      </c>
      <c r="L8" s="23">
        <v>118444.76</v>
      </c>
      <c r="M8" s="26">
        <v>24873.396922711145</v>
      </c>
      <c r="N8" s="26">
        <v>24873.396922711145</v>
      </c>
      <c r="O8" s="20">
        <v>34093.020641669347</v>
      </c>
      <c r="P8" s="26"/>
      <c r="Q8" s="26" t="s">
        <v>139</v>
      </c>
      <c r="R8" s="3" t="s">
        <v>116</v>
      </c>
      <c r="S8" s="58">
        <v>44806</v>
      </c>
      <c r="T8" s="17" t="s">
        <v>129</v>
      </c>
      <c r="U8" s="23">
        <v>108198.42</v>
      </c>
      <c r="V8" s="17">
        <v>0</v>
      </c>
      <c r="W8" s="26">
        <v>108198.42</v>
      </c>
      <c r="AA8"/>
      <c r="AC8" s="1"/>
    </row>
    <row r="9" spans="1:29" ht="22.5" x14ac:dyDescent="0.2">
      <c r="A9" s="17" t="s">
        <v>120</v>
      </c>
      <c r="B9" s="59">
        <v>44883</v>
      </c>
      <c r="C9" s="17" t="s">
        <v>180</v>
      </c>
      <c r="D9" s="17"/>
      <c r="E9" s="26">
        <v>3048.9600000000005</v>
      </c>
      <c r="F9" s="17" t="s">
        <v>170</v>
      </c>
      <c r="G9" s="23">
        <v>53835.631008386175</v>
      </c>
      <c r="H9" s="39" t="s">
        <v>95</v>
      </c>
      <c r="I9" s="23">
        <v>5600</v>
      </c>
      <c r="J9" s="23"/>
      <c r="K9" s="26">
        <v>8098.0389916138229</v>
      </c>
      <c r="L9" s="23">
        <v>61933.67</v>
      </c>
      <c r="M9" s="26">
        <v>13006.069079149214</v>
      </c>
      <c r="N9" s="26">
        <v>13621.81</v>
      </c>
      <c r="O9" s="20">
        <v>21719.848991613821</v>
      </c>
      <c r="P9" s="26"/>
      <c r="Q9" s="26" t="s">
        <v>130</v>
      </c>
      <c r="R9" s="3" t="s">
        <v>116</v>
      </c>
      <c r="S9" s="58">
        <v>44809</v>
      </c>
      <c r="T9" s="17" t="s">
        <v>131</v>
      </c>
      <c r="U9" s="23">
        <v>52640.480000000003</v>
      </c>
      <c r="V9" s="17">
        <v>0</v>
      </c>
      <c r="W9" s="26">
        <v>52640.480000000003</v>
      </c>
      <c r="AA9"/>
      <c r="AC9" s="1"/>
    </row>
    <row r="10" spans="1:29" ht="42.75" x14ac:dyDescent="0.2">
      <c r="A10" s="17" t="s">
        <v>223</v>
      </c>
      <c r="B10" s="59">
        <v>45043</v>
      </c>
      <c r="C10" s="17" t="s">
        <v>180</v>
      </c>
      <c r="D10" s="17" t="s">
        <v>235</v>
      </c>
      <c r="E10" s="26">
        <v>2433.5699999999997</v>
      </c>
      <c r="F10" s="17" t="s">
        <v>170</v>
      </c>
      <c r="G10" s="23"/>
      <c r="H10" s="23" t="s">
        <v>228</v>
      </c>
      <c r="I10" s="23">
        <v>2250</v>
      </c>
      <c r="J10" s="23">
        <v>6.4</v>
      </c>
      <c r="K10" s="26">
        <v>2148</v>
      </c>
      <c r="L10" s="23">
        <v>15424.571428571429</v>
      </c>
      <c r="M10" s="23">
        <v>3239.16</v>
      </c>
      <c r="N10" s="26">
        <v>3239.16</v>
      </c>
      <c r="O10" s="57">
        <v>5393.5599999999995</v>
      </c>
      <c r="P10" t="s">
        <v>162</v>
      </c>
      <c r="Q10" s="26" t="s">
        <v>237</v>
      </c>
      <c r="R10" s="23" t="s">
        <v>116</v>
      </c>
      <c r="S10" s="58">
        <v>44987</v>
      </c>
      <c r="T10" s="17" t="s">
        <v>236</v>
      </c>
      <c r="U10" s="23">
        <v>14015.8</v>
      </c>
      <c r="V10" s="17">
        <v>0</v>
      </c>
      <c r="W10" s="26">
        <v>14015.8</v>
      </c>
      <c r="AA10"/>
      <c r="AC10" s="1"/>
    </row>
    <row r="11" spans="1:29" x14ac:dyDescent="0.2">
      <c r="A11" s="17" t="s">
        <v>223</v>
      </c>
      <c r="B11" s="59">
        <v>45043</v>
      </c>
      <c r="C11" s="17" t="s">
        <v>180</v>
      </c>
      <c r="D11" s="17" t="s">
        <v>235</v>
      </c>
      <c r="E11" s="26"/>
      <c r="F11" s="17" t="s">
        <v>170</v>
      </c>
      <c r="G11" s="23"/>
      <c r="H11" s="23"/>
      <c r="I11" s="23"/>
      <c r="J11" s="23">
        <v>49.14</v>
      </c>
      <c r="K11" s="26">
        <v>81.900000000000006</v>
      </c>
      <c r="L11" s="23">
        <v>115160.42857142857</v>
      </c>
      <c r="M11" s="23">
        <v>24183.69</v>
      </c>
      <c r="N11" s="26">
        <v>24183.69</v>
      </c>
      <c r="O11" s="57">
        <v>24314.73</v>
      </c>
      <c r="P11" s="26" t="s">
        <v>226</v>
      </c>
      <c r="Q11" s="26" t="s">
        <v>224</v>
      </c>
      <c r="R11" s="23" t="s">
        <v>117</v>
      </c>
      <c r="S11" s="58">
        <v>44987</v>
      </c>
      <c r="T11" s="17" t="s">
        <v>231</v>
      </c>
      <c r="U11" s="23">
        <v>121756.56</v>
      </c>
      <c r="V11" s="17"/>
      <c r="W11" s="26">
        <v>121756.56</v>
      </c>
      <c r="AA11"/>
      <c r="AC11" s="1"/>
    </row>
    <row r="12" spans="1:29" x14ac:dyDescent="0.2">
      <c r="A12" s="17" t="s">
        <v>279</v>
      </c>
      <c r="B12" s="59">
        <v>45058</v>
      </c>
      <c r="C12" s="17" t="s">
        <v>180</v>
      </c>
      <c r="D12" s="17" t="s">
        <v>270</v>
      </c>
      <c r="E12" s="26">
        <v>2196.9000000000005</v>
      </c>
      <c r="F12" s="17" t="s">
        <v>170</v>
      </c>
      <c r="G12" s="23"/>
      <c r="H12" s="23"/>
      <c r="I12" s="23">
        <v>2330</v>
      </c>
      <c r="J12" s="23"/>
      <c r="K12" s="26">
        <v>1433.03</v>
      </c>
      <c r="L12" s="23">
        <v>44134.047619047618</v>
      </c>
      <c r="M12" s="23">
        <v>9268.15</v>
      </c>
      <c r="N12" s="26">
        <v>9268.15</v>
      </c>
      <c r="O12" s="20">
        <v>10701.18</v>
      </c>
      <c r="P12" s="26" t="s">
        <v>269</v>
      </c>
      <c r="Q12" s="26" t="s">
        <v>224</v>
      </c>
      <c r="R12" s="23" t="s">
        <v>117</v>
      </c>
      <c r="S12" s="58">
        <v>44987</v>
      </c>
      <c r="T12" s="17" t="s">
        <v>231</v>
      </c>
      <c r="U12" s="23">
        <v>121756.56</v>
      </c>
      <c r="V12" s="17"/>
      <c r="W12" s="26">
        <v>121756.56</v>
      </c>
      <c r="AA12"/>
      <c r="AC12" s="1"/>
    </row>
    <row r="13" spans="1:29" x14ac:dyDescent="0.2">
      <c r="A13" s="17"/>
      <c r="B13" s="59"/>
      <c r="C13" s="17"/>
      <c r="D13" s="17"/>
      <c r="E13" s="26"/>
      <c r="F13" s="17"/>
      <c r="G13" s="23"/>
      <c r="H13" s="23"/>
      <c r="I13" s="23"/>
      <c r="J13" s="23"/>
      <c r="K13" s="26"/>
      <c r="L13" s="23"/>
      <c r="M13" s="23"/>
      <c r="N13" s="26"/>
      <c r="O13" s="20"/>
      <c r="P13" s="26"/>
      <c r="Q13" s="26"/>
      <c r="R13" s="23"/>
      <c r="S13" s="58"/>
      <c r="T13" s="17"/>
      <c r="U13" s="23"/>
      <c r="V13" s="17"/>
      <c r="W13" s="26"/>
      <c r="AA13"/>
      <c r="AC13" s="1"/>
    </row>
    <row r="14" spans="1:29" x14ac:dyDescent="0.2">
      <c r="E14" t="s">
        <v>162</v>
      </c>
      <c r="F14">
        <v>6.4</v>
      </c>
      <c r="G14">
        <v>2148</v>
      </c>
      <c r="H14">
        <v>3239.16</v>
      </c>
      <c r="I14">
        <v>5387.16</v>
      </c>
    </row>
    <row r="22" spans="1:3" ht="15.75" x14ac:dyDescent="0.2">
      <c r="A22" s="74" t="s">
        <v>307</v>
      </c>
      <c r="B22" s="75" t="s">
        <v>113</v>
      </c>
      <c r="C22" s="75" t="s">
        <v>308</v>
      </c>
    </row>
    <row r="23" spans="1:3" x14ac:dyDescent="0.2">
      <c r="A23" s="77" t="s">
        <v>304</v>
      </c>
      <c r="B23" s="78" t="s">
        <v>305</v>
      </c>
      <c r="C23" s="79">
        <v>230302</v>
      </c>
    </row>
    <row r="24" spans="1:3" x14ac:dyDescent="0.2">
      <c r="A24" s="82" t="s">
        <v>310</v>
      </c>
      <c r="B24" s="82" t="s">
        <v>311</v>
      </c>
      <c r="C24" s="79">
        <v>230401</v>
      </c>
    </row>
    <row r="25" spans="1:3" x14ac:dyDescent="0.2">
      <c r="A25" s="78" t="s">
        <v>304</v>
      </c>
      <c r="B25" s="78" t="s">
        <v>282</v>
      </c>
      <c r="C25" s="79">
        <v>230402</v>
      </c>
    </row>
    <row r="26" spans="1:3" x14ac:dyDescent="0.2">
      <c r="A26" s="78" t="s">
        <v>304</v>
      </c>
      <c r="B26" s="78" t="s">
        <v>293</v>
      </c>
      <c r="C26" s="79">
        <v>230403</v>
      </c>
    </row>
    <row r="27" spans="1:3" x14ac:dyDescent="0.2">
      <c r="A27" s="82" t="s">
        <v>312</v>
      </c>
      <c r="B27" s="82" t="s">
        <v>313</v>
      </c>
      <c r="C27" s="79">
        <v>230404</v>
      </c>
    </row>
    <row r="28" spans="1:3" x14ac:dyDescent="0.2">
      <c r="A28" s="82" t="s">
        <v>314</v>
      </c>
      <c r="B28" s="82" t="s">
        <v>465</v>
      </c>
      <c r="C28" s="79">
        <v>230405</v>
      </c>
    </row>
  </sheetData>
  <phoneticPr fontId="4" type="noConversion"/>
  <conditionalFormatting sqref="B22">
    <cfRule type="duplicateValues" dxfId="5" priority="2"/>
  </conditionalFormatting>
  <conditionalFormatting sqref="B23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9837F-C860-4AC3-90BD-26A9F44835C3}">
  <sheetPr>
    <pageSetUpPr fitToPage="1"/>
  </sheetPr>
  <dimension ref="A1:F17"/>
  <sheetViews>
    <sheetView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C2" sqref="C2:C3"/>
    </sheetView>
  </sheetViews>
  <sheetFormatPr defaultRowHeight="14.25" x14ac:dyDescent="0.2"/>
  <cols>
    <col min="1" max="1" width="27.5" customWidth="1"/>
    <col min="2" max="2" width="20.5" bestFit="1" customWidth="1"/>
    <col min="3" max="3" width="11.875" style="32" bestFit="1" customWidth="1"/>
    <col min="4" max="4" width="26.5" style="1" customWidth="1"/>
    <col min="6" max="6" width="18.75" bestFit="1" customWidth="1"/>
  </cols>
  <sheetData>
    <row r="1" spans="1:6" ht="28.5" x14ac:dyDescent="0.2">
      <c r="A1" s="99" t="s">
        <v>478</v>
      </c>
      <c r="B1" s="100" t="s">
        <v>317</v>
      </c>
      <c r="C1" s="101" t="s">
        <v>357</v>
      </c>
      <c r="D1" s="98" t="s">
        <v>320</v>
      </c>
      <c r="E1" s="100" t="s">
        <v>318</v>
      </c>
      <c r="F1" s="100" t="s">
        <v>319</v>
      </c>
    </row>
    <row r="2" spans="1:6" ht="28.5" x14ac:dyDescent="0.2">
      <c r="A2" s="17" t="s">
        <v>316</v>
      </c>
      <c r="B2" s="17" t="s">
        <v>475</v>
      </c>
      <c r="C2" s="91">
        <v>2312.1</v>
      </c>
      <c r="D2" s="3" t="s">
        <v>477</v>
      </c>
      <c r="E2" s="17" t="s">
        <v>322</v>
      </c>
      <c r="F2" s="17"/>
    </row>
    <row r="3" spans="1:6" x14ac:dyDescent="0.2">
      <c r="A3" s="17" t="s">
        <v>334</v>
      </c>
      <c r="B3" s="17" t="s">
        <v>476</v>
      </c>
      <c r="C3" s="91">
        <v>21599.25</v>
      </c>
      <c r="D3" s="3" t="s">
        <v>496</v>
      </c>
      <c r="E3" s="17" t="s">
        <v>322</v>
      </c>
      <c r="F3" s="17"/>
    </row>
    <row r="4" spans="1:6" x14ac:dyDescent="0.2">
      <c r="A4" s="17" t="s">
        <v>64</v>
      </c>
      <c r="B4" s="17"/>
      <c r="C4" s="95"/>
      <c r="D4" s="3"/>
      <c r="E4" s="17" t="s">
        <v>344</v>
      </c>
      <c r="F4" s="17"/>
    </row>
    <row r="5" spans="1:6" x14ac:dyDescent="0.2">
      <c r="A5" s="17" t="s">
        <v>384</v>
      </c>
      <c r="B5" s="17"/>
      <c r="C5" s="91"/>
      <c r="D5" s="3"/>
      <c r="E5" s="17" t="s">
        <v>344</v>
      </c>
      <c r="F5" s="17"/>
    </row>
    <row r="6" spans="1:6" x14ac:dyDescent="0.2">
      <c r="A6" s="17" t="s">
        <v>349</v>
      </c>
      <c r="B6" s="17"/>
      <c r="C6" s="91"/>
      <c r="D6" s="3"/>
      <c r="E6" s="17" t="s">
        <v>344</v>
      </c>
      <c r="F6" s="17"/>
    </row>
    <row r="7" spans="1:6" x14ac:dyDescent="0.2">
      <c r="A7" s="17" t="s">
        <v>18</v>
      </c>
      <c r="B7" s="3" t="s">
        <v>496</v>
      </c>
      <c r="C7" s="91">
        <v>2842.3</v>
      </c>
      <c r="D7" s="3" t="s">
        <v>474</v>
      </c>
      <c r="E7" s="17" t="s">
        <v>322</v>
      </c>
      <c r="F7" s="17"/>
    </row>
    <row r="8" spans="1:6" x14ac:dyDescent="0.2">
      <c r="A8" s="17" t="s">
        <v>321</v>
      </c>
      <c r="B8" s="3" t="s">
        <v>496</v>
      </c>
      <c r="C8" s="91"/>
      <c r="D8" s="3" t="s">
        <v>413</v>
      </c>
      <c r="E8" s="17" t="s">
        <v>322</v>
      </c>
      <c r="F8" s="17"/>
    </row>
    <row r="9" spans="1:6" x14ac:dyDescent="0.2">
      <c r="A9" s="17" t="s">
        <v>324</v>
      </c>
      <c r="B9" s="96">
        <v>20023189</v>
      </c>
      <c r="C9" s="91"/>
      <c r="D9" s="3" t="s">
        <v>496</v>
      </c>
      <c r="E9" s="17" t="s">
        <v>322</v>
      </c>
      <c r="F9" s="17"/>
    </row>
    <row r="10" spans="1:6" x14ac:dyDescent="0.2">
      <c r="A10" s="17" t="s">
        <v>323</v>
      </c>
      <c r="B10" s="96">
        <f>B9</f>
        <v>20023189</v>
      </c>
      <c r="C10" s="91">
        <v>89151.06</v>
      </c>
      <c r="D10" s="3" t="s">
        <v>496</v>
      </c>
      <c r="E10" s="17" t="s">
        <v>322</v>
      </c>
      <c r="F10" s="17"/>
    </row>
    <row r="11" spans="1:6" x14ac:dyDescent="0.2">
      <c r="A11" s="17" t="s">
        <v>325</v>
      </c>
      <c r="B11" s="3" t="str">
        <f>D3</f>
        <v>23ES00461131249962</v>
      </c>
      <c r="C11" s="91"/>
      <c r="D11" s="3" t="s">
        <v>413</v>
      </c>
      <c r="E11" s="17" t="s">
        <v>322</v>
      </c>
      <c r="F11" s="17"/>
    </row>
    <row r="12" spans="1:6" x14ac:dyDescent="0.2">
      <c r="A12" s="17" t="s">
        <v>327</v>
      </c>
      <c r="B12" s="3"/>
      <c r="C12" s="91"/>
      <c r="D12" s="3" t="s">
        <v>496</v>
      </c>
      <c r="E12" s="17" t="s">
        <v>322</v>
      </c>
      <c r="F12" s="17"/>
    </row>
    <row r="13" spans="1:6" x14ac:dyDescent="0.2">
      <c r="A13" s="17" t="s">
        <v>414</v>
      </c>
      <c r="B13" s="3"/>
      <c r="C13" s="91"/>
      <c r="D13" s="3"/>
      <c r="E13" s="17" t="s">
        <v>344</v>
      </c>
      <c r="F13" s="17"/>
    </row>
    <row r="14" spans="1:6" x14ac:dyDescent="0.2">
      <c r="A14" s="17" t="s">
        <v>374</v>
      </c>
      <c r="B14" s="3"/>
      <c r="C14" s="91"/>
      <c r="D14" s="3"/>
      <c r="E14" s="72" t="s">
        <v>344</v>
      </c>
      <c r="F14" s="17"/>
    </row>
    <row r="15" spans="1:6" x14ac:dyDescent="0.2">
      <c r="A15" s="17" t="s">
        <v>329</v>
      </c>
      <c r="B15" s="3" t="s">
        <v>474</v>
      </c>
      <c r="C15" s="95">
        <v>92522.36</v>
      </c>
      <c r="D15" s="3" t="s">
        <v>335</v>
      </c>
      <c r="E15" s="17" t="s">
        <v>344</v>
      </c>
      <c r="F15" s="17"/>
    </row>
    <row r="16" spans="1:6" x14ac:dyDescent="0.2">
      <c r="A16" s="17" t="s">
        <v>330</v>
      </c>
      <c r="B16" s="3" t="s">
        <v>474</v>
      </c>
      <c r="C16" s="91"/>
      <c r="D16" s="3" t="s">
        <v>335</v>
      </c>
      <c r="E16" s="17" t="s">
        <v>344</v>
      </c>
      <c r="F16" s="17"/>
    </row>
    <row r="17" spans="1:6" x14ac:dyDescent="0.2">
      <c r="A17" s="17" t="s">
        <v>395</v>
      </c>
      <c r="B17" s="3" t="s">
        <v>474</v>
      </c>
      <c r="C17" s="91"/>
      <c r="D17" s="3" t="s">
        <v>335</v>
      </c>
      <c r="E17" s="17" t="s">
        <v>344</v>
      </c>
      <c r="F17" s="17"/>
    </row>
  </sheetData>
  <phoneticPr fontId="4" type="noConversion"/>
  <conditionalFormatting sqref="E1:E1048576">
    <cfRule type="containsText" dxfId="3" priority="1" operator="containsText" text="NO">
      <formula>NOT(ISERROR(SEARCH("NO",E1)))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2014-8106-4803-AB16-4C6BC61B116A}">
  <sheetPr>
    <pageSetUpPr fitToPage="1"/>
  </sheetPr>
  <dimension ref="A1:V34"/>
  <sheetViews>
    <sheetView workbookViewId="0">
      <selection activeCell="D35" sqref="D35"/>
    </sheetView>
  </sheetViews>
  <sheetFormatPr defaultRowHeight="14.25" x14ac:dyDescent="0.2"/>
  <cols>
    <col min="1" max="1" width="21.375" customWidth="1"/>
    <col min="2" max="2" width="11.625" style="127" bestFit="1" customWidth="1"/>
    <col min="3" max="3" width="18.25" bestFit="1" customWidth="1"/>
    <col min="4" max="4" width="11.375" bestFit="1" customWidth="1"/>
    <col min="5" max="5" width="13" customWidth="1"/>
    <col min="6" max="6" width="18.75" customWidth="1"/>
    <col min="7" max="7" width="16.5" customWidth="1"/>
    <col min="8" max="8" width="12.75" bestFit="1" customWidth="1"/>
    <col min="9" max="9" width="13.125" bestFit="1" customWidth="1"/>
    <col min="10" max="10" width="11" customWidth="1"/>
    <col min="11" max="11" width="10.375" bestFit="1" customWidth="1"/>
    <col min="12" max="13" width="11.375" bestFit="1" customWidth="1"/>
    <col min="14" max="14" width="14.875" customWidth="1"/>
    <col min="15" max="15" width="16.75" bestFit="1" customWidth="1"/>
    <col min="16" max="16" width="9.25" bestFit="1" customWidth="1"/>
    <col min="17" max="17" width="10.375" bestFit="1" customWidth="1"/>
    <col min="18" max="18" width="45.25" customWidth="1"/>
    <col min="19" max="19" width="19.125" style="32" customWidth="1"/>
    <col min="20" max="20" width="20.5" bestFit="1" customWidth="1"/>
    <col min="21" max="21" width="11.375" bestFit="1" customWidth="1"/>
  </cols>
  <sheetData>
    <row r="1" spans="1:22" ht="28.5" x14ac:dyDescent="0.2">
      <c r="A1" s="124" t="s">
        <v>477</v>
      </c>
      <c r="B1" s="125"/>
      <c r="C1" s="31">
        <v>45107</v>
      </c>
      <c r="D1" s="1"/>
      <c r="E1" s="1"/>
    </row>
    <row r="2" spans="1:22" x14ac:dyDescent="0.2">
      <c r="A2" t="s">
        <v>246</v>
      </c>
      <c r="B2" s="96">
        <v>1.0785</v>
      </c>
    </row>
    <row r="3" spans="1:22" x14ac:dyDescent="0.2">
      <c r="A3" s="1" t="s">
        <v>61</v>
      </c>
      <c r="B3" s="125"/>
      <c r="C3" s="1" t="s">
        <v>62</v>
      </c>
      <c r="D3" s="2" t="s">
        <v>35</v>
      </c>
      <c r="E3" s="2"/>
      <c r="F3" s="1"/>
      <c r="Q3" s="1" t="s">
        <v>63</v>
      </c>
      <c r="R3" s="1" t="s">
        <v>475</v>
      </c>
      <c r="S3" s="12">
        <v>45107</v>
      </c>
      <c r="T3" s="1"/>
      <c r="U3" s="1"/>
      <c r="V3" s="1" t="s">
        <v>72</v>
      </c>
    </row>
    <row r="4" spans="1:22" ht="28.5" x14ac:dyDescent="0.2">
      <c r="A4" s="108" t="s">
        <v>0</v>
      </c>
      <c r="B4" s="126"/>
      <c r="C4" s="108" t="s">
        <v>6</v>
      </c>
      <c r="D4" s="110" t="s">
        <v>241</v>
      </c>
      <c r="E4" s="110" t="s">
        <v>242</v>
      </c>
      <c r="F4" s="108" t="s">
        <v>450</v>
      </c>
      <c r="G4" s="111" t="s">
        <v>451</v>
      </c>
      <c r="H4" s="111" t="s">
        <v>452</v>
      </c>
      <c r="Q4" s="3" t="s">
        <v>21</v>
      </c>
      <c r="R4" s="3"/>
      <c r="S4" s="3" t="s">
        <v>65</v>
      </c>
      <c r="T4" s="3" t="s">
        <v>19</v>
      </c>
      <c r="U4" s="3" t="s">
        <v>35</v>
      </c>
      <c r="V4" s="1" t="s">
        <v>54</v>
      </c>
    </row>
    <row r="5" spans="1:22" ht="28.5" x14ac:dyDescent="0.2">
      <c r="A5" s="108" t="s">
        <v>1</v>
      </c>
      <c r="B5" s="126">
        <v>45048</v>
      </c>
      <c r="C5" s="108" t="s">
        <v>474</v>
      </c>
      <c r="D5" s="110">
        <v>92522.36</v>
      </c>
      <c r="E5" s="110">
        <f>D5/$B$2</f>
        <v>85788.00185442745</v>
      </c>
      <c r="F5" s="108" t="s">
        <v>479</v>
      </c>
      <c r="G5" s="108" t="s">
        <v>476</v>
      </c>
      <c r="H5" s="130">
        <v>21599.25</v>
      </c>
      <c r="Q5" s="33" t="s">
        <v>22</v>
      </c>
      <c r="R5" s="3" t="s">
        <v>480</v>
      </c>
      <c r="S5" s="22"/>
      <c r="T5" s="4"/>
      <c r="U5" s="4">
        <f t="shared" ref="U5:U7" si="0">S5*(1+T5)</f>
        <v>0</v>
      </c>
      <c r="V5" s="131" t="s">
        <v>482</v>
      </c>
    </row>
    <row r="6" spans="1:22" x14ac:dyDescent="0.2">
      <c r="A6" s="108"/>
      <c r="B6" s="126"/>
      <c r="C6" s="108"/>
      <c r="D6" s="110"/>
      <c r="E6" s="110"/>
      <c r="F6" s="108"/>
      <c r="G6" s="108"/>
      <c r="H6" s="112"/>
      <c r="Q6" s="34"/>
      <c r="R6" s="3" t="s">
        <v>149</v>
      </c>
      <c r="S6" s="22"/>
      <c r="T6" s="4"/>
      <c r="U6" s="4">
        <f t="shared" si="0"/>
        <v>0</v>
      </c>
      <c r="V6" s="131"/>
    </row>
    <row r="7" spans="1:22" x14ac:dyDescent="0.2">
      <c r="A7" t="s">
        <v>244</v>
      </c>
      <c r="B7" s="127" t="s">
        <v>243</v>
      </c>
      <c r="C7" t="s">
        <v>250</v>
      </c>
      <c r="D7" t="s">
        <v>256</v>
      </c>
      <c r="E7" t="s">
        <v>173</v>
      </c>
      <c r="F7" t="s">
        <v>257</v>
      </c>
      <c r="G7" t="s">
        <v>247</v>
      </c>
      <c r="H7" t="s">
        <v>248</v>
      </c>
      <c r="I7" t="s">
        <v>258</v>
      </c>
      <c r="J7" t="s">
        <v>259</v>
      </c>
      <c r="K7" t="s">
        <v>260</v>
      </c>
      <c r="L7" t="s">
        <v>160</v>
      </c>
      <c r="M7" t="s">
        <v>261</v>
      </c>
      <c r="N7" t="s">
        <v>190</v>
      </c>
      <c r="O7" t="s">
        <v>225</v>
      </c>
      <c r="Q7" s="62"/>
      <c r="R7" s="3" t="s">
        <v>150</v>
      </c>
      <c r="S7" s="22"/>
      <c r="T7" s="4">
        <v>0.21</v>
      </c>
      <c r="U7" s="4">
        <f t="shared" si="0"/>
        <v>0</v>
      </c>
      <c r="V7" s="131"/>
    </row>
    <row r="8" spans="1:22" x14ac:dyDescent="0.2">
      <c r="A8" t="s">
        <v>483</v>
      </c>
      <c r="B8" s="128">
        <v>9113900095</v>
      </c>
      <c r="C8" s="32">
        <v>1470</v>
      </c>
      <c r="D8" s="32">
        <f>C8/$B$2</f>
        <v>1363.0041724617524</v>
      </c>
      <c r="E8" s="32">
        <v>4.09</v>
      </c>
      <c r="F8" s="32">
        <f>E8+D8</f>
        <v>1367.0941724617524</v>
      </c>
      <c r="G8" s="32">
        <v>6.03</v>
      </c>
      <c r="H8" s="32">
        <v>2.71</v>
      </c>
      <c r="I8" s="32">
        <f>F8*0.06</f>
        <v>82.025650347705138</v>
      </c>
      <c r="J8" s="32"/>
      <c r="K8" s="32">
        <v>3.63</v>
      </c>
      <c r="L8" s="32">
        <f>K8+I8+H8+F8</f>
        <v>1455.4598228094574</v>
      </c>
      <c r="M8" s="32">
        <f>L8</f>
        <v>1455.4598228094574</v>
      </c>
      <c r="N8" s="32">
        <f>M8*0.21</f>
        <v>305.64656278998604</v>
      </c>
      <c r="O8" s="32">
        <f>N8+I8+H8</f>
        <v>390.38221313769117</v>
      </c>
      <c r="P8">
        <v>1</v>
      </c>
      <c r="Q8" s="62"/>
      <c r="R8" s="3" t="s">
        <v>47</v>
      </c>
      <c r="S8" s="10">
        <v>394</v>
      </c>
      <c r="T8" s="4">
        <v>0.21</v>
      </c>
      <c r="U8" s="4">
        <f>S8*(1+T8)</f>
        <v>476.74</v>
      </c>
      <c r="V8" s="131"/>
    </row>
    <row r="9" spans="1:22" x14ac:dyDescent="0.2">
      <c r="A9" t="s">
        <v>484</v>
      </c>
      <c r="B9" s="128">
        <v>8504409590</v>
      </c>
      <c r="C9" s="32">
        <v>2937.6</v>
      </c>
      <c r="D9" s="32">
        <f>C9/$B$2</f>
        <v>2723.7830319888735</v>
      </c>
      <c r="E9" s="32">
        <v>8.17</v>
      </c>
      <c r="F9" s="32">
        <f>E9+D9</f>
        <v>2731.9530319888736</v>
      </c>
      <c r="G9" s="32">
        <v>6.03</v>
      </c>
      <c r="H9" s="32">
        <v>2.71</v>
      </c>
      <c r="I9" s="32">
        <f>F9*0</f>
        <v>0</v>
      </c>
      <c r="J9" s="32"/>
      <c r="K9" s="32">
        <v>7.24</v>
      </c>
      <c r="L9" s="32">
        <f>K9+I9+H9+F9</f>
        <v>2741.9030319888734</v>
      </c>
      <c r="M9" s="32">
        <f>L9</f>
        <v>2741.9030319888734</v>
      </c>
      <c r="N9" s="32">
        <f>M9*0.21</f>
        <v>575.79963671766336</v>
      </c>
      <c r="O9" s="32">
        <f>N9+I9+H9</f>
        <v>578.5096367176634</v>
      </c>
      <c r="P9">
        <v>2</v>
      </c>
      <c r="Q9" s="62"/>
      <c r="R9" s="6" t="s">
        <v>151</v>
      </c>
      <c r="S9" s="25"/>
      <c r="T9" s="4"/>
      <c r="U9" s="4">
        <f t="shared" ref="U9:U30" si="1">S9*(1+T9)</f>
        <v>0</v>
      </c>
      <c r="V9" s="132"/>
    </row>
    <row r="10" spans="1:22" x14ac:dyDescent="0.2">
      <c r="A10" t="s">
        <v>485</v>
      </c>
      <c r="B10" s="128">
        <v>8473308000</v>
      </c>
      <c r="C10" s="32">
        <v>828.8</v>
      </c>
      <c r="D10" s="32">
        <f t="shared" ref="D10:D15" si="2">C10/$B$2</f>
        <v>768.47473342605463</v>
      </c>
      <c r="E10" s="32">
        <v>2.31</v>
      </c>
      <c r="F10" s="32">
        <f t="shared" ref="F10:F15" si="3">E10+D10</f>
        <v>770.78473342605457</v>
      </c>
      <c r="G10" s="32">
        <v>6.03</v>
      </c>
      <c r="H10" s="32">
        <v>2.71</v>
      </c>
      <c r="I10" s="32">
        <f>F10*0</f>
        <v>0</v>
      </c>
      <c r="J10" s="32"/>
      <c r="K10" s="32">
        <v>2.04</v>
      </c>
      <c r="L10" s="32">
        <f t="shared" ref="L10:L15" si="4">K10+I10+H10+F10</f>
        <v>775.53473342605457</v>
      </c>
      <c r="M10" s="32">
        <f t="shared" ref="M10:M15" si="5">L10</f>
        <v>775.53473342605457</v>
      </c>
      <c r="N10" s="32">
        <f t="shared" ref="N10:N15" si="6">M10*0.21</f>
        <v>162.86229401947145</v>
      </c>
      <c r="O10" s="32">
        <f t="shared" ref="O10:O15" si="7">N10+I10+H10</f>
        <v>165.57229401947146</v>
      </c>
      <c r="P10">
        <v>3</v>
      </c>
      <c r="Q10" s="62"/>
      <c r="R10" s="6" t="s">
        <v>91</v>
      </c>
      <c r="S10" s="25"/>
      <c r="T10" s="4"/>
      <c r="U10" s="4">
        <f t="shared" si="1"/>
        <v>0</v>
      </c>
      <c r="V10" s="132"/>
    </row>
    <row r="11" spans="1:22" x14ac:dyDescent="0.2">
      <c r="A11" t="s">
        <v>486</v>
      </c>
      <c r="B11" s="128">
        <v>8518100090</v>
      </c>
      <c r="C11" s="32">
        <v>6750</v>
      </c>
      <c r="D11" s="32">
        <f t="shared" si="2"/>
        <v>6258.6926286509042</v>
      </c>
      <c r="E11" s="32">
        <v>18.78</v>
      </c>
      <c r="F11" s="32">
        <f t="shared" si="3"/>
        <v>6277.472628650904</v>
      </c>
      <c r="G11" s="32">
        <v>6.03</v>
      </c>
      <c r="H11" s="32">
        <v>2.71</v>
      </c>
      <c r="I11" s="32">
        <f>F11*0</f>
        <v>0</v>
      </c>
      <c r="J11" s="32"/>
      <c r="K11" s="32">
        <v>16.649999999999999</v>
      </c>
      <c r="L11" s="32">
        <f t="shared" si="4"/>
        <v>6296.8326286509036</v>
      </c>
      <c r="M11" s="32">
        <f t="shared" si="5"/>
        <v>6296.8326286509036</v>
      </c>
      <c r="N11" s="32">
        <f t="shared" si="6"/>
        <v>1322.3348520166896</v>
      </c>
      <c r="O11" s="32">
        <f t="shared" si="7"/>
        <v>1325.0448520166897</v>
      </c>
      <c r="P11">
        <v>4</v>
      </c>
      <c r="Q11" s="62"/>
      <c r="R11" s="3" t="s">
        <v>152</v>
      </c>
      <c r="S11" s="22"/>
      <c r="T11" s="4">
        <v>0.21</v>
      </c>
      <c r="U11" s="4">
        <f t="shared" si="1"/>
        <v>0</v>
      </c>
      <c r="V11" s="132"/>
    </row>
    <row r="12" spans="1:22" x14ac:dyDescent="0.2">
      <c r="A12" t="s">
        <v>487</v>
      </c>
      <c r="B12" s="128">
        <v>4202321000</v>
      </c>
      <c r="C12" s="32">
        <v>3593.3</v>
      </c>
      <c r="D12" s="32">
        <f t="shared" si="2"/>
        <v>3331.7570700046363</v>
      </c>
      <c r="E12" s="32">
        <v>10</v>
      </c>
      <c r="F12" s="32">
        <f t="shared" si="3"/>
        <v>3341.7570700046363</v>
      </c>
      <c r="G12" s="32">
        <v>6.03</v>
      </c>
      <c r="H12" s="32">
        <v>2.71</v>
      </c>
      <c r="I12" s="32">
        <f>F12*0.097</f>
        <v>324.15043579044971</v>
      </c>
      <c r="J12" s="32"/>
      <c r="K12" s="32">
        <v>8.86</v>
      </c>
      <c r="L12" s="32">
        <f t="shared" si="4"/>
        <v>3677.477505795086</v>
      </c>
      <c r="M12" s="32">
        <f t="shared" si="5"/>
        <v>3677.477505795086</v>
      </c>
      <c r="N12" s="32">
        <f t="shared" si="6"/>
        <v>772.270276216968</v>
      </c>
      <c r="O12" s="32">
        <f t="shared" si="7"/>
        <v>1099.1307120074177</v>
      </c>
      <c r="P12">
        <v>5</v>
      </c>
      <c r="Q12" s="62"/>
      <c r="R12" s="3" t="s">
        <v>428</v>
      </c>
      <c r="S12" s="22">
        <v>45</v>
      </c>
      <c r="T12" s="4">
        <v>0.21</v>
      </c>
      <c r="U12" s="4">
        <f t="shared" si="1"/>
        <v>54.449999999999996</v>
      </c>
      <c r="V12" s="132"/>
    </row>
    <row r="13" spans="1:22" x14ac:dyDescent="0.2">
      <c r="A13" t="s">
        <v>488</v>
      </c>
      <c r="B13" s="128" t="s">
        <v>266</v>
      </c>
      <c r="C13" s="32">
        <v>25400</v>
      </c>
      <c r="D13" s="32">
        <f t="shared" si="2"/>
        <v>23551.228558182662</v>
      </c>
      <c r="E13" s="32">
        <v>70.650000000000006</v>
      </c>
      <c r="F13" s="32">
        <f t="shared" si="3"/>
        <v>23621.878558182663</v>
      </c>
      <c r="G13" s="32">
        <v>6.03</v>
      </c>
      <c r="H13" s="32">
        <v>2.71</v>
      </c>
      <c r="I13" s="32">
        <f>5000*0.3</f>
        <v>1500</v>
      </c>
      <c r="J13" s="32"/>
      <c r="K13" s="32">
        <v>62.64</v>
      </c>
      <c r="L13" s="32">
        <f>K13+I13+H13+F13</f>
        <v>25187.228558182662</v>
      </c>
      <c r="M13" s="32">
        <f t="shared" si="5"/>
        <v>25187.228558182662</v>
      </c>
      <c r="N13" s="32">
        <f t="shared" si="6"/>
        <v>5289.3179972183589</v>
      </c>
      <c r="O13" s="32">
        <f t="shared" si="7"/>
        <v>6792.0279972183589</v>
      </c>
      <c r="P13">
        <v>6</v>
      </c>
      <c r="Q13" s="62"/>
      <c r="R13" s="3" t="s">
        <v>429</v>
      </c>
      <c r="S13" s="22">
        <f>25*7</f>
        <v>175</v>
      </c>
      <c r="T13" s="4">
        <v>0.21</v>
      </c>
      <c r="U13" s="4">
        <f t="shared" si="1"/>
        <v>211.75</v>
      </c>
      <c r="V13" s="132"/>
    </row>
    <row r="14" spans="1:22" x14ac:dyDescent="0.2">
      <c r="A14" t="s">
        <v>489</v>
      </c>
      <c r="B14" s="128">
        <v>8471607000</v>
      </c>
      <c r="C14" s="32">
        <v>3110</v>
      </c>
      <c r="D14" s="32">
        <f t="shared" si="2"/>
        <v>2883.6346777932313</v>
      </c>
      <c r="E14" s="32">
        <v>8.65</v>
      </c>
      <c r="F14" s="32">
        <f t="shared" si="3"/>
        <v>2892.2846777932314</v>
      </c>
      <c r="G14" s="32">
        <v>6.03</v>
      </c>
      <c r="H14" s="32">
        <v>2.71</v>
      </c>
      <c r="I14" s="32">
        <v>0</v>
      </c>
      <c r="J14" s="32"/>
      <c r="K14" s="32">
        <v>7.67</v>
      </c>
      <c r="L14" s="32">
        <f t="shared" si="4"/>
        <v>2902.6646777932315</v>
      </c>
      <c r="M14" s="32">
        <f t="shared" si="5"/>
        <v>2902.6646777932315</v>
      </c>
      <c r="N14" s="32">
        <f t="shared" si="6"/>
        <v>609.55958233657861</v>
      </c>
      <c r="O14" s="32">
        <f t="shared" si="7"/>
        <v>612.26958233657865</v>
      </c>
      <c r="P14">
        <v>7</v>
      </c>
      <c r="Q14" s="62"/>
      <c r="R14" s="3" t="s">
        <v>378</v>
      </c>
      <c r="S14" s="10">
        <v>950</v>
      </c>
      <c r="T14" s="4">
        <v>0.21</v>
      </c>
      <c r="U14" s="4">
        <f t="shared" si="1"/>
        <v>1149.5</v>
      </c>
      <c r="V14" s="132"/>
    </row>
    <row r="15" spans="1:22" x14ac:dyDescent="0.2">
      <c r="A15" t="s">
        <v>490</v>
      </c>
      <c r="B15" s="128">
        <v>8518300090</v>
      </c>
      <c r="C15" s="32">
        <v>14337.26</v>
      </c>
      <c r="D15" s="32">
        <f t="shared" si="2"/>
        <v>13293.704218822439</v>
      </c>
      <c r="E15" s="32">
        <v>39.880000000000003</v>
      </c>
      <c r="F15" s="32">
        <f t="shared" si="3"/>
        <v>13333.584218822438</v>
      </c>
      <c r="G15" s="32">
        <v>6.03</v>
      </c>
      <c r="H15" s="32">
        <v>2.71</v>
      </c>
      <c r="I15" s="32">
        <v>0</v>
      </c>
      <c r="J15" s="32"/>
      <c r="K15" s="32">
        <v>35.36</v>
      </c>
      <c r="L15" s="32">
        <f t="shared" si="4"/>
        <v>13371.654218822438</v>
      </c>
      <c r="M15" s="32">
        <f t="shared" si="5"/>
        <v>13371.654218822438</v>
      </c>
      <c r="N15" s="32">
        <f t="shared" si="6"/>
        <v>2808.0473859527119</v>
      </c>
      <c r="O15" s="32">
        <f t="shared" si="7"/>
        <v>2810.757385952712</v>
      </c>
      <c r="P15">
        <v>8</v>
      </c>
      <c r="Q15" s="62"/>
      <c r="R15" s="3" t="s">
        <v>481</v>
      </c>
      <c r="S15" s="10">
        <v>238.16</v>
      </c>
      <c r="T15" s="4">
        <v>0</v>
      </c>
      <c r="U15" s="4">
        <f t="shared" si="1"/>
        <v>238.16</v>
      </c>
      <c r="V15" s="132"/>
    </row>
    <row r="16" spans="1:22" x14ac:dyDescent="0.2">
      <c r="A16" t="s">
        <v>491</v>
      </c>
      <c r="B16" s="128">
        <v>8518210000</v>
      </c>
      <c r="C16" s="32">
        <v>4921.3999999999996</v>
      </c>
      <c r="D16" s="32">
        <f t="shared" ref="D16:D20" si="8">C16/$B$2</f>
        <v>4563.1896152063046</v>
      </c>
      <c r="E16" s="32">
        <v>13.69</v>
      </c>
      <c r="F16" s="32">
        <f t="shared" ref="F16:F20" si="9">E16+D16</f>
        <v>4576.8796152063042</v>
      </c>
      <c r="G16" s="32">
        <v>6.03</v>
      </c>
      <c r="H16" s="32">
        <v>2.71</v>
      </c>
      <c r="I16" s="32">
        <v>0</v>
      </c>
      <c r="J16" s="32"/>
      <c r="K16" s="32">
        <v>12.14</v>
      </c>
      <c r="L16" s="32">
        <f t="shared" ref="L16:L20" si="10">K16+I16+H16+F16</f>
        <v>4591.7296152063045</v>
      </c>
      <c r="M16" s="32">
        <f t="shared" ref="M16:M20" si="11">L16</f>
        <v>4591.7296152063045</v>
      </c>
      <c r="N16" s="32">
        <f t="shared" ref="N16:N20" si="12">M16*0.21</f>
        <v>964.26321919332395</v>
      </c>
      <c r="O16" s="32">
        <f t="shared" ref="O16:O20" si="13">N16+I16+H16</f>
        <v>966.97321919332398</v>
      </c>
      <c r="P16">
        <v>9</v>
      </c>
      <c r="Q16" s="62"/>
      <c r="R16" s="3" t="s">
        <v>481</v>
      </c>
      <c r="S16" s="10">
        <v>238.16</v>
      </c>
      <c r="T16" s="4">
        <v>0</v>
      </c>
      <c r="U16" s="4">
        <f t="shared" ref="U16:U24" si="14">S16*(1+T16)</f>
        <v>238.16</v>
      </c>
      <c r="V16" s="132"/>
    </row>
    <row r="17" spans="1:22" x14ac:dyDescent="0.2">
      <c r="A17" t="s">
        <v>492</v>
      </c>
      <c r="B17" s="128">
        <v>8543709099</v>
      </c>
      <c r="C17" s="32">
        <v>3074.8</v>
      </c>
      <c r="D17" s="32">
        <f t="shared" si="8"/>
        <v>2850.9967547519705</v>
      </c>
      <c r="E17" s="32">
        <v>8.5500000000000007</v>
      </c>
      <c r="F17" s="32">
        <f t="shared" si="9"/>
        <v>2859.5467547519706</v>
      </c>
      <c r="G17" s="32">
        <v>6.03</v>
      </c>
      <c r="H17" s="32">
        <v>2.71</v>
      </c>
      <c r="I17" s="32">
        <v>105.8</v>
      </c>
      <c r="J17" s="32"/>
      <c r="K17" s="32">
        <v>7.58</v>
      </c>
      <c r="L17" s="32">
        <f t="shared" si="10"/>
        <v>2975.6367547519708</v>
      </c>
      <c r="M17" s="32">
        <f t="shared" si="11"/>
        <v>2975.6367547519708</v>
      </c>
      <c r="N17" s="32">
        <f t="shared" si="12"/>
        <v>624.88371849791383</v>
      </c>
      <c r="O17" s="32">
        <f t="shared" si="13"/>
        <v>733.39371849791382</v>
      </c>
      <c r="P17">
        <v>10</v>
      </c>
      <c r="Q17" s="62"/>
      <c r="R17" s="3" t="s">
        <v>481</v>
      </c>
      <c r="S17" s="10">
        <v>238.16</v>
      </c>
      <c r="T17" s="4">
        <v>0</v>
      </c>
      <c r="U17" s="4">
        <f t="shared" si="14"/>
        <v>238.16</v>
      </c>
      <c r="V17" s="132"/>
    </row>
    <row r="18" spans="1:22" x14ac:dyDescent="0.2">
      <c r="A18" t="s">
        <v>493</v>
      </c>
      <c r="B18" s="128">
        <v>4202929190</v>
      </c>
      <c r="C18" s="32">
        <v>2386.8000000000002</v>
      </c>
      <c r="D18" s="32">
        <f t="shared" si="8"/>
        <v>2213.07371349096</v>
      </c>
      <c r="E18" s="32">
        <v>6.64</v>
      </c>
      <c r="F18" s="32">
        <f t="shared" si="9"/>
        <v>2219.7137134909599</v>
      </c>
      <c r="G18" s="32">
        <v>6.03</v>
      </c>
      <c r="H18" s="32">
        <v>2.71</v>
      </c>
      <c r="I18" s="32">
        <f>F18*0.027</f>
        <v>59.932270264255919</v>
      </c>
      <c r="J18" s="32"/>
      <c r="K18" s="32">
        <v>5.89</v>
      </c>
      <c r="L18" s="32">
        <f t="shared" si="10"/>
        <v>2288.245983755216</v>
      </c>
      <c r="M18" s="32">
        <f t="shared" si="11"/>
        <v>2288.245983755216</v>
      </c>
      <c r="N18" s="32">
        <f t="shared" si="12"/>
        <v>480.53165658859535</v>
      </c>
      <c r="O18" s="32">
        <f t="shared" si="13"/>
        <v>543.17392685285131</v>
      </c>
      <c r="P18">
        <v>11</v>
      </c>
      <c r="Q18" s="62"/>
      <c r="R18" s="3" t="s">
        <v>481</v>
      </c>
      <c r="S18" s="10">
        <v>238.16</v>
      </c>
      <c r="T18" s="4">
        <v>0</v>
      </c>
      <c r="U18" s="4">
        <f t="shared" si="14"/>
        <v>238.16</v>
      </c>
      <c r="V18" s="132"/>
    </row>
    <row r="19" spans="1:22" x14ac:dyDescent="0.2">
      <c r="A19" t="s">
        <v>494</v>
      </c>
      <c r="B19" s="128" t="s">
        <v>441</v>
      </c>
      <c r="C19" s="32">
        <v>8540</v>
      </c>
      <c r="D19" s="32">
        <f t="shared" si="8"/>
        <v>7918.4051923968473</v>
      </c>
      <c r="E19" s="32">
        <v>23.75</v>
      </c>
      <c r="F19" s="32">
        <f t="shared" si="9"/>
        <v>7942.1551923968473</v>
      </c>
      <c r="G19" s="32">
        <v>6.03</v>
      </c>
      <c r="H19" s="32">
        <f t="shared" ref="H19" si="15">G19*0.45</f>
        <v>2.7135000000000002</v>
      </c>
      <c r="I19" s="32">
        <f>F19*0.097</f>
        <v>770.38905366249423</v>
      </c>
      <c r="J19" s="32"/>
      <c r="K19" s="32">
        <v>21.06</v>
      </c>
      <c r="L19" s="32">
        <f t="shared" si="10"/>
        <v>8736.3177460593415</v>
      </c>
      <c r="M19" s="32">
        <f t="shared" si="11"/>
        <v>8736.3177460593415</v>
      </c>
      <c r="N19" s="32">
        <f t="shared" si="12"/>
        <v>1834.6267266724617</v>
      </c>
      <c r="O19" s="32">
        <f t="shared" si="13"/>
        <v>2607.7292803349555</v>
      </c>
      <c r="P19">
        <v>12</v>
      </c>
      <c r="Q19" s="62"/>
      <c r="R19" s="3" t="s">
        <v>481</v>
      </c>
      <c r="S19" s="10">
        <v>238.16</v>
      </c>
      <c r="T19" s="4">
        <v>0</v>
      </c>
      <c r="U19" s="4">
        <f t="shared" si="14"/>
        <v>238.16</v>
      </c>
      <c r="V19" s="132"/>
    </row>
    <row r="20" spans="1:22" x14ac:dyDescent="0.2">
      <c r="A20" t="s">
        <v>495</v>
      </c>
      <c r="B20" s="128" t="s">
        <v>447</v>
      </c>
      <c r="C20" s="32">
        <v>15172.4</v>
      </c>
      <c r="D20" s="32">
        <f t="shared" si="8"/>
        <v>14068.057487250811</v>
      </c>
      <c r="E20" s="32">
        <v>42.2</v>
      </c>
      <c r="F20" s="32">
        <f t="shared" si="9"/>
        <v>14110.257487250812</v>
      </c>
      <c r="G20" s="32">
        <v>6.03</v>
      </c>
      <c r="H20" s="32">
        <v>2.71</v>
      </c>
      <c r="I20" s="32">
        <v>0</v>
      </c>
      <c r="J20" s="32"/>
      <c r="K20" s="32">
        <v>37.42</v>
      </c>
      <c r="L20" s="32">
        <f t="shared" si="10"/>
        <v>14150.387487250811</v>
      </c>
      <c r="M20" s="32">
        <f t="shared" si="11"/>
        <v>14150.387487250811</v>
      </c>
      <c r="N20" s="32">
        <f t="shared" si="12"/>
        <v>2971.5813723226702</v>
      </c>
      <c r="O20" s="32">
        <f t="shared" si="13"/>
        <v>2974.2913723226702</v>
      </c>
      <c r="P20">
        <v>13</v>
      </c>
      <c r="Q20" s="62"/>
      <c r="R20" s="3" t="s">
        <v>481</v>
      </c>
      <c r="S20" s="10">
        <v>238.16</v>
      </c>
      <c r="T20" s="4">
        <v>0</v>
      </c>
      <c r="U20" s="4">
        <f t="shared" si="14"/>
        <v>238.16</v>
      </c>
      <c r="V20" s="132"/>
    </row>
    <row r="21" spans="1:22" x14ac:dyDescent="0.2">
      <c r="B21" s="128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Q21" s="62"/>
      <c r="R21" s="3" t="s">
        <v>481</v>
      </c>
      <c r="S21" s="10">
        <v>238.16</v>
      </c>
      <c r="T21" s="4">
        <v>0</v>
      </c>
      <c r="U21" s="4">
        <f t="shared" si="14"/>
        <v>238.16</v>
      </c>
      <c r="V21" s="132"/>
    </row>
    <row r="22" spans="1:22" x14ac:dyDescent="0.2">
      <c r="B22" s="128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Q22" s="62"/>
      <c r="R22" s="3" t="s">
        <v>481</v>
      </c>
      <c r="S22" s="10">
        <v>238.16</v>
      </c>
      <c r="T22" s="4">
        <v>0</v>
      </c>
      <c r="U22" s="4">
        <f t="shared" si="14"/>
        <v>238.16</v>
      </c>
      <c r="V22" s="132"/>
    </row>
    <row r="23" spans="1:22" x14ac:dyDescent="0.2">
      <c r="B23" s="129" t="s">
        <v>448</v>
      </c>
      <c r="C23" s="60">
        <f t="shared" ref="C23:O23" si="16">SUM(C8:C22)</f>
        <v>92522.36</v>
      </c>
      <c r="D23" s="60">
        <f t="shared" si="16"/>
        <v>85788.00185442745</v>
      </c>
      <c r="E23" s="60">
        <f t="shared" si="16"/>
        <v>257.36</v>
      </c>
      <c r="F23" s="60">
        <f t="shared" si="16"/>
        <v>86045.361854427436</v>
      </c>
      <c r="G23" s="60">
        <f t="shared" si="16"/>
        <v>78.39</v>
      </c>
      <c r="H23" s="60">
        <f t="shared" si="16"/>
        <v>35.233500000000006</v>
      </c>
      <c r="I23" s="60">
        <f t="shared" si="16"/>
        <v>2842.2974100649053</v>
      </c>
      <c r="J23" s="60">
        <f t="shared" si="16"/>
        <v>0</v>
      </c>
      <c r="K23" s="60">
        <f t="shared" si="16"/>
        <v>228.18</v>
      </c>
      <c r="L23" s="60">
        <f t="shared" si="16"/>
        <v>89151.072764492346</v>
      </c>
      <c r="M23" s="60">
        <f t="shared" si="16"/>
        <v>89151.072764492346</v>
      </c>
      <c r="N23" s="60">
        <f t="shared" si="16"/>
        <v>18721.725280543393</v>
      </c>
      <c r="O23" s="60">
        <f t="shared" si="16"/>
        <v>21599.256190608296</v>
      </c>
      <c r="Q23" s="62"/>
      <c r="R23" s="3" t="s">
        <v>481</v>
      </c>
      <c r="S23" s="10">
        <v>238.16</v>
      </c>
      <c r="T23" s="4">
        <v>0</v>
      </c>
      <c r="U23" s="4">
        <f t="shared" si="14"/>
        <v>238.16</v>
      </c>
      <c r="V23" s="132"/>
    </row>
    <row r="24" spans="1:22" x14ac:dyDescent="0.2">
      <c r="R24" s="3" t="s">
        <v>481</v>
      </c>
      <c r="S24" s="10">
        <v>238.16</v>
      </c>
      <c r="T24" s="4">
        <v>0</v>
      </c>
      <c r="U24" s="4">
        <f t="shared" si="14"/>
        <v>238.16</v>
      </c>
      <c r="V24" s="132"/>
    </row>
    <row r="25" spans="1:22" x14ac:dyDescent="0.2">
      <c r="R25" s="3"/>
      <c r="S25" s="10"/>
      <c r="T25" s="4"/>
      <c r="U25" s="4"/>
      <c r="V25" s="132"/>
    </row>
    <row r="26" spans="1:22" x14ac:dyDescent="0.2">
      <c r="R26" s="3"/>
      <c r="S26" s="10"/>
      <c r="T26" s="4"/>
      <c r="U26" s="4"/>
      <c r="V26" s="132"/>
    </row>
    <row r="27" spans="1:22" x14ac:dyDescent="0.2">
      <c r="R27" s="3"/>
      <c r="S27" s="10"/>
      <c r="T27" s="4"/>
      <c r="U27" s="4"/>
      <c r="V27" s="132"/>
    </row>
    <row r="28" spans="1:22" x14ac:dyDescent="0.2">
      <c r="R28" s="3"/>
      <c r="S28" s="10"/>
      <c r="T28" s="4"/>
      <c r="U28" s="4"/>
      <c r="V28" s="132"/>
    </row>
    <row r="29" spans="1:22" x14ac:dyDescent="0.2">
      <c r="R29" s="3" t="s">
        <v>156</v>
      </c>
      <c r="S29" s="22">
        <v>150</v>
      </c>
      <c r="T29" s="4">
        <v>0.21</v>
      </c>
      <c r="U29" s="4">
        <f t="shared" si="1"/>
        <v>181.5</v>
      </c>
      <c r="V29" s="132"/>
    </row>
    <row r="30" spans="1:22" x14ac:dyDescent="0.2">
      <c r="R30" s="3" t="s">
        <v>157</v>
      </c>
      <c r="S30" s="22"/>
      <c r="T30" s="4">
        <v>0.21</v>
      </c>
      <c r="U30" s="4">
        <f t="shared" si="1"/>
        <v>0</v>
      </c>
      <c r="V30" s="132"/>
    </row>
    <row r="31" spans="1:22" x14ac:dyDescent="0.2">
      <c r="R31" s="3" t="s">
        <v>77</v>
      </c>
      <c r="S31" s="23">
        <f>SUM(S5:S30)</f>
        <v>4095.599999999999</v>
      </c>
      <c r="T31" s="23"/>
      <c r="U31" s="23">
        <f>SUM(U5:U30)</f>
        <v>4455.5399999999991</v>
      </c>
      <c r="V31" s="132"/>
    </row>
    <row r="32" spans="1:22" x14ac:dyDescent="0.2">
      <c r="R32" s="3" t="s">
        <v>379</v>
      </c>
      <c r="S32" s="4">
        <v>2055.1</v>
      </c>
      <c r="T32" s="3">
        <v>14312.59</v>
      </c>
      <c r="U32" s="10">
        <v>16367.69</v>
      </c>
      <c r="V32" s="132"/>
    </row>
    <row r="33" spans="18:22" x14ac:dyDescent="0.2">
      <c r="S33"/>
      <c r="V33" s="3"/>
    </row>
    <row r="34" spans="18:22" x14ac:dyDescent="0.2">
      <c r="R34" s="3"/>
      <c r="S34" s="4">
        <v>3996.04</v>
      </c>
      <c r="T34" s="4">
        <v>14667.368200000001</v>
      </c>
      <c r="U34" s="4">
        <v>18663.408200000002</v>
      </c>
    </row>
  </sheetData>
  <autoFilter ref="A7:O23" xr:uid="{46A88692-6BE5-4C67-915B-A1A95D694D53}"/>
  <mergeCells count="1">
    <mergeCell ref="V5:V32"/>
  </mergeCells>
  <phoneticPr fontId="4" type="noConversion"/>
  <conditionalFormatting sqref="B1:B1048576">
    <cfRule type="duplicateValues" dxfId="2" priority="1"/>
  </conditionalFormatting>
  <pageMargins left="0.70866141732283472" right="0.70866141732283472" top="0.74803149606299213" bottom="0.74803149606299213" header="0.31496062992125984" footer="0.31496062992125984"/>
  <pageSetup paperSize="9" scale="38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126AA-4F0B-41E2-8BF9-E8A7C7D29F3F}">
  <sheetPr>
    <pageSetUpPr fitToPage="1"/>
  </sheetPr>
  <dimension ref="A1:F3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0" sqref="A30"/>
    </sheetView>
  </sheetViews>
  <sheetFormatPr defaultRowHeight="14.25" x14ac:dyDescent="0.2"/>
  <cols>
    <col min="1" max="1" width="27.5" customWidth="1"/>
    <col min="2" max="2" width="20.5" bestFit="1" customWidth="1"/>
    <col min="3" max="3" width="11.875" style="32" bestFit="1" customWidth="1"/>
    <col min="4" max="4" width="26.5" style="1" customWidth="1"/>
    <col min="6" max="6" width="18.75" bestFit="1" customWidth="1"/>
  </cols>
  <sheetData>
    <row r="1" spans="1:6" ht="28.5" x14ac:dyDescent="0.2">
      <c r="A1" s="99" t="s">
        <v>404</v>
      </c>
      <c r="B1" s="100" t="s">
        <v>317</v>
      </c>
      <c r="C1" s="101" t="s">
        <v>357</v>
      </c>
      <c r="D1" s="98" t="s">
        <v>320</v>
      </c>
      <c r="E1" s="100" t="s">
        <v>318</v>
      </c>
      <c r="F1" s="100" t="s">
        <v>319</v>
      </c>
    </row>
    <row r="2" spans="1:6" x14ac:dyDescent="0.2">
      <c r="A2" s="17" t="s">
        <v>316</v>
      </c>
      <c r="B2" s="17" t="s">
        <v>405</v>
      </c>
      <c r="C2" s="91">
        <v>2295.7182000000003</v>
      </c>
      <c r="D2" s="3" t="s">
        <v>407</v>
      </c>
      <c r="E2" s="17" t="s">
        <v>322</v>
      </c>
      <c r="F2" s="17"/>
    </row>
    <row r="3" spans="1:6" x14ac:dyDescent="0.2">
      <c r="A3" s="17" t="s">
        <v>334</v>
      </c>
      <c r="B3" s="17" t="s">
        <v>406</v>
      </c>
      <c r="C3" s="91">
        <v>26068.35</v>
      </c>
      <c r="D3" s="3" t="s">
        <v>409</v>
      </c>
      <c r="E3" s="17" t="s">
        <v>322</v>
      </c>
      <c r="F3" s="17"/>
    </row>
    <row r="4" spans="1:6" x14ac:dyDescent="0.2">
      <c r="A4" s="17" t="s">
        <v>64</v>
      </c>
      <c r="B4" s="17"/>
      <c r="C4" s="95">
        <v>2300</v>
      </c>
      <c r="D4" s="3"/>
      <c r="E4" s="17" t="s">
        <v>322</v>
      </c>
      <c r="F4" s="17"/>
    </row>
    <row r="5" spans="1:6" x14ac:dyDescent="0.2">
      <c r="A5" s="17" t="s">
        <v>384</v>
      </c>
      <c r="B5" s="17" t="s">
        <v>412</v>
      </c>
      <c r="C5" s="91"/>
      <c r="D5" s="3"/>
      <c r="E5" s="17" t="s">
        <v>322</v>
      </c>
      <c r="F5" s="17"/>
    </row>
    <row r="6" spans="1:6" x14ac:dyDescent="0.2">
      <c r="A6" s="17" t="s">
        <v>349</v>
      </c>
      <c r="B6" s="17" t="s">
        <v>412</v>
      </c>
      <c r="C6" s="91"/>
      <c r="D6" s="3"/>
      <c r="E6" s="17" t="s">
        <v>322</v>
      </c>
      <c r="F6" s="17"/>
    </row>
    <row r="7" spans="1:6" x14ac:dyDescent="0.2">
      <c r="A7" s="17" t="s">
        <v>18</v>
      </c>
      <c r="B7" s="3" t="s">
        <v>411</v>
      </c>
      <c r="C7" s="91">
        <v>26068.35</v>
      </c>
      <c r="D7" s="3" t="s">
        <v>410</v>
      </c>
      <c r="E7" s="17" t="s">
        <v>322</v>
      </c>
      <c r="F7" s="17"/>
    </row>
    <row r="8" spans="1:6" x14ac:dyDescent="0.2">
      <c r="A8" s="17" t="s">
        <v>321</v>
      </c>
      <c r="B8" s="3" t="s">
        <v>411</v>
      </c>
      <c r="C8" s="91"/>
      <c r="D8" s="3"/>
      <c r="E8" s="17" t="s">
        <v>322</v>
      </c>
      <c r="F8" s="17"/>
    </row>
    <row r="9" spans="1:6" x14ac:dyDescent="0.2">
      <c r="A9" s="17" t="s">
        <v>324</v>
      </c>
      <c r="B9" s="96">
        <v>20023593</v>
      </c>
      <c r="C9" s="91"/>
      <c r="D9" s="3" t="s">
        <v>411</v>
      </c>
      <c r="E9" s="17" t="s">
        <v>322</v>
      </c>
      <c r="F9" s="17"/>
    </row>
    <row r="10" spans="1:6" x14ac:dyDescent="0.2">
      <c r="A10" s="17" t="s">
        <v>323</v>
      </c>
      <c r="B10" s="96">
        <v>20023593</v>
      </c>
      <c r="C10" s="91">
        <v>103052.94</v>
      </c>
      <c r="D10" s="3" t="s">
        <v>411</v>
      </c>
      <c r="E10" s="17" t="s">
        <v>322</v>
      </c>
      <c r="F10" s="17"/>
    </row>
    <row r="11" spans="1:6" x14ac:dyDescent="0.2">
      <c r="A11" s="17" t="s">
        <v>325</v>
      </c>
      <c r="B11" s="3" t="s">
        <v>411</v>
      </c>
      <c r="C11" s="91"/>
      <c r="D11" s="3" t="s">
        <v>413</v>
      </c>
      <c r="E11" s="17" t="s">
        <v>322</v>
      </c>
      <c r="F11" s="17"/>
    </row>
    <row r="12" spans="1:6" x14ac:dyDescent="0.2">
      <c r="A12" s="17" t="s">
        <v>327</v>
      </c>
      <c r="B12" s="3"/>
      <c r="C12" s="91"/>
      <c r="D12" s="3" t="s">
        <v>411</v>
      </c>
      <c r="E12" s="17" t="s">
        <v>322</v>
      </c>
      <c r="F12" s="17"/>
    </row>
    <row r="13" spans="1:6" x14ac:dyDescent="0.2">
      <c r="A13" s="17" t="s">
        <v>414</v>
      </c>
      <c r="B13" s="3" t="s">
        <v>415</v>
      </c>
      <c r="C13" s="91"/>
      <c r="D13" s="3"/>
      <c r="E13" s="17" t="s">
        <v>322</v>
      </c>
      <c r="F13" s="17"/>
    </row>
    <row r="14" spans="1:6" x14ac:dyDescent="0.2">
      <c r="A14" s="17" t="s">
        <v>374</v>
      </c>
      <c r="B14" s="3"/>
      <c r="C14" s="91"/>
      <c r="D14" s="3"/>
      <c r="E14" s="72" t="s">
        <v>344</v>
      </c>
      <c r="F14" s="17"/>
    </row>
    <row r="15" spans="1:6" x14ac:dyDescent="0.2">
      <c r="A15" s="17" t="s">
        <v>329</v>
      </c>
      <c r="B15" s="3" t="s">
        <v>391</v>
      </c>
      <c r="C15" s="95">
        <v>104743</v>
      </c>
      <c r="D15" s="3" t="s">
        <v>335</v>
      </c>
      <c r="E15" s="17" t="s">
        <v>322</v>
      </c>
      <c r="F15" s="17"/>
    </row>
    <row r="16" spans="1:6" x14ac:dyDescent="0.2">
      <c r="A16" s="17" t="s">
        <v>330</v>
      </c>
      <c r="B16" s="3" t="s">
        <v>391</v>
      </c>
      <c r="C16" s="91" t="s">
        <v>417</v>
      </c>
      <c r="D16" s="3" t="s">
        <v>335</v>
      </c>
      <c r="E16" s="17" t="s">
        <v>322</v>
      </c>
      <c r="F16" s="17"/>
    </row>
    <row r="17" spans="1:6" x14ac:dyDescent="0.2">
      <c r="A17" s="17" t="s">
        <v>395</v>
      </c>
      <c r="B17" s="3" t="s">
        <v>391</v>
      </c>
      <c r="C17" s="91" t="s">
        <v>416</v>
      </c>
      <c r="D17" s="3" t="s">
        <v>335</v>
      </c>
      <c r="E17" s="17" t="s">
        <v>322</v>
      </c>
      <c r="F17" s="17"/>
    </row>
    <row r="18" spans="1:6" x14ac:dyDescent="0.2">
      <c r="A18" s="17"/>
      <c r="B18" s="17"/>
      <c r="C18" s="35"/>
      <c r="D18" s="3"/>
      <c r="E18" s="17"/>
      <c r="F18" s="17"/>
    </row>
    <row r="19" spans="1:6" x14ac:dyDescent="0.2">
      <c r="A19" s="17" t="s">
        <v>334</v>
      </c>
      <c r="B19" s="17" t="s">
        <v>408</v>
      </c>
      <c r="C19" s="91">
        <v>1271.97</v>
      </c>
      <c r="D19" s="3" t="s">
        <v>419</v>
      </c>
      <c r="E19" s="17" t="s">
        <v>322</v>
      </c>
      <c r="F19" s="17"/>
    </row>
    <row r="20" spans="1:6" x14ac:dyDescent="0.2">
      <c r="A20" s="17" t="s">
        <v>64</v>
      </c>
      <c r="B20" s="17"/>
      <c r="C20" s="95"/>
      <c r="D20" s="3"/>
      <c r="E20" s="17" t="s">
        <v>322</v>
      </c>
      <c r="F20" s="17"/>
    </row>
    <row r="21" spans="1:6" x14ac:dyDescent="0.2">
      <c r="A21" s="17" t="s">
        <v>384</v>
      </c>
      <c r="B21" s="17" t="s">
        <v>422</v>
      </c>
      <c r="C21" s="91"/>
      <c r="D21" s="3"/>
      <c r="E21" s="17" t="s">
        <v>322</v>
      </c>
      <c r="F21" s="17"/>
    </row>
    <row r="22" spans="1:6" x14ac:dyDescent="0.2">
      <c r="A22" s="17" t="s">
        <v>349</v>
      </c>
      <c r="B22" s="17" t="s">
        <v>422</v>
      </c>
      <c r="C22" s="91"/>
      <c r="D22" s="3"/>
      <c r="E22" s="17" t="s">
        <v>322</v>
      </c>
      <c r="F22" s="17"/>
    </row>
    <row r="23" spans="1:6" x14ac:dyDescent="0.2">
      <c r="A23" s="17" t="s">
        <v>18</v>
      </c>
      <c r="B23" s="3" t="s">
        <v>418</v>
      </c>
      <c r="C23" s="91">
        <v>1271.97</v>
      </c>
      <c r="D23" s="3" t="s">
        <v>420</v>
      </c>
      <c r="E23" s="17" t="s">
        <v>322</v>
      </c>
      <c r="F23" s="17"/>
    </row>
    <row r="24" spans="1:6" x14ac:dyDescent="0.2">
      <c r="A24" s="17" t="s">
        <v>321</v>
      </c>
      <c r="B24" s="3" t="s">
        <v>418</v>
      </c>
      <c r="C24" s="91"/>
      <c r="D24" s="3"/>
      <c r="E24" s="17" t="s">
        <v>322</v>
      </c>
      <c r="F24" s="17"/>
    </row>
    <row r="25" spans="1:6" x14ac:dyDescent="0.2">
      <c r="A25" s="17" t="s">
        <v>324</v>
      </c>
      <c r="B25" s="96">
        <v>20023133</v>
      </c>
      <c r="C25" s="91"/>
      <c r="D25" s="3" t="s">
        <v>418</v>
      </c>
      <c r="E25" s="17" t="s">
        <v>322</v>
      </c>
      <c r="F25" s="17"/>
    </row>
    <row r="26" spans="1:6" x14ac:dyDescent="0.2">
      <c r="A26" s="17" t="s">
        <v>323</v>
      </c>
      <c r="B26" s="96">
        <v>20023133</v>
      </c>
      <c r="C26" s="91">
        <v>6049.73</v>
      </c>
      <c r="D26" s="3" t="s">
        <v>418</v>
      </c>
      <c r="E26" s="17" t="s">
        <v>322</v>
      </c>
      <c r="F26" s="17"/>
    </row>
    <row r="27" spans="1:6" x14ac:dyDescent="0.2">
      <c r="A27" s="17" t="s">
        <v>325</v>
      </c>
      <c r="B27" s="3" t="s">
        <v>418</v>
      </c>
      <c r="C27" s="91"/>
      <c r="D27" s="3" t="s">
        <v>423</v>
      </c>
      <c r="E27" s="17" t="s">
        <v>322</v>
      </c>
      <c r="F27" s="17"/>
    </row>
    <row r="28" spans="1:6" x14ac:dyDescent="0.2">
      <c r="A28" s="17" t="s">
        <v>327</v>
      </c>
      <c r="B28" s="3"/>
      <c r="C28" s="91"/>
      <c r="D28" s="3" t="s">
        <v>418</v>
      </c>
      <c r="E28" s="17" t="s">
        <v>322</v>
      </c>
      <c r="F28" s="17"/>
    </row>
    <row r="29" spans="1:6" x14ac:dyDescent="0.2">
      <c r="A29" s="17" t="s">
        <v>414</v>
      </c>
      <c r="B29" s="3" t="s">
        <v>415</v>
      </c>
      <c r="C29" s="91"/>
      <c r="D29" s="3"/>
      <c r="E29" s="17" t="s">
        <v>322</v>
      </c>
      <c r="F29" s="17"/>
    </row>
    <row r="30" spans="1:6" x14ac:dyDescent="0.2">
      <c r="A30" s="17" t="s">
        <v>374</v>
      </c>
      <c r="B30" s="3"/>
      <c r="C30" s="91"/>
      <c r="D30" s="3"/>
      <c r="E30" s="72" t="s">
        <v>344</v>
      </c>
      <c r="F30" s="17"/>
    </row>
    <row r="31" spans="1:6" x14ac:dyDescent="0.2">
      <c r="A31" s="17" t="s">
        <v>329</v>
      </c>
      <c r="B31" s="3" t="s">
        <v>420</v>
      </c>
      <c r="C31" s="92">
        <v>5196.8</v>
      </c>
      <c r="D31" s="3" t="s">
        <v>421</v>
      </c>
      <c r="E31" s="17" t="s">
        <v>322</v>
      </c>
      <c r="F31" s="17"/>
    </row>
    <row r="32" spans="1:6" x14ac:dyDescent="0.2">
      <c r="A32" s="17" t="s">
        <v>330</v>
      </c>
      <c r="B32" s="3" t="s">
        <v>420</v>
      </c>
      <c r="C32" s="91" t="s">
        <v>425</v>
      </c>
      <c r="D32" s="3" t="s">
        <v>421</v>
      </c>
      <c r="E32" s="17" t="s">
        <v>322</v>
      </c>
      <c r="F32" s="17"/>
    </row>
    <row r="33" spans="1:6" x14ac:dyDescent="0.2">
      <c r="A33" s="17" t="s">
        <v>395</v>
      </c>
      <c r="B33" s="3" t="s">
        <v>420</v>
      </c>
      <c r="C33" s="91" t="s">
        <v>424</v>
      </c>
      <c r="D33" s="3" t="s">
        <v>421</v>
      </c>
      <c r="E33" s="17" t="s">
        <v>322</v>
      </c>
      <c r="F33" s="17"/>
    </row>
  </sheetData>
  <phoneticPr fontId="4" type="noConversion"/>
  <conditionalFormatting sqref="E1:E1048576">
    <cfRule type="containsText" dxfId="1" priority="1" operator="containsText" text="NO">
      <formula>NOT(ISERROR(SEARCH("NO",E1)))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88692-6BE5-4C67-915B-A1A95D694D53}">
  <sheetPr>
    <pageSetUpPr fitToPage="1"/>
  </sheetPr>
  <dimension ref="A1:V22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30" sqref="F30"/>
    </sheetView>
  </sheetViews>
  <sheetFormatPr defaultRowHeight="14.25" x14ac:dyDescent="0.2"/>
  <cols>
    <col min="1" max="1" width="21.375" customWidth="1"/>
    <col min="2" max="2" width="17.125" customWidth="1"/>
    <col min="3" max="3" width="13.625" customWidth="1"/>
    <col min="4" max="4" width="11.375" bestFit="1" customWidth="1"/>
    <col min="5" max="5" width="13" customWidth="1"/>
    <col min="6" max="6" width="18.75" customWidth="1"/>
    <col min="7" max="7" width="16.5" customWidth="1"/>
    <col min="8" max="8" width="10.25" bestFit="1" customWidth="1"/>
    <col min="9" max="9" width="13.125" bestFit="1" customWidth="1"/>
    <col min="10" max="10" width="11" customWidth="1"/>
    <col min="11" max="11" width="10.375" bestFit="1" customWidth="1"/>
    <col min="12" max="13" width="11.375" bestFit="1" customWidth="1"/>
    <col min="14" max="14" width="14.875" customWidth="1"/>
    <col min="15" max="15" width="16.75" bestFit="1" customWidth="1"/>
    <col min="16" max="16" width="9.25" bestFit="1" customWidth="1"/>
    <col min="17" max="17" width="10.375" bestFit="1" customWidth="1"/>
    <col min="18" max="18" width="45.25" customWidth="1"/>
    <col min="19" max="19" width="19.125" style="32" customWidth="1"/>
    <col min="20" max="20" width="20.5" bestFit="1" customWidth="1"/>
    <col min="21" max="21" width="11.375" bestFit="1" customWidth="1"/>
  </cols>
  <sheetData>
    <row r="1" spans="1:22" ht="28.5" x14ac:dyDescent="0.2">
      <c r="A1" s="124" t="s">
        <v>473</v>
      </c>
      <c r="B1" s="1"/>
      <c r="C1" s="31">
        <v>45098</v>
      </c>
      <c r="D1" s="1"/>
      <c r="E1" s="1"/>
    </row>
    <row r="2" spans="1:22" x14ac:dyDescent="0.2">
      <c r="A2" t="s">
        <v>246</v>
      </c>
      <c r="B2" s="3">
        <v>1.0785</v>
      </c>
    </row>
    <row r="3" spans="1:22" x14ac:dyDescent="0.2">
      <c r="A3" s="1" t="s">
        <v>61</v>
      </c>
      <c r="B3" s="1"/>
      <c r="C3" s="1" t="s">
        <v>62</v>
      </c>
      <c r="D3" s="2" t="s">
        <v>35</v>
      </c>
      <c r="E3" s="2"/>
      <c r="F3" s="1"/>
      <c r="Q3" s="1" t="s">
        <v>63</v>
      </c>
      <c r="R3" s="1" t="s">
        <v>405</v>
      </c>
      <c r="S3" s="12">
        <v>45098</v>
      </c>
      <c r="T3" s="1"/>
      <c r="U3" s="1"/>
      <c r="V3" s="1" t="s">
        <v>72</v>
      </c>
    </row>
    <row r="4" spans="1:22" ht="28.5" x14ac:dyDescent="0.2">
      <c r="A4" s="108" t="s">
        <v>0</v>
      </c>
      <c r="B4" s="109"/>
      <c r="C4" s="108" t="s">
        <v>6</v>
      </c>
      <c r="D4" s="110" t="s">
        <v>241</v>
      </c>
      <c r="E4" s="110" t="s">
        <v>242</v>
      </c>
      <c r="F4" s="108" t="s">
        <v>450</v>
      </c>
      <c r="G4" s="111" t="s">
        <v>451</v>
      </c>
      <c r="H4" s="111" t="s">
        <v>452</v>
      </c>
      <c r="Q4" s="3" t="s">
        <v>21</v>
      </c>
      <c r="R4" s="3"/>
      <c r="S4" s="3" t="s">
        <v>65</v>
      </c>
      <c r="T4" s="3" t="s">
        <v>19</v>
      </c>
      <c r="U4" s="3" t="s">
        <v>35</v>
      </c>
      <c r="V4" s="1" t="s">
        <v>54</v>
      </c>
    </row>
    <row r="5" spans="1:22" ht="28.5" x14ac:dyDescent="0.2">
      <c r="A5" s="108" t="s">
        <v>1</v>
      </c>
      <c r="B5" s="109">
        <v>45052</v>
      </c>
      <c r="C5" s="108" t="s">
        <v>410</v>
      </c>
      <c r="D5" s="110">
        <v>104743</v>
      </c>
      <c r="E5" s="110">
        <f>D5/$B$2</f>
        <v>97119.146963375053</v>
      </c>
      <c r="F5" s="108" t="s">
        <v>411</v>
      </c>
      <c r="G5" s="108" t="s">
        <v>406</v>
      </c>
      <c r="H5" s="111">
        <v>26068.34</v>
      </c>
      <c r="Q5" s="33" t="s">
        <v>22</v>
      </c>
      <c r="R5" s="3" t="s">
        <v>427</v>
      </c>
      <c r="S5" s="22">
        <v>2185</v>
      </c>
      <c r="T5" s="4"/>
      <c r="U5" s="4">
        <f t="shared" ref="U5:U7" si="0">S5*(1+T5)</f>
        <v>2185</v>
      </c>
      <c r="V5" s="131" t="s">
        <v>426</v>
      </c>
    </row>
    <row r="6" spans="1:22" ht="28.5" x14ac:dyDescent="0.2">
      <c r="A6" s="108" t="s">
        <v>230</v>
      </c>
      <c r="B6" s="109">
        <v>45053</v>
      </c>
      <c r="C6" s="108" t="s">
        <v>430</v>
      </c>
      <c r="D6" s="110">
        <v>5196.8</v>
      </c>
      <c r="E6" s="110">
        <f>D6/$B$2</f>
        <v>4818.544274455262</v>
      </c>
      <c r="F6" s="108" t="s">
        <v>419</v>
      </c>
      <c r="G6" s="108" t="s">
        <v>408</v>
      </c>
      <c r="H6" s="112">
        <v>1271.97</v>
      </c>
      <c r="Q6" s="34"/>
      <c r="R6" s="3" t="s">
        <v>149</v>
      </c>
      <c r="S6" s="22">
        <v>28.5</v>
      </c>
      <c r="T6" s="4"/>
      <c r="U6" s="4">
        <f t="shared" si="0"/>
        <v>28.5</v>
      </c>
      <c r="V6" s="131"/>
    </row>
    <row r="7" spans="1:22" x14ac:dyDescent="0.2">
      <c r="A7" t="s">
        <v>244</v>
      </c>
      <c r="B7" t="s">
        <v>243</v>
      </c>
      <c r="C7" t="s">
        <v>250</v>
      </c>
      <c r="D7" t="s">
        <v>256</v>
      </c>
      <c r="E7" t="s">
        <v>173</v>
      </c>
      <c r="F7" t="s">
        <v>257</v>
      </c>
      <c r="G7" t="s">
        <v>247</v>
      </c>
      <c r="H7" t="s">
        <v>248</v>
      </c>
      <c r="I7" t="s">
        <v>258</v>
      </c>
      <c r="J7" t="s">
        <v>259</v>
      </c>
      <c r="K7" t="s">
        <v>260</v>
      </c>
      <c r="L7" t="s">
        <v>160</v>
      </c>
      <c r="M7" t="s">
        <v>261</v>
      </c>
      <c r="N7" t="s">
        <v>190</v>
      </c>
      <c r="O7" t="s">
        <v>225</v>
      </c>
      <c r="Q7" s="62"/>
      <c r="R7" s="3" t="s">
        <v>150</v>
      </c>
      <c r="S7" s="22">
        <v>22.14</v>
      </c>
      <c r="T7" s="4">
        <v>0.21</v>
      </c>
      <c r="U7" s="4">
        <f t="shared" si="0"/>
        <v>26.789400000000001</v>
      </c>
      <c r="V7" s="131"/>
    </row>
    <row r="8" spans="1:22" x14ac:dyDescent="0.2">
      <c r="A8" t="s">
        <v>431</v>
      </c>
      <c r="B8" s="61" t="s">
        <v>432</v>
      </c>
      <c r="C8" s="32">
        <v>3099.27</v>
      </c>
      <c r="D8" s="32">
        <f>C8/$B$2</f>
        <v>2873.6856745479831</v>
      </c>
      <c r="E8" s="32">
        <v>25.95</v>
      </c>
      <c r="F8" s="32">
        <f>E8+D8</f>
        <v>2899.6356745479829</v>
      </c>
      <c r="G8" s="32">
        <v>85.3</v>
      </c>
      <c r="H8" s="32">
        <f>G8*0.45</f>
        <v>38.384999999999998</v>
      </c>
      <c r="I8" s="32">
        <f>F8*0.015</f>
        <v>43.494535118219744</v>
      </c>
      <c r="J8" s="32"/>
      <c r="K8" s="32">
        <v>3.99</v>
      </c>
      <c r="L8" s="32">
        <f>K8+I8+H8+F8</f>
        <v>2985.5052096662025</v>
      </c>
      <c r="M8" s="32">
        <f>L8</f>
        <v>2985.5052096662025</v>
      </c>
      <c r="N8" s="32">
        <f>M8*0.21</f>
        <v>626.95609402990249</v>
      </c>
      <c r="O8" s="32">
        <f>N8+I8+H8</f>
        <v>708.83562914812228</v>
      </c>
      <c r="Q8" s="62"/>
      <c r="R8" s="3" t="s">
        <v>47</v>
      </c>
      <c r="S8" s="10">
        <v>40</v>
      </c>
      <c r="T8" s="4">
        <v>0.21</v>
      </c>
      <c r="U8" s="4">
        <f>S8*(1+T8)</f>
        <v>48.4</v>
      </c>
      <c r="V8" s="131"/>
    </row>
    <row r="9" spans="1:22" x14ac:dyDescent="0.2">
      <c r="A9" t="s">
        <v>433</v>
      </c>
      <c r="B9" s="61" t="s">
        <v>434</v>
      </c>
      <c r="C9" s="32">
        <v>2718.13</v>
      </c>
      <c r="D9" s="32">
        <f t="shared" ref="D9:D16" si="1">C9/$B$2</f>
        <v>2520.2874362540565</v>
      </c>
      <c r="E9" s="32">
        <v>46.04</v>
      </c>
      <c r="F9" s="32">
        <f t="shared" ref="F9:F16" si="2">E9+D9</f>
        <v>2566.3274362540565</v>
      </c>
      <c r="G9" s="32">
        <v>0</v>
      </c>
      <c r="H9" s="32">
        <f t="shared" ref="H9:H16" si="3">G9*0.45</f>
        <v>0</v>
      </c>
      <c r="I9" s="32">
        <f>F9*0.022</f>
        <v>56.459203597589237</v>
      </c>
      <c r="J9" s="32"/>
      <c r="K9" s="32">
        <v>3.5</v>
      </c>
      <c r="L9" s="32">
        <f t="shared" ref="L9:L16" si="4">K9+I9+H9+F9</f>
        <v>2626.2866398516458</v>
      </c>
      <c r="M9" s="32">
        <f t="shared" ref="M9:M16" si="5">L9</f>
        <v>2626.2866398516458</v>
      </c>
      <c r="N9" s="32">
        <f t="shared" ref="N9:N16" si="6">M9*0.21</f>
        <v>551.52019436884564</v>
      </c>
      <c r="O9" s="32">
        <f t="shared" ref="O9:O16" si="7">N9+I9+H9</f>
        <v>607.97939796643482</v>
      </c>
      <c r="Q9" s="62"/>
      <c r="R9" s="6" t="s">
        <v>151</v>
      </c>
      <c r="S9" s="25">
        <v>50</v>
      </c>
      <c r="T9" s="4"/>
      <c r="U9" s="4">
        <f t="shared" ref="U9:U16" si="8">S9*(1+T9)</f>
        <v>50</v>
      </c>
      <c r="V9" s="132"/>
    </row>
    <row r="10" spans="1:22" x14ac:dyDescent="0.2">
      <c r="A10" t="s">
        <v>435</v>
      </c>
      <c r="B10" s="61" t="s">
        <v>266</v>
      </c>
      <c r="C10" s="32">
        <v>43800</v>
      </c>
      <c r="D10" s="32">
        <f t="shared" si="1"/>
        <v>40611.96105702364</v>
      </c>
      <c r="E10" s="32">
        <v>254.94</v>
      </c>
      <c r="F10" s="32">
        <f t="shared" si="2"/>
        <v>40866.901057023642</v>
      </c>
      <c r="G10" s="32">
        <v>0</v>
      </c>
      <c r="H10" s="32">
        <f t="shared" si="3"/>
        <v>0</v>
      </c>
      <c r="I10" s="32">
        <f>9000*0.3</f>
        <v>2700</v>
      </c>
      <c r="J10" s="32"/>
      <c r="K10" s="32">
        <v>56.45</v>
      </c>
      <c r="L10" s="32">
        <f t="shared" si="4"/>
        <v>43623.351057023639</v>
      </c>
      <c r="M10" s="32">
        <f t="shared" si="5"/>
        <v>43623.351057023639</v>
      </c>
      <c r="N10" s="32">
        <f t="shared" si="6"/>
        <v>9160.9037219749644</v>
      </c>
      <c r="O10" s="32">
        <f t="shared" si="7"/>
        <v>11860.903721974964</v>
      </c>
      <c r="Q10" s="62"/>
      <c r="R10" s="6" t="s">
        <v>91</v>
      </c>
      <c r="S10" s="25">
        <v>220</v>
      </c>
      <c r="T10" s="4"/>
      <c r="U10" s="4">
        <f t="shared" si="8"/>
        <v>220</v>
      </c>
      <c r="V10" s="132"/>
    </row>
    <row r="11" spans="1:22" x14ac:dyDescent="0.2">
      <c r="A11" t="s">
        <v>436</v>
      </c>
      <c r="B11" s="61" t="s">
        <v>437</v>
      </c>
      <c r="C11" s="32">
        <v>44745.34</v>
      </c>
      <c r="D11" s="32">
        <f t="shared" si="1"/>
        <v>41488.493277700509</v>
      </c>
      <c r="E11" s="32">
        <v>504.62</v>
      </c>
      <c r="F11" s="32">
        <f t="shared" si="2"/>
        <v>41993.113277700511</v>
      </c>
      <c r="G11" s="32">
        <v>0</v>
      </c>
      <c r="H11" s="32">
        <f t="shared" si="3"/>
        <v>0</v>
      </c>
      <c r="I11" s="32">
        <f>F11*0.033</f>
        <v>1385.7727381641168</v>
      </c>
      <c r="J11" s="32"/>
      <c r="K11" s="32">
        <v>57.67</v>
      </c>
      <c r="L11" s="32">
        <f t="shared" si="4"/>
        <v>43436.556015864626</v>
      </c>
      <c r="M11" s="32">
        <f t="shared" si="5"/>
        <v>43436.556015864626</v>
      </c>
      <c r="N11" s="32">
        <f t="shared" si="6"/>
        <v>9121.6767633315703</v>
      </c>
      <c r="O11" s="32">
        <f t="shared" si="7"/>
        <v>10507.449501495686</v>
      </c>
      <c r="Q11" s="62"/>
      <c r="R11" s="3" t="s">
        <v>152</v>
      </c>
      <c r="S11" s="22">
        <v>1560</v>
      </c>
      <c r="T11" s="4">
        <v>0.21</v>
      </c>
      <c r="U11" s="4">
        <f t="shared" si="8"/>
        <v>1887.6</v>
      </c>
      <c r="V11" s="132"/>
    </row>
    <row r="12" spans="1:22" x14ac:dyDescent="0.2">
      <c r="A12" t="s">
        <v>438</v>
      </c>
      <c r="B12" s="61" t="s">
        <v>439</v>
      </c>
      <c r="C12" s="32">
        <v>2030</v>
      </c>
      <c r="D12" s="32">
        <f t="shared" si="1"/>
        <v>1882.2438572090866</v>
      </c>
      <c r="E12" s="32">
        <v>23.82</v>
      </c>
      <c r="F12" s="32">
        <f t="shared" si="2"/>
        <v>1906.0638572090866</v>
      </c>
      <c r="G12" s="32">
        <v>0</v>
      </c>
      <c r="H12" s="32">
        <f t="shared" si="3"/>
        <v>0</v>
      </c>
      <c r="I12" s="32">
        <v>0</v>
      </c>
      <c r="J12" s="32"/>
      <c r="K12" s="32">
        <v>2.62</v>
      </c>
      <c r="L12" s="32">
        <f t="shared" si="4"/>
        <v>1908.6838572090865</v>
      </c>
      <c r="M12" s="32">
        <f t="shared" si="5"/>
        <v>1908.6838572090865</v>
      </c>
      <c r="N12" s="32">
        <f t="shared" si="6"/>
        <v>400.82361001390814</v>
      </c>
      <c r="O12" s="32">
        <f t="shared" si="7"/>
        <v>400.82361001390814</v>
      </c>
      <c r="Q12" s="62"/>
      <c r="R12" s="3" t="s">
        <v>428</v>
      </c>
      <c r="S12" s="22">
        <v>8</v>
      </c>
      <c r="T12" s="4">
        <v>0.21</v>
      </c>
      <c r="U12" s="4">
        <f t="shared" si="8"/>
        <v>9.68</v>
      </c>
      <c r="V12" s="132"/>
    </row>
    <row r="13" spans="1:22" x14ac:dyDescent="0.2">
      <c r="A13" t="s">
        <v>440</v>
      </c>
      <c r="B13" s="61" t="s">
        <v>441</v>
      </c>
      <c r="C13" s="32">
        <v>1830</v>
      </c>
      <c r="D13" s="32">
        <f t="shared" si="1"/>
        <v>1696.8011126564672</v>
      </c>
      <c r="E13" s="32">
        <v>30.99</v>
      </c>
      <c r="F13" s="32">
        <f t="shared" si="2"/>
        <v>1727.7911126564672</v>
      </c>
      <c r="G13" s="32">
        <v>0</v>
      </c>
      <c r="H13" s="32">
        <f t="shared" si="3"/>
        <v>0</v>
      </c>
      <c r="I13" s="32">
        <f>F13*0.097</f>
        <v>167.59573792767733</v>
      </c>
      <c r="J13" s="32"/>
      <c r="K13" s="32">
        <v>2.36</v>
      </c>
      <c r="L13" s="32">
        <f t="shared" si="4"/>
        <v>1897.7468505841446</v>
      </c>
      <c r="M13" s="32">
        <f t="shared" si="5"/>
        <v>1897.7468505841446</v>
      </c>
      <c r="N13" s="32">
        <f t="shared" si="6"/>
        <v>398.52683862267037</v>
      </c>
      <c r="O13" s="32">
        <f t="shared" si="7"/>
        <v>566.12257655034773</v>
      </c>
      <c r="Q13" s="62"/>
      <c r="R13" s="3" t="s">
        <v>429</v>
      </c>
      <c r="S13" s="22">
        <v>80</v>
      </c>
      <c r="T13" s="4">
        <v>0.21</v>
      </c>
      <c r="U13" s="4">
        <f t="shared" si="8"/>
        <v>96.8</v>
      </c>
      <c r="V13" s="132"/>
    </row>
    <row r="14" spans="1:22" x14ac:dyDescent="0.2">
      <c r="A14" t="s">
        <v>442</v>
      </c>
      <c r="B14" s="61" t="s">
        <v>443</v>
      </c>
      <c r="C14" s="32">
        <v>4474.26</v>
      </c>
      <c r="D14" s="32">
        <f t="shared" si="1"/>
        <v>4148.5952712100143</v>
      </c>
      <c r="E14" s="32">
        <v>469.56</v>
      </c>
      <c r="F14" s="32">
        <f t="shared" si="2"/>
        <v>4618.1552712100147</v>
      </c>
      <c r="G14" s="32">
        <v>0</v>
      </c>
      <c r="H14" s="32">
        <f t="shared" si="3"/>
        <v>0</v>
      </c>
      <c r="I14" s="32">
        <v>0</v>
      </c>
      <c r="J14" s="32"/>
      <c r="K14" s="32">
        <v>5.77</v>
      </c>
      <c r="L14" s="32">
        <f t="shared" si="4"/>
        <v>4623.9252712100151</v>
      </c>
      <c r="M14" s="32">
        <f t="shared" si="5"/>
        <v>4623.9252712100151</v>
      </c>
      <c r="N14" s="32">
        <f t="shared" si="6"/>
        <v>971.02430695410317</v>
      </c>
      <c r="O14" s="32">
        <f t="shared" si="7"/>
        <v>971.02430695410317</v>
      </c>
      <c r="Q14" s="62"/>
      <c r="R14" s="3" t="s">
        <v>378</v>
      </c>
      <c r="S14" s="10">
        <v>125</v>
      </c>
      <c r="T14" s="4">
        <v>0.21</v>
      </c>
      <c r="U14" s="4">
        <f t="shared" si="8"/>
        <v>151.25</v>
      </c>
      <c r="V14" s="132"/>
    </row>
    <row r="15" spans="1:22" x14ac:dyDescent="0.2">
      <c r="A15" t="s">
        <v>444</v>
      </c>
      <c r="B15" s="61" t="s">
        <v>445</v>
      </c>
      <c r="C15" s="32">
        <v>579.6</v>
      </c>
      <c r="D15" s="32">
        <f t="shared" si="1"/>
        <v>537.41307371349103</v>
      </c>
      <c r="E15" s="32">
        <v>9.01</v>
      </c>
      <c r="F15" s="32">
        <f t="shared" si="2"/>
        <v>546.42307371349102</v>
      </c>
      <c r="G15" s="32">
        <v>0</v>
      </c>
      <c r="H15" s="32">
        <f t="shared" si="3"/>
        <v>0</v>
      </c>
      <c r="I15" s="32">
        <f>F15*0.065</f>
        <v>35.51749979137692</v>
      </c>
      <c r="J15" s="32"/>
      <c r="K15" s="32">
        <v>0.75</v>
      </c>
      <c r="L15" s="32">
        <f t="shared" si="4"/>
        <v>582.69057350486798</v>
      </c>
      <c r="M15" s="32">
        <f t="shared" si="5"/>
        <v>582.69057350486798</v>
      </c>
      <c r="N15" s="32">
        <f t="shared" si="6"/>
        <v>122.36502043602228</v>
      </c>
      <c r="O15" s="32">
        <f t="shared" si="7"/>
        <v>157.8825202273992</v>
      </c>
      <c r="Q15" s="62"/>
      <c r="R15" s="3" t="s">
        <v>156</v>
      </c>
      <c r="S15" s="22">
        <v>150</v>
      </c>
      <c r="T15" s="4">
        <v>0.21</v>
      </c>
      <c r="U15" s="4">
        <f t="shared" si="8"/>
        <v>181.5</v>
      </c>
      <c r="V15" s="132"/>
    </row>
    <row r="16" spans="1:22" x14ac:dyDescent="0.2">
      <c r="A16" t="s">
        <v>446</v>
      </c>
      <c r="B16" s="61" t="s">
        <v>447</v>
      </c>
      <c r="C16" s="32">
        <v>1466.4</v>
      </c>
      <c r="D16" s="32">
        <f t="shared" si="1"/>
        <v>1359.6662030598054</v>
      </c>
      <c r="E16" s="32">
        <v>6.63</v>
      </c>
      <c r="F16" s="32">
        <f t="shared" si="2"/>
        <v>1366.2962030598055</v>
      </c>
      <c r="G16" s="32">
        <v>0</v>
      </c>
      <c r="H16" s="32">
        <f t="shared" si="3"/>
        <v>0</v>
      </c>
      <c r="I16" s="32">
        <v>0</v>
      </c>
      <c r="J16" s="32"/>
      <c r="K16" s="32">
        <v>1.89</v>
      </c>
      <c r="L16" s="32">
        <f t="shared" si="4"/>
        <v>1368.1862030598056</v>
      </c>
      <c r="M16" s="32">
        <f t="shared" si="5"/>
        <v>1368.1862030598056</v>
      </c>
      <c r="N16" s="32">
        <f t="shared" si="6"/>
        <v>287.31910264255919</v>
      </c>
      <c r="O16" s="32">
        <f t="shared" si="7"/>
        <v>287.31910264255919</v>
      </c>
      <c r="Q16" s="62"/>
      <c r="R16" s="3" t="s">
        <v>157</v>
      </c>
      <c r="S16" s="22">
        <v>80</v>
      </c>
      <c r="T16" s="4">
        <v>0.21</v>
      </c>
      <c r="U16" s="4">
        <f t="shared" si="8"/>
        <v>96.8</v>
      </c>
      <c r="V16" s="132"/>
    </row>
    <row r="17" spans="1:22" x14ac:dyDescent="0.2">
      <c r="B17" s="56" t="s">
        <v>448</v>
      </c>
      <c r="C17" s="60">
        <f t="shared" ref="C17:O17" si="9">SUM(C8:C16)</f>
        <v>104742.99999999999</v>
      </c>
      <c r="D17" s="60">
        <f t="shared" si="9"/>
        <v>97119.146963375068</v>
      </c>
      <c r="E17" s="60">
        <f t="shared" si="9"/>
        <v>1371.5600000000002</v>
      </c>
      <c r="F17" s="60">
        <f t="shared" si="9"/>
        <v>98490.706963375051</v>
      </c>
      <c r="G17" s="60">
        <f t="shared" si="9"/>
        <v>85.3</v>
      </c>
      <c r="H17" s="60">
        <f t="shared" si="9"/>
        <v>38.384999999999998</v>
      </c>
      <c r="I17" s="60">
        <f t="shared" si="9"/>
        <v>4388.8397145989802</v>
      </c>
      <c r="J17" s="60">
        <f t="shared" si="9"/>
        <v>0</v>
      </c>
      <c r="K17" s="60">
        <f t="shared" si="9"/>
        <v>135</v>
      </c>
      <c r="L17" s="60">
        <f t="shared" si="9"/>
        <v>103052.93167797402</v>
      </c>
      <c r="M17" s="60">
        <f t="shared" si="9"/>
        <v>103052.93167797402</v>
      </c>
      <c r="N17" s="60">
        <f t="shared" si="9"/>
        <v>21641.115652374549</v>
      </c>
      <c r="O17" s="60">
        <f t="shared" si="9"/>
        <v>26068.340366973523</v>
      </c>
      <c r="Q17" s="62"/>
      <c r="R17" s="3" t="s">
        <v>77</v>
      </c>
      <c r="S17" s="23">
        <f>SUM(S5:S16)</f>
        <v>4548.6399999999994</v>
      </c>
      <c r="T17" s="23"/>
      <c r="U17" s="23">
        <f t="shared" ref="U17" si="10">SUM(U5:U16)</f>
        <v>4982.3194000000003</v>
      </c>
      <c r="V17" s="132"/>
    </row>
    <row r="18" spans="1:22" x14ac:dyDescent="0.2"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Q18" s="62"/>
      <c r="R18" s="3" t="s">
        <v>379</v>
      </c>
      <c r="S18" s="4">
        <v>2055.1</v>
      </c>
      <c r="T18" s="3">
        <v>14312.59</v>
      </c>
      <c r="U18" s="10">
        <v>16367.69</v>
      </c>
      <c r="V18" s="132"/>
    </row>
    <row r="19" spans="1:22" x14ac:dyDescent="0.2">
      <c r="A19" t="s">
        <v>388</v>
      </c>
      <c r="B19" s="61" t="s">
        <v>449</v>
      </c>
      <c r="C19" s="32">
        <v>5196.8</v>
      </c>
      <c r="D19" s="32">
        <f>C19/$B$2</f>
        <v>4818.544274455262</v>
      </c>
      <c r="E19" s="32">
        <v>1094.6600000000001</v>
      </c>
      <c r="F19" s="32">
        <f>E19+D19</f>
        <v>5913.2042744552618</v>
      </c>
      <c r="G19" s="32">
        <v>3.4</v>
      </c>
      <c r="H19" s="32">
        <f>G19*0.45</f>
        <v>1.53</v>
      </c>
      <c r="I19" s="32">
        <f>F19*0</f>
        <v>0</v>
      </c>
      <c r="J19" s="32"/>
      <c r="K19" s="32">
        <v>135</v>
      </c>
      <c r="L19" s="32">
        <f>K19+I19+H19+F19</f>
        <v>6049.7342744552616</v>
      </c>
      <c r="M19" s="32">
        <f>L19</f>
        <v>6049.7342744552616</v>
      </c>
      <c r="N19" s="32">
        <f>M19*0.21</f>
        <v>1270.444197635605</v>
      </c>
      <c r="O19" s="32">
        <f>N19+I19+H19</f>
        <v>1271.9741976356049</v>
      </c>
      <c r="Q19" s="63"/>
      <c r="S19"/>
      <c r="V19" s="132"/>
    </row>
    <row r="20" spans="1:22" x14ac:dyDescent="0.2">
      <c r="B20" s="56" t="s">
        <v>252</v>
      </c>
      <c r="C20" s="60">
        <f>SUM(C19)</f>
        <v>5196.8</v>
      </c>
      <c r="D20" s="60">
        <f t="shared" ref="D20:O20" si="11">SUM(D19)</f>
        <v>4818.544274455262</v>
      </c>
      <c r="E20" s="60">
        <f t="shared" si="11"/>
        <v>1094.6600000000001</v>
      </c>
      <c r="F20" s="60">
        <f t="shared" si="11"/>
        <v>5913.2042744552618</v>
      </c>
      <c r="G20" s="60">
        <f t="shared" si="11"/>
        <v>3.4</v>
      </c>
      <c r="H20" s="60">
        <f t="shared" si="11"/>
        <v>1.53</v>
      </c>
      <c r="I20" s="60">
        <f t="shared" si="11"/>
        <v>0</v>
      </c>
      <c r="J20" s="60">
        <f t="shared" si="11"/>
        <v>0</v>
      </c>
      <c r="K20" s="60">
        <f t="shared" si="11"/>
        <v>135</v>
      </c>
      <c r="L20" s="60">
        <f t="shared" si="11"/>
        <v>6049.7342744552616</v>
      </c>
      <c r="M20" s="60">
        <f t="shared" si="11"/>
        <v>6049.7342744552616</v>
      </c>
      <c r="N20" s="60">
        <f t="shared" si="11"/>
        <v>1270.444197635605</v>
      </c>
      <c r="O20" s="60">
        <f t="shared" si="11"/>
        <v>1271.9741976356049</v>
      </c>
      <c r="Q20" s="64"/>
      <c r="R20" s="3"/>
      <c r="S20" s="4">
        <v>3996.04</v>
      </c>
      <c r="T20" s="4">
        <v>14667.368200000001</v>
      </c>
      <c r="U20" s="4">
        <v>18663.408200000002</v>
      </c>
      <c r="V20" s="3"/>
    </row>
    <row r="21" spans="1:22" x14ac:dyDescent="0.2">
      <c r="A21" s="106"/>
      <c r="B21" s="106" t="s">
        <v>160</v>
      </c>
      <c r="C21" s="107">
        <f>SUM(C20,C17)</f>
        <v>109939.79999999999</v>
      </c>
      <c r="D21" s="107">
        <f t="shared" ref="D21:O21" si="12">SUM(D20,D17)</f>
        <v>101937.69123783032</v>
      </c>
      <c r="E21" s="107">
        <f t="shared" si="12"/>
        <v>2466.2200000000003</v>
      </c>
      <c r="F21" s="107">
        <f t="shared" si="12"/>
        <v>104403.91123783031</v>
      </c>
      <c r="G21" s="107">
        <f t="shared" si="12"/>
        <v>88.7</v>
      </c>
      <c r="H21" s="107">
        <f t="shared" si="12"/>
        <v>39.914999999999999</v>
      </c>
      <c r="I21" s="107">
        <f t="shared" si="12"/>
        <v>4388.8397145989802</v>
      </c>
      <c r="J21" s="107">
        <f t="shared" si="12"/>
        <v>0</v>
      </c>
      <c r="K21" s="107">
        <f t="shared" si="12"/>
        <v>270</v>
      </c>
      <c r="L21" s="107">
        <f t="shared" si="12"/>
        <v>109102.66595242928</v>
      </c>
      <c r="M21" s="107">
        <f t="shared" si="12"/>
        <v>109102.66595242928</v>
      </c>
      <c r="N21" s="107">
        <f t="shared" si="12"/>
        <v>22911.559850010155</v>
      </c>
      <c r="O21" s="107">
        <f t="shared" si="12"/>
        <v>27340.314564609129</v>
      </c>
    </row>
    <row r="22" spans="1:22" x14ac:dyDescent="0.2">
      <c r="E22" s="20">
        <f>E21*1.0785</f>
        <v>2659.8182700000002</v>
      </c>
    </row>
  </sheetData>
  <autoFilter ref="A7:O24" xr:uid="{46A88692-6BE5-4C67-915B-A1A95D694D53}"/>
  <mergeCells count="1">
    <mergeCell ref="V5:V19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38" orientation="landscape" horizontalDpi="0" verticalDpi="0" r:id="rId1"/>
  <ignoredErrors>
    <ignoredError sqref="B8:B16 B19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24CA1-152F-4C23-812B-1AE584304618}">
  <sheetPr>
    <pageSetUpPr fitToPage="1"/>
  </sheetPr>
  <dimension ref="A1:F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0" sqref="D30"/>
    </sheetView>
  </sheetViews>
  <sheetFormatPr defaultRowHeight="14.25" x14ac:dyDescent="0.2"/>
  <cols>
    <col min="1" max="1" width="31.25" bestFit="1" customWidth="1"/>
    <col min="2" max="2" width="20.5" bestFit="1" customWidth="1"/>
    <col min="3" max="3" width="11.875" style="32" bestFit="1" customWidth="1"/>
    <col min="4" max="4" width="19.75" style="1" customWidth="1"/>
    <col min="6" max="6" width="18.75" bestFit="1" customWidth="1"/>
  </cols>
  <sheetData>
    <row r="1" spans="1:6" x14ac:dyDescent="0.2">
      <c r="A1" s="17" t="s">
        <v>397</v>
      </c>
      <c r="B1" s="17" t="s">
        <v>317</v>
      </c>
      <c r="C1" s="35" t="s">
        <v>357</v>
      </c>
      <c r="D1" s="3" t="s">
        <v>320</v>
      </c>
      <c r="E1" s="17" t="s">
        <v>318</v>
      </c>
      <c r="F1" s="17" t="s">
        <v>319</v>
      </c>
    </row>
    <row r="2" spans="1:6" x14ac:dyDescent="0.2">
      <c r="A2" s="17" t="s">
        <v>316</v>
      </c>
      <c r="B2" s="17" t="s">
        <v>375</v>
      </c>
      <c r="C2" s="91">
        <v>2295.7182000000003</v>
      </c>
      <c r="D2" s="3" t="s">
        <v>399</v>
      </c>
      <c r="E2" s="17" t="s">
        <v>322</v>
      </c>
      <c r="F2" s="17"/>
    </row>
    <row r="3" spans="1:6" x14ac:dyDescent="0.2">
      <c r="A3" s="17" t="s">
        <v>334</v>
      </c>
      <c r="B3" s="17" t="s">
        <v>379</v>
      </c>
      <c r="C3" s="91">
        <v>16367.69</v>
      </c>
      <c r="D3" s="3" t="s">
        <v>381</v>
      </c>
      <c r="E3" s="17" t="s">
        <v>322</v>
      </c>
      <c r="F3" s="17"/>
    </row>
    <row r="4" spans="1:6" x14ac:dyDescent="0.2">
      <c r="A4" s="17" t="s">
        <v>64</v>
      </c>
      <c r="B4" s="17" t="s">
        <v>383</v>
      </c>
      <c r="C4" s="95">
        <v>2550</v>
      </c>
      <c r="D4" s="3"/>
      <c r="E4" s="17" t="s">
        <v>322</v>
      </c>
      <c r="F4" s="17"/>
    </row>
    <row r="5" spans="1:6" x14ac:dyDescent="0.2">
      <c r="A5" s="17" t="s">
        <v>384</v>
      </c>
      <c r="B5" s="17" t="s">
        <v>382</v>
      </c>
      <c r="C5" s="91"/>
      <c r="D5" s="3"/>
      <c r="E5" s="17" t="s">
        <v>322</v>
      </c>
      <c r="F5" s="17"/>
    </row>
    <row r="6" spans="1:6" x14ac:dyDescent="0.2">
      <c r="A6" s="17" t="s">
        <v>349</v>
      </c>
      <c r="B6" s="17" t="s">
        <v>382</v>
      </c>
      <c r="C6" s="91"/>
      <c r="D6" s="3"/>
      <c r="E6" s="17" t="s">
        <v>322</v>
      </c>
      <c r="F6" s="17"/>
    </row>
    <row r="7" spans="1:6" x14ac:dyDescent="0.2">
      <c r="A7" s="17" t="s">
        <v>18</v>
      </c>
      <c r="B7" s="3" t="s">
        <v>380</v>
      </c>
      <c r="C7" s="91">
        <v>16367.69</v>
      </c>
      <c r="D7" s="3" t="s">
        <v>392</v>
      </c>
      <c r="E7" s="17" t="s">
        <v>322</v>
      </c>
      <c r="F7" s="72" t="s">
        <v>396</v>
      </c>
    </row>
    <row r="8" spans="1:6" x14ac:dyDescent="0.2">
      <c r="A8" s="17" t="s">
        <v>321</v>
      </c>
      <c r="B8" s="3" t="s">
        <v>380</v>
      </c>
      <c r="C8" s="91"/>
      <c r="D8" s="3"/>
      <c r="E8" s="17" t="s">
        <v>322</v>
      </c>
      <c r="F8" s="17"/>
    </row>
    <row r="9" spans="1:6" x14ac:dyDescent="0.2">
      <c r="A9" s="17" t="s">
        <v>324</v>
      </c>
      <c r="B9" s="96">
        <v>20023133</v>
      </c>
      <c r="C9" s="91"/>
      <c r="D9" s="3" t="s">
        <v>380</v>
      </c>
      <c r="E9" s="17" t="s">
        <v>322</v>
      </c>
      <c r="F9" s="17"/>
    </row>
    <row r="10" spans="1:6" x14ac:dyDescent="0.2">
      <c r="A10" s="17" t="s">
        <v>323</v>
      </c>
      <c r="B10" s="96">
        <v>20023133</v>
      </c>
      <c r="C10" s="91">
        <v>68155.25</v>
      </c>
      <c r="D10" s="3" t="s">
        <v>380</v>
      </c>
      <c r="E10" s="17" t="s">
        <v>322</v>
      </c>
      <c r="F10" s="17"/>
    </row>
    <row r="11" spans="1:6" x14ac:dyDescent="0.2">
      <c r="A11" s="17" t="s">
        <v>325</v>
      </c>
      <c r="B11" s="3" t="s">
        <v>380</v>
      </c>
      <c r="C11" s="91"/>
      <c r="D11" s="3" t="s">
        <v>393</v>
      </c>
      <c r="E11" s="17" t="s">
        <v>322</v>
      </c>
      <c r="F11" s="17"/>
    </row>
    <row r="12" spans="1:6" x14ac:dyDescent="0.2">
      <c r="A12" s="17" t="s">
        <v>327</v>
      </c>
      <c r="B12" s="3"/>
      <c r="C12" s="91"/>
      <c r="D12" s="3" t="s">
        <v>380</v>
      </c>
      <c r="E12" s="17" t="s">
        <v>322</v>
      </c>
      <c r="F12" s="17"/>
    </row>
    <row r="13" spans="1:6" x14ac:dyDescent="0.2">
      <c r="A13" s="17" t="s">
        <v>374</v>
      </c>
      <c r="B13" s="3"/>
      <c r="C13" s="91"/>
      <c r="D13" s="3"/>
      <c r="E13" s="72" t="s">
        <v>344</v>
      </c>
      <c r="F13" s="17"/>
    </row>
    <row r="14" spans="1:6" x14ac:dyDescent="0.2">
      <c r="A14" s="17" t="s">
        <v>329</v>
      </c>
      <c r="B14" s="3" t="s">
        <v>391</v>
      </c>
      <c r="C14" s="92">
        <v>71992.31</v>
      </c>
      <c r="D14" s="3" t="s">
        <v>335</v>
      </c>
      <c r="E14" s="17" t="s">
        <v>322</v>
      </c>
      <c r="F14" s="17"/>
    </row>
    <row r="15" spans="1:6" x14ac:dyDescent="0.2">
      <c r="A15" s="17" t="s">
        <v>330</v>
      </c>
      <c r="B15" s="3" t="s">
        <v>391</v>
      </c>
      <c r="C15" s="91" t="s">
        <v>394</v>
      </c>
      <c r="D15" s="3" t="s">
        <v>335</v>
      </c>
      <c r="E15" s="17" t="s">
        <v>322</v>
      </c>
      <c r="F15" s="17"/>
    </row>
    <row r="16" spans="1:6" x14ac:dyDescent="0.2">
      <c r="A16" s="17" t="s">
        <v>395</v>
      </c>
      <c r="B16" s="3" t="s">
        <v>391</v>
      </c>
      <c r="C16" s="91" t="s">
        <v>394</v>
      </c>
      <c r="D16" s="3" t="s">
        <v>335</v>
      </c>
      <c r="E16" s="17" t="s">
        <v>322</v>
      </c>
      <c r="F16" s="17"/>
    </row>
  </sheetData>
  <phoneticPr fontId="4" type="noConversion"/>
  <pageMargins left="0.70866141732283472" right="0.70866141732283472" top="0.74803149606299213" bottom="0.74803149606299213" header="0.31496062992125984" footer="0.31496062992125984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OOLU9596768 (2)</vt:lpstr>
      <vt:lpstr>checklistOOLU9596768 (2)</vt:lpstr>
      <vt:lpstr>单据明细</vt:lpstr>
      <vt:lpstr>汇总</vt:lpstr>
      <vt:lpstr>checklistOOLU9596768</vt:lpstr>
      <vt:lpstr>OOLU9596768</vt:lpstr>
      <vt:lpstr>checklistTLLU5909523</vt:lpstr>
      <vt:lpstr>TLLU5909523</vt:lpstr>
      <vt:lpstr>checklistEITU9255937</vt:lpstr>
      <vt:lpstr>EITU9255937</vt:lpstr>
      <vt:lpstr>checklist FANU1283452</vt:lpstr>
      <vt:lpstr>FANU1283452</vt:lpstr>
      <vt:lpstr>checklist CAAU6388079</vt:lpstr>
      <vt:lpstr>CAAU6388079</vt:lpstr>
      <vt:lpstr>checklist</vt:lpstr>
      <vt:lpstr>MRKU3257819</vt:lpstr>
      <vt:lpstr>HK</vt:lpstr>
      <vt:lpstr>FUZHOU</vt:lpstr>
      <vt:lpstr>KSBU0101367</vt:lpstr>
      <vt:lpstr>EITU9221367</vt:lpstr>
      <vt:lpstr>TRLU7438892</vt:lpstr>
      <vt:lpstr>8.23 FEDEX</vt:lpstr>
      <vt:lpstr>MAGU5350515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unico</dc:creator>
  <cp:lastModifiedBy>unico</cp:lastModifiedBy>
  <cp:lastPrinted>2023-06-23T15:03:14Z</cp:lastPrinted>
  <dcterms:created xsi:type="dcterms:W3CDTF">2022-10-19T14:17:46Z</dcterms:created>
  <dcterms:modified xsi:type="dcterms:W3CDTF">2023-07-19T17:00:50Z</dcterms:modified>
</cp:coreProperties>
</file>