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bookViews>
    <workbookView xWindow="375" yWindow="255" windowWidth="20730" windowHeight="11700" tabRatio="768"/>
  </bookViews>
  <sheets>
    <sheet name="人物卡" sheetId="1" r:id="rId1"/>
    <sheet name="分支技能" sheetId="2" r:id="rId2"/>
    <sheet name="职业及经历包"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职业及经历包!$A$1:$H$117</definedName>
    <definedName name="APP">人物卡!$M$5</definedName>
    <definedName name="BP">附表!$G$46</definedName>
    <definedName name="Build">人物卡!$V$53</definedName>
    <definedName name="CON">人物卡!$J$5</definedName>
    <definedName name="CR">人物卡!$J$25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职业及经历包!$A$1:$H$117</definedName>
    <definedName name="文学" comment="发刚回家" localSheetId="1">分支技能!$B$9</definedName>
    <definedName name="文学" comment="如同仁堂">分支技能!$B$9</definedName>
  </definedNames>
  <calcPr calcId="144525"/>
  <customWorkbookViews>
    <customWorkbookView name="qh - 个人视图" guid="{111A6EAC-FF6E-44AB-B5F5-6EDFAC2B64B3}" mergeInterval="0" personalView="1" maximized="1" windowWidth="1350" windowHeight="513" tabRatio="768" activeSheetId="1"/>
  </customWorkbookViews>
  <fileRecoveryPr autoRecover="0"/>
</workbook>
</file>

<file path=xl/calcChain.xml><?xml version="1.0" encoding="utf-8"?>
<calcChain xmlns="http://schemas.openxmlformats.org/spreadsheetml/2006/main">
  <c r="Y72" i="1" l="1"/>
  <c r="V9" i="1" l="1"/>
  <c r="S9" i="1"/>
  <c r="P9" i="1"/>
  <c r="M9" i="1"/>
  <c r="Y24" i="1"/>
  <c r="T7" i="13" l="1"/>
  <c r="U7" i="13"/>
  <c r="V7" i="13"/>
  <c r="T8" i="13"/>
  <c r="U8" i="13"/>
  <c r="V8" i="13"/>
  <c r="T9" i="13"/>
  <c r="U9" i="13"/>
  <c r="V9" i="13"/>
  <c r="T10" i="13"/>
  <c r="U10" i="13"/>
  <c r="V10" i="13"/>
  <c r="T11" i="13"/>
  <c r="U11" i="13"/>
  <c r="V11" i="13"/>
  <c r="U6" i="13"/>
  <c r="V6" i="13"/>
  <c r="T6" i="13"/>
  <c r="AC8" i="1"/>
  <c r="Y11" i="1"/>
  <c r="A39" i="18" l="1"/>
  <c r="A40" i="18"/>
  <c r="A41" i="18"/>
  <c r="A42" i="18"/>
  <c r="A43" i="18"/>
  <c r="A44" i="18"/>
  <c r="A45" i="18"/>
  <c r="A46" i="18"/>
  <c r="A47" i="18"/>
  <c r="A56" i="18"/>
  <c r="AO3" i="1" l="1"/>
  <c r="AO4" i="1"/>
  <c r="AO5" i="1"/>
  <c r="AO6" i="1"/>
  <c r="V3" i="17"/>
  <c r="Y20" i="1" l="1"/>
  <c r="Y17" i="1"/>
  <c r="Y15" i="1"/>
  <c r="Y14" i="1"/>
  <c r="Y13" i="1"/>
  <c r="Y12" i="1"/>
  <c r="AE11" i="1"/>
  <c r="Y10" i="1"/>
  <c r="AA15" i="1"/>
  <c r="AA20" i="1"/>
  <c r="AA11" i="1" l="1"/>
  <c r="AA13" i="1"/>
  <c r="AA17" i="1"/>
  <c r="AA12" i="1"/>
  <c r="AA14" i="1"/>
  <c r="F2" i="8"/>
  <c r="AD14" i="1" l="1"/>
  <c r="AE14" i="1"/>
  <c r="AD13" i="1"/>
  <c r="H10" i="1" s="1"/>
  <c r="AE13" i="1"/>
  <c r="B14" i="18"/>
  <c r="A14" i="18" s="1"/>
  <c r="AO2" i="1"/>
  <c r="K69" i="18" l="1"/>
  <c r="M69" i="18" s="1"/>
  <c r="K68" i="18"/>
  <c r="M68" i="18" s="1"/>
  <c r="K67" i="18"/>
  <c r="M67" i="18" s="1"/>
  <c r="K66" i="18"/>
  <c r="M66" i="18" s="1"/>
  <c r="L65" i="18"/>
  <c r="K65" i="18"/>
  <c r="M65" i="18" s="1"/>
  <c r="J65" i="18"/>
  <c r="K64" i="18"/>
  <c r="M64" i="18" s="1"/>
  <c r="J64" i="18"/>
  <c r="K63" i="18"/>
  <c r="M63" i="18" s="1"/>
  <c r="J63" i="18"/>
  <c r="K62" i="18"/>
  <c r="M62" i="18" s="1"/>
  <c r="J62" i="18"/>
  <c r="K61" i="18"/>
  <c r="M61" i="18" s="1"/>
  <c r="J61" i="18"/>
  <c r="K60" i="18"/>
  <c r="M60" i="18" s="1"/>
  <c r="J60" i="18"/>
  <c r="L59" i="18"/>
  <c r="K59" i="18"/>
  <c r="M59" i="18" s="1"/>
  <c r="J59" i="18"/>
  <c r="K58" i="18"/>
  <c r="M58" i="18" s="1"/>
  <c r="J58" i="18"/>
  <c r="K57" i="18"/>
  <c r="M57" i="18" s="1"/>
  <c r="J57" i="18"/>
  <c r="K56" i="18"/>
  <c r="M56" i="18" s="1"/>
  <c r="J56" i="18"/>
  <c r="K55" i="18"/>
  <c r="M55" i="18" s="1"/>
  <c r="J55" i="18"/>
  <c r="K54" i="18"/>
  <c r="M54" i="18" s="1"/>
  <c r="J54" i="18"/>
  <c r="K53" i="18"/>
  <c r="M53" i="18" s="1"/>
  <c r="J53" i="18"/>
  <c r="D54" i="18"/>
  <c r="C54" i="18"/>
  <c r="B54" i="18"/>
  <c r="A54" i="18"/>
  <c r="K52" i="18"/>
  <c r="M52" i="18" s="1"/>
  <c r="J52" i="18"/>
  <c r="D53" i="18"/>
  <c r="C53" i="18"/>
  <c r="B53" i="18"/>
  <c r="A53" i="18"/>
  <c r="K51" i="18"/>
  <c r="M51" i="18" s="1"/>
  <c r="J51" i="18"/>
  <c r="A52" i="18"/>
  <c r="K50" i="18"/>
  <c r="M50" i="18" s="1"/>
  <c r="J50" i="18"/>
  <c r="K49" i="18"/>
  <c r="M49" i="18" s="1"/>
  <c r="J49" i="18"/>
  <c r="K48" i="18"/>
  <c r="M48" i="18" s="1"/>
  <c r="J48" i="18"/>
  <c r="D49" i="18"/>
  <c r="C49" i="18"/>
  <c r="B49" i="18"/>
  <c r="A49" i="18"/>
  <c r="K47" i="18"/>
  <c r="M47" i="18" s="1"/>
  <c r="J47" i="18"/>
  <c r="K46" i="18"/>
  <c r="M46" i="18" s="1"/>
  <c r="J46" i="18"/>
  <c r="K45" i="18"/>
  <c r="M45" i="18" s="1"/>
  <c r="J45" i="18"/>
  <c r="K44" i="18"/>
  <c r="M44" i="18" s="1"/>
  <c r="J44" i="18"/>
  <c r="K43" i="18"/>
  <c r="M43" i="18" s="1"/>
  <c r="J43" i="18"/>
  <c r="K42" i="18"/>
  <c r="M42" i="18" s="1"/>
  <c r="J42" i="18"/>
  <c r="K41" i="18"/>
  <c r="M41" i="18" s="1"/>
  <c r="J41" i="18"/>
  <c r="K40" i="18"/>
  <c r="M40" i="18" s="1"/>
  <c r="J40" i="18"/>
  <c r="K39" i="18"/>
  <c r="M39" i="18" s="1"/>
  <c r="J39" i="18"/>
  <c r="K38" i="18"/>
  <c r="M38" i="18" s="1"/>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K13" i="18"/>
  <c r="M13" i="18" s="1"/>
  <c r="J13" i="18"/>
  <c r="K12" i="18"/>
  <c r="M12" i="18" s="1"/>
  <c r="J12" i="18"/>
  <c r="K11" i="18"/>
  <c r="M11" i="18" s="1"/>
  <c r="J11" i="18"/>
  <c r="K10" i="18"/>
  <c r="M10" i="18" s="1"/>
  <c r="J10" i="18"/>
  <c r="B10" i="18"/>
  <c r="A10" i="18" s="1"/>
  <c r="K9" i="18"/>
  <c r="M9" i="18" s="1"/>
  <c r="J9" i="18"/>
  <c r="B9" i="18"/>
  <c r="A9" i="18" s="1"/>
  <c r="K8" i="18"/>
  <c r="J8" i="18"/>
  <c r="B8" i="18"/>
  <c r="A8" i="18" s="1"/>
  <c r="K7" i="18"/>
  <c r="M7" i="18" s="1"/>
  <c r="J7" i="18"/>
  <c r="B7" i="18"/>
  <c r="A7" i="18" s="1"/>
  <c r="K6" i="18"/>
  <c r="J6" i="18"/>
  <c r="B6" i="18"/>
  <c r="A6" i="18" s="1"/>
  <c r="K5" i="18"/>
  <c r="M5" i="18" s="1"/>
  <c r="J5" i="18"/>
  <c r="B5" i="18"/>
  <c r="A5" i="18" s="1"/>
  <c r="K4" i="18"/>
  <c r="M4" i="18" s="1"/>
  <c r="J4" i="18"/>
  <c r="B4" i="18"/>
  <c r="A4" i="18" s="1"/>
  <c r="K3" i="18"/>
  <c r="M3" i="18" s="1"/>
  <c r="J3" i="18"/>
  <c r="B3" i="18"/>
  <c r="A3" i="18" s="1"/>
  <c r="K2" i="18"/>
  <c r="M2" i="18" s="1"/>
  <c r="J2" i="18"/>
  <c r="B2" i="18"/>
  <c r="B1" i="18"/>
  <c r="V11" i="17"/>
  <c r="AI10" i="1" s="1"/>
  <c r="AJ10" i="1" s="1"/>
  <c r="AA9" i="17"/>
  <c r="Z9" i="17"/>
  <c r="Y9" i="17"/>
  <c r="Z7" i="17"/>
  <c r="Y7" i="17"/>
  <c r="Z5" i="17"/>
  <c r="Y5" i="17"/>
  <c r="Z3" i="17"/>
  <c r="Y3" i="17"/>
  <c r="I1" i="17"/>
  <c r="V10" i="17" s="1"/>
  <c r="AI9" i="1" s="1"/>
  <c r="AJ9" i="1" s="1"/>
  <c r="H1" i="17"/>
  <c r="V9" i="17" s="1"/>
  <c r="AI8" i="1" s="1"/>
  <c r="AJ8" i="1" s="1"/>
  <c r="G1" i="17"/>
  <c r="V8" i="17" s="1"/>
  <c r="AI7" i="1" s="1"/>
  <c r="AJ7" i="1" s="1"/>
  <c r="F1" i="17"/>
  <c r="V7" i="17" s="1"/>
  <c r="AI6" i="1" s="1"/>
  <c r="AJ6" i="1" s="1"/>
  <c r="E1" i="17"/>
  <c r="V6" i="17" s="1"/>
  <c r="AI5" i="1" s="1"/>
  <c r="AJ5" i="1" s="1"/>
  <c r="D1" i="17"/>
  <c r="V5" i="17" s="1"/>
  <c r="AI4" i="1" s="1"/>
  <c r="AJ4" i="1" s="1"/>
  <c r="C1" i="17"/>
  <c r="V4" i="17" s="1"/>
  <c r="B1" i="17"/>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0"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B12" i="1" s="1"/>
  <c r="F3" i="7"/>
  <c r="G49" i="1" s="1"/>
  <c r="B3" i="7"/>
  <c r="H57" i="1"/>
  <c r="G57" i="1"/>
  <c r="H56" i="1"/>
  <c r="G56" i="1"/>
  <c r="R55" i="1"/>
  <c r="D52" i="18" s="1"/>
  <c r="P55" i="1"/>
  <c r="N55" i="1"/>
  <c r="M55" i="1"/>
  <c r="C52" i="18" s="1"/>
  <c r="K55" i="1"/>
  <c r="I55" i="1"/>
  <c r="B52" i="18" s="1"/>
  <c r="R54" i="1"/>
  <c r="D51" i="18" s="1"/>
  <c r="P54" i="1"/>
  <c r="N54" i="1"/>
  <c r="M54" i="1"/>
  <c r="C51" i="18" s="1"/>
  <c r="K54" i="1"/>
  <c r="I54" i="1"/>
  <c r="B51" i="18" s="1"/>
  <c r="B54" i="1"/>
  <c r="A51" i="18" s="1"/>
  <c r="V53" i="1"/>
  <c r="R53" i="1"/>
  <c r="D50" i="18" s="1"/>
  <c r="P53" i="1"/>
  <c r="N53" i="1"/>
  <c r="M53" i="1"/>
  <c r="C50" i="18" s="1"/>
  <c r="K53" i="1"/>
  <c r="I53" i="1"/>
  <c r="B50" i="18" s="1"/>
  <c r="E53" i="1"/>
  <c r="A50" i="18"/>
  <c r="V51" i="1"/>
  <c r="B49" i="1"/>
  <c r="U48" i="1"/>
  <c r="L69" i="18" s="1"/>
  <c r="J48" i="1"/>
  <c r="L48" i="1" s="1"/>
  <c r="W47" i="1"/>
  <c r="V47" i="1"/>
  <c r="U47" i="1"/>
  <c r="L68" i="18" s="1"/>
  <c r="J47" i="1"/>
  <c r="L34" i="18" s="1"/>
  <c r="W46" i="1"/>
  <c r="V46" i="1"/>
  <c r="U46" i="1"/>
  <c r="L67" i="18" s="1"/>
  <c r="F46" i="1"/>
  <c r="J46" i="1" s="1"/>
  <c r="U45" i="1"/>
  <c r="W45" i="1" s="1"/>
  <c r="J45" i="1"/>
  <c r="L45" i="1" s="1"/>
  <c r="W44" i="1"/>
  <c r="V44" i="1"/>
  <c r="U44" i="1"/>
  <c r="J44" i="1"/>
  <c r="L44" i="1" s="1"/>
  <c r="U43" i="1"/>
  <c r="L64" i="18" s="1"/>
  <c r="J43" i="1"/>
  <c r="L43" i="1" s="1"/>
  <c r="U42" i="1"/>
  <c r="L63" i="18" s="1"/>
  <c r="J42" i="1"/>
  <c r="K42" i="1" s="1"/>
  <c r="W41" i="1"/>
  <c r="V41" i="1"/>
  <c r="U41" i="1"/>
  <c r="L62" i="18" s="1"/>
  <c r="J41" i="1"/>
  <c r="K41" i="1" s="1"/>
  <c r="U40" i="1"/>
  <c r="L61" i="18" s="1"/>
  <c r="J40" i="1"/>
  <c r="L27" i="18" s="1"/>
  <c r="U39" i="1"/>
  <c r="L60" i="18" s="1"/>
  <c r="J39" i="1"/>
  <c r="L26" i="18" s="1"/>
  <c r="W38" i="1"/>
  <c r="V38" i="1"/>
  <c r="U38" i="1"/>
  <c r="F38" i="1"/>
  <c r="J38" i="1" s="1"/>
  <c r="U37" i="1"/>
  <c r="W37" i="1" s="1"/>
  <c r="F37" i="1"/>
  <c r="J37" i="1" s="1"/>
  <c r="U36" i="1"/>
  <c r="L57" i="18" s="1"/>
  <c r="J36" i="1"/>
  <c r="L23" i="18" s="1"/>
  <c r="W35" i="1"/>
  <c r="V35" i="1"/>
  <c r="U35" i="1"/>
  <c r="L56" i="18" s="1"/>
  <c r="F35" i="1"/>
  <c r="J35" i="1" s="1"/>
  <c r="U34" i="1"/>
  <c r="L55" i="18" s="1"/>
  <c r="F34" i="1"/>
  <c r="J34" i="1" s="1"/>
  <c r="U33" i="1"/>
  <c r="W33" i="1" s="1"/>
  <c r="J33" i="1"/>
  <c r="K33" i="1" s="1"/>
  <c r="W32" i="1"/>
  <c r="U32" i="1"/>
  <c r="L53" i="18" s="1"/>
  <c r="J32" i="1"/>
  <c r="K32" i="1" s="1"/>
  <c r="U31" i="1"/>
  <c r="V31" i="1" s="1"/>
  <c r="J31" i="1"/>
  <c r="L18" i="18" s="1"/>
  <c r="U30" i="1"/>
  <c r="W30" i="1" s="1"/>
  <c r="J30" i="1"/>
  <c r="L17" i="18" s="1"/>
  <c r="U29" i="1"/>
  <c r="L50" i="18" s="1"/>
  <c r="J29" i="1"/>
  <c r="L29" i="1" s="1"/>
  <c r="W28" i="1"/>
  <c r="V28" i="1"/>
  <c r="U28" i="1"/>
  <c r="L49" i="18" s="1"/>
  <c r="F28" i="1"/>
  <c r="J28" i="1" s="1"/>
  <c r="V55" i="1" s="1"/>
  <c r="U27" i="1"/>
  <c r="L48" i="18" s="1"/>
  <c r="J27" i="1"/>
  <c r="K27" i="1" s="1"/>
  <c r="U26" i="1"/>
  <c r="L47" i="18" s="1"/>
  <c r="J26" i="1"/>
  <c r="L13" i="18" s="1"/>
  <c r="U25" i="1"/>
  <c r="W25" i="1" s="1"/>
  <c r="J25" i="1"/>
  <c r="U24" i="1"/>
  <c r="L45" i="18" s="1"/>
  <c r="J24" i="1"/>
  <c r="L11" i="18" s="1"/>
  <c r="U23" i="1"/>
  <c r="V23" i="1" s="1"/>
  <c r="J23" i="1"/>
  <c r="L10" i="18" s="1"/>
  <c r="U22" i="1"/>
  <c r="W22" i="1" s="1"/>
  <c r="J22" i="1"/>
  <c r="L22" i="1" s="1"/>
  <c r="U21" i="1"/>
  <c r="L42" i="18" s="1"/>
  <c r="J21" i="1"/>
  <c r="L8" i="18" s="1"/>
  <c r="W20" i="1"/>
  <c r="U20" i="1"/>
  <c r="L41" i="18" s="1"/>
  <c r="J20" i="1"/>
  <c r="L7" i="18" s="1"/>
  <c r="U19" i="1"/>
  <c r="W19" i="1" s="1"/>
  <c r="J19" i="1"/>
  <c r="L19" i="1" s="1"/>
  <c r="U18" i="1"/>
  <c r="L39" i="18" s="1"/>
  <c r="L18" i="1"/>
  <c r="K18" i="1"/>
  <c r="J18" i="1"/>
  <c r="L5" i="18" s="1"/>
  <c r="U17" i="1"/>
  <c r="L38" i="18" s="1"/>
  <c r="J17" i="1"/>
  <c r="L17" i="1" s="1"/>
  <c r="U16" i="1"/>
  <c r="W16" i="1" s="1"/>
  <c r="J16" i="1"/>
  <c r="L16" i="1" s="1"/>
  <c r="U15" i="1"/>
  <c r="W15" i="1" s="1"/>
  <c r="J15" i="1"/>
  <c r="K15" i="1" s="1"/>
  <c r="R10" i="1"/>
  <c r="C15" i="18" s="1"/>
  <c r="Q10" i="1"/>
  <c r="B15" i="18" s="1"/>
  <c r="E10" i="1"/>
  <c r="D10" i="1" s="1"/>
  <c r="B12" i="18" s="1"/>
  <c r="N8" i="1"/>
  <c r="K8" i="1"/>
  <c r="N7" i="1"/>
  <c r="K7" i="1"/>
  <c r="Q6" i="1"/>
  <c r="N6" i="1"/>
  <c r="K6" i="1"/>
  <c r="Q5" i="1"/>
  <c r="N5" i="1"/>
  <c r="K5" i="1"/>
  <c r="Q4" i="1"/>
  <c r="N4" i="1"/>
  <c r="K4" i="1"/>
  <c r="Q3" i="1"/>
  <c r="N3" i="1"/>
  <c r="K3" i="1"/>
  <c r="I2" i="1"/>
  <c r="AA27" i="1" l="1"/>
  <c r="H10" i="13"/>
  <c r="O8" i="13"/>
  <c r="H9" i="13"/>
  <c r="I7" i="13"/>
  <c r="N8" i="13"/>
  <c r="O10" i="13"/>
  <c r="I9" i="13"/>
  <c r="O7" i="13"/>
  <c r="I8" i="13"/>
  <c r="N10" i="13"/>
  <c r="N7" i="13"/>
  <c r="O9" i="13"/>
  <c r="H8" i="13"/>
  <c r="H7" i="13"/>
  <c r="N9" i="13"/>
  <c r="I10" i="13"/>
  <c r="C48" i="1"/>
  <c r="N28" i="1"/>
  <c r="C40" i="1"/>
  <c r="N21" i="1"/>
  <c r="N36" i="1"/>
  <c r="C18" i="1"/>
  <c r="C33" i="1"/>
  <c r="C17" i="1"/>
  <c r="N32" i="1"/>
  <c r="N22" i="1"/>
  <c r="N19" i="1"/>
  <c r="N42" i="1"/>
  <c r="C20" i="1"/>
  <c r="N43" i="1"/>
  <c r="C37" i="1"/>
  <c r="N18" i="1"/>
  <c r="N33" i="1"/>
  <c r="C15" i="1"/>
  <c r="C30" i="1"/>
  <c r="C16" i="1"/>
  <c r="N29" i="1"/>
  <c r="C38" i="1"/>
  <c r="N34" i="1"/>
  <c r="C24" i="1"/>
  <c r="N40" i="1"/>
  <c r="C34" i="1"/>
  <c r="N15" i="1"/>
  <c r="N30" i="1"/>
  <c r="C45" i="1"/>
  <c r="C27" i="1"/>
  <c r="N44" i="1"/>
  <c r="N26" i="1"/>
  <c r="C35" i="1"/>
  <c r="N16" i="1"/>
  <c r="C47" i="1"/>
  <c r="C39" i="1"/>
  <c r="C29" i="1"/>
  <c r="N37" i="1"/>
  <c r="C19" i="1"/>
  <c r="C31" i="1"/>
  <c r="C46" i="1"/>
  <c r="N27" i="1"/>
  <c r="C42" i="1"/>
  <c r="N23" i="1"/>
  <c r="N41" i="1"/>
  <c r="C23" i="1"/>
  <c r="C28" i="1"/>
  <c r="N20" i="1"/>
  <c r="N31" i="1"/>
  <c r="C43" i="1"/>
  <c r="N24" i="1"/>
  <c r="N39" i="1"/>
  <c r="C21" i="1"/>
  <c r="C36" i="1"/>
  <c r="N17" i="1"/>
  <c r="N35" i="1"/>
  <c r="C44" i="1"/>
  <c r="C26" i="1"/>
  <c r="N38" i="1"/>
  <c r="AI3" i="1"/>
  <c r="AJ3" i="1" s="1"/>
  <c r="L3" i="18"/>
  <c r="L44" i="18"/>
  <c r="W23" i="1"/>
  <c r="AA31" i="1"/>
  <c r="AA29" i="1"/>
  <c r="K23" i="1"/>
  <c r="V27" i="1"/>
  <c r="V17" i="1"/>
  <c r="V21" i="1"/>
  <c r="W27" i="1"/>
  <c r="W34" i="1"/>
  <c r="W40" i="1"/>
  <c r="W43" i="1"/>
  <c r="K47" i="1"/>
  <c r="W17" i="1"/>
  <c r="W18" i="1"/>
  <c r="W21" i="1"/>
  <c r="V24" i="1"/>
  <c r="V26" i="1"/>
  <c r="V29" i="1"/>
  <c r="V36" i="1"/>
  <c r="V39" i="1"/>
  <c r="V42" i="1"/>
  <c r="L47" i="1"/>
  <c r="V48" i="1"/>
  <c r="O4" i="2"/>
  <c r="L54" i="18"/>
  <c r="K20" i="1"/>
  <c r="W31" i="1"/>
  <c r="V34" i="1"/>
  <c r="V37" i="1"/>
  <c r="V40" i="1"/>
  <c r="V43" i="1"/>
  <c r="L20" i="1"/>
  <c r="L23" i="1"/>
  <c r="K16" i="1"/>
  <c r="V33" i="1"/>
  <c r="L15" i="1"/>
  <c r="V20" i="1"/>
  <c r="W24" i="1"/>
  <c r="W26" i="1"/>
  <c r="W29" i="1"/>
  <c r="L31" i="1"/>
  <c r="V32" i="1"/>
  <c r="W36" i="1"/>
  <c r="W39" i="1"/>
  <c r="W42" i="1"/>
  <c r="W48" i="1"/>
  <c r="O6" i="2"/>
  <c r="L36" i="18"/>
  <c r="L51" i="18"/>
  <c r="L58" i="18"/>
  <c r="L4" i="18"/>
  <c r="B18" i="18" s="1" a="1"/>
  <c r="B18" i="18" s="1"/>
  <c r="L20" i="18"/>
  <c r="L52" i="18"/>
  <c r="L29" i="18"/>
  <c r="L33" i="1"/>
  <c r="V15" i="1"/>
  <c r="L24" i="1"/>
  <c r="V30" i="1"/>
  <c r="V18" i="1"/>
  <c r="S48" i="8"/>
  <c r="K48" i="1"/>
  <c r="L35" i="18"/>
  <c r="B22" i="18" s="1" a="1"/>
  <c r="B22" i="18" s="1"/>
  <c r="V16" i="1"/>
  <c r="L37" i="18"/>
  <c r="L32" i="1"/>
  <c r="K17" i="1"/>
  <c r="R49" i="8"/>
  <c r="L2" i="18"/>
  <c r="K26" i="1"/>
  <c r="L26" i="1"/>
  <c r="K36" i="1"/>
  <c r="K44" i="1"/>
  <c r="F53" i="1"/>
  <c r="G53" i="1" s="1"/>
  <c r="R51" i="8"/>
  <c r="L28" i="18"/>
  <c r="K39" i="1"/>
  <c r="L40" i="1"/>
  <c r="L41" i="1"/>
  <c r="L42" i="1"/>
  <c r="R50" i="8"/>
  <c r="L19" i="18"/>
  <c r="B21" i="18" s="1" a="1"/>
  <c r="B21" i="18" s="1"/>
  <c r="K45" i="1"/>
  <c r="L36" i="1"/>
  <c r="K40" i="1"/>
  <c r="F52" i="1"/>
  <c r="R48" i="8"/>
  <c r="L30" i="18"/>
  <c r="K31" i="1"/>
  <c r="L32" i="18"/>
  <c r="L31" i="18"/>
  <c r="K43" i="1"/>
  <c r="K22" i="1"/>
  <c r="L9" i="18"/>
  <c r="L43" i="18"/>
  <c r="S51" i="8"/>
  <c r="E54" i="1"/>
  <c r="V22" i="1"/>
  <c r="V19" i="1"/>
  <c r="L40" i="18"/>
  <c r="L39" i="1"/>
  <c r="L27" i="1"/>
  <c r="L14" i="18"/>
  <c r="S46" i="8"/>
  <c r="O5" i="2"/>
  <c r="K30" i="1"/>
  <c r="L30" i="1"/>
  <c r="K29" i="1"/>
  <c r="L16" i="18"/>
  <c r="S50" i="8"/>
  <c r="K24" i="1"/>
  <c r="V25" i="1"/>
  <c r="S49" i="8"/>
  <c r="L46" i="18"/>
  <c r="B26" i="18" s="1" a="1"/>
  <c r="B26" i="18" s="1"/>
  <c r="R46" i="8"/>
  <c r="A32" i="18" a="1"/>
  <c r="A32" i="18" s="1"/>
  <c r="I10" i="1"/>
  <c r="C13" i="18" s="1"/>
  <c r="B13" i="18"/>
  <c r="A13" i="18" s="1"/>
  <c r="B29" i="18" a="1"/>
  <c r="B29" i="18" s="1"/>
  <c r="B35" i="18" a="1"/>
  <c r="B35" i="18" s="1"/>
  <c r="R47" i="8"/>
  <c r="V45" i="1"/>
  <c r="L66" i="18"/>
  <c r="D9" i="1"/>
  <c r="B9" i="1" s="1"/>
  <c r="F14" i="8"/>
  <c r="F15" i="8"/>
  <c r="F18" i="8"/>
  <c r="K19" i="1"/>
  <c r="L6" i="18"/>
  <c r="M6" i="18"/>
  <c r="A35" i="18" a="1"/>
  <c r="A35" i="18" s="1"/>
  <c r="A22" i="18" a="1"/>
  <c r="A22" i="18" s="1"/>
  <c r="S47" i="8"/>
  <c r="K21" i="1"/>
  <c r="A19" i="18" a="1"/>
  <c r="A19" i="18" s="1"/>
  <c r="A24" i="18" a="1"/>
  <c r="A24" i="18" s="1"/>
  <c r="A27" i="18" a="1"/>
  <c r="A27" i="18" s="1"/>
  <c r="A30" i="18" a="1"/>
  <c r="A30" i="18" s="1"/>
  <c r="B32" i="18" a="1"/>
  <c r="B32" i="18" s="1"/>
  <c r="B36" i="18" a="1"/>
  <c r="B36" i="18" s="1"/>
  <c r="L21" i="1"/>
  <c r="A20" i="18" a="1"/>
  <c r="A20" i="18" s="1"/>
  <c r="A25" i="18" a="1"/>
  <c r="A25" i="18" s="1"/>
  <c r="A28" i="18" a="1"/>
  <c r="A28" i="18" s="1"/>
  <c r="B30" i="18" a="1"/>
  <c r="B30" i="18" s="1"/>
  <c r="B33" i="18" a="1"/>
  <c r="B33" i="18" s="1"/>
  <c r="A34" i="18" a="1"/>
  <c r="A34" i="18" s="1"/>
  <c r="M8" i="18"/>
  <c r="A36" i="18" a="1"/>
  <c r="A36" i="18" s="1"/>
  <c r="A18" i="18" a="1"/>
  <c r="A18" i="18" s="1"/>
  <c r="A26" i="18" a="1"/>
  <c r="A26" i="18" s="1"/>
  <c r="B28" i="18" a="1"/>
  <c r="B28" i="18" s="1"/>
  <c r="A31" i="18" a="1"/>
  <c r="A31" i="18" s="1"/>
  <c r="L12" i="18"/>
  <c r="K25" i="1"/>
  <c r="L25" i="1"/>
  <c r="Y26" i="1"/>
  <c r="X26" i="1" s="1"/>
  <c r="A21" i="18" a="1"/>
  <c r="A21" i="18" s="1"/>
  <c r="A23" i="18" a="1"/>
  <c r="A23" i="18" s="1"/>
  <c r="B27" i="18" a="1"/>
  <c r="B27" i="18" s="1"/>
  <c r="A29" i="18" a="1"/>
  <c r="A29" i="18" s="1"/>
  <c r="B31" i="18" a="1"/>
  <c r="B31" i="18" s="1"/>
  <c r="A33" i="18" a="1"/>
  <c r="A33" i="18" s="1"/>
  <c r="B34" i="18" a="1"/>
  <c r="B34" i="18" s="1"/>
  <c r="F17" i="8"/>
  <c r="F16" i="8"/>
  <c r="F13" i="8"/>
  <c r="C12" i="18"/>
  <c r="L33" i="18"/>
  <c r="L46" i="1"/>
  <c r="K46" i="1"/>
  <c r="L28" i="1"/>
  <c r="W56" i="1" s="1"/>
  <c r="L15" i="18"/>
  <c r="K28" i="1"/>
  <c r="W55" i="1" s="1"/>
  <c r="K37" i="1"/>
  <c r="L37" i="1"/>
  <c r="L24" i="18"/>
  <c r="L38" i="1"/>
  <c r="L25" i="18"/>
  <c r="K38" i="1"/>
  <c r="K34" i="1"/>
  <c r="L21" i="18"/>
  <c r="L34" i="1"/>
  <c r="L35" i="1"/>
  <c r="L22" i="18"/>
  <c r="K35" i="1"/>
  <c r="K9" i="1"/>
  <c r="C32" i="1" s="1"/>
  <c r="AI2" i="1"/>
  <c r="AJ2" i="1" s="1"/>
  <c r="D7" i="9"/>
  <c r="F7" i="9" s="1"/>
  <c r="P5" i="9"/>
  <c r="R5" i="9" s="1"/>
  <c r="J7" i="9"/>
  <c r="L8" i="9" s="1"/>
  <c r="D3" i="9"/>
  <c r="F3" i="9" s="1"/>
  <c r="D5" i="9"/>
  <c r="F6" i="9" s="1"/>
  <c r="U7" i="9"/>
  <c r="P3" i="9"/>
  <c r="AM3" i="9" s="1"/>
  <c r="J3" i="9"/>
  <c r="L4" i="9" s="1"/>
  <c r="J5" i="9"/>
  <c r="AG5" i="9" s="1"/>
  <c r="U3" i="9"/>
  <c r="AM7" i="9" s="1"/>
  <c r="AA26" i="1" l="1"/>
  <c r="AC26" i="1"/>
  <c r="AE26" i="1"/>
  <c r="C22" i="1"/>
  <c r="N25" i="1"/>
  <c r="C41" i="1"/>
  <c r="B23" i="18" a="1"/>
  <c r="B23" i="18" s="1"/>
  <c r="B24" i="18" a="1"/>
  <c r="B24" i="18" s="1"/>
  <c r="B25" i="18" a="1"/>
  <c r="B25" i="18" s="1"/>
  <c r="B50" i="8"/>
  <c r="B48" i="8"/>
  <c r="B20" i="18" a="1"/>
  <c r="B20" i="18" s="1"/>
  <c r="F19" i="8"/>
  <c r="F24" i="8" s="1"/>
  <c r="B17" i="18" a="1"/>
  <c r="B17" i="18" s="1"/>
  <c r="S52" i="8"/>
  <c r="B46" i="8"/>
  <c r="B19" i="18" a="1"/>
  <c r="B19" i="18" s="1"/>
  <c r="B49" i="8"/>
  <c r="B51" i="8"/>
  <c r="R52" i="8"/>
  <c r="H53" i="1"/>
  <c r="G52" i="1"/>
  <c r="H52" i="1"/>
  <c r="F21" i="8"/>
  <c r="E55" i="1"/>
  <c r="F55" i="1" s="1"/>
  <c r="F54" i="1"/>
  <c r="F23" i="8"/>
  <c r="B47" i="8"/>
  <c r="F22" i="8"/>
  <c r="F20" i="8"/>
  <c r="F25" i="8" s="1"/>
  <c r="AL4" i="1" a="1"/>
  <c r="AL4" i="1" s="1"/>
  <c r="Z5" i="1" s="1"/>
  <c r="AL3" i="1" a="1"/>
  <c r="AL3" i="1" s="1"/>
  <c r="Z4" i="1" s="1"/>
  <c r="AL5" i="1" a="1"/>
  <c r="AL5" i="1" s="1"/>
  <c r="Z6" i="1" s="1"/>
  <c r="AL6" i="1" a="1"/>
  <c r="AL6" i="1" s="1"/>
  <c r="Z7" i="1" s="1"/>
  <c r="AL2" i="1" a="1"/>
  <c r="AL2" i="1" s="1"/>
  <c r="Z3" i="1" s="1"/>
  <c r="E9" i="1"/>
  <c r="L7" i="9"/>
  <c r="AM5" i="9"/>
  <c r="AA7" i="9"/>
  <c r="F8" i="9"/>
  <c r="R6" i="9"/>
  <c r="AG7" i="9"/>
  <c r="R4" i="9"/>
  <c r="AG3" i="9"/>
  <c r="AA3" i="9"/>
  <c r="R3" i="9"/>
  <c r="L3" i="9"/>
  <c r="F5" i="9"/>
  <c r="AA5" i="9"/>
  <c r="F4" i="9"/>
  <c r="N7" i="9"/>
  <c r="L5" i="9"/>
  <c r="L6" i="9"/>
  <c r="F26" i="8" l="1"/>
  <c r="F27" i="8" s="1"/>
  <c r="G54" i="1"/>
  <c r="H54" i="1"/>
  <c r="G55" i="1"/>
  <c r="H55" i="1"/>
  <c r="AN5" i="1"/>
  <c r="AF6" i="1" s="1"/>
  <c r="AN3" i="1"/>
  <c r="AF4" i="1" s="1"/>
  <c r="AN6" i="1"/>
  <c r="AF7" i="1" s="1"/>
  <c r="AN2" i="1"/>
  <c r="AF3" i="1" s="1"/>
  <c r="AN4" i="1"/>
  <c r="AF5" i="1" s="1"/>
  <c r="Y6" i="1"/>
  <c r="Y4" i="1"/>
  <c r="Y7" i="1"/>
  <c r="Y5" i="1"/>
  <c r="Y3" i="1"/>
  <c r="Y2" i="1"/>
  <c r="AE7" i="1" l="1"/>
  <c r="AE5" i="1"/>
  <c r="AE6" i="1"/>
  <c r="F28" i="8"/>
  <c r="Q8" i="1"/>
  <c r="AE4" i="1"/>
  <c r="AE3" i="1"/>
  <c r="J66" i="18"/>
  <c r="A17" i="18" s="1" a="1"/>
  <c r="A17" i="18" s="1"/>
  <c r="F14" i="18" s="1"/>
  <c r="O46" i="1"/>
  <c r="J67" i="18" s="1"/>
  <c r="N45" i="1"/>
  <c r="N46" i="1" s="1"/>
  <c r="N47" i="1" s="1"/>
  <c r="N48" i="1" s="1"/>
  <c r="P7" i="1" l="1"/>
  <c r="B11" i="18" s="1"/>
  <c r="O47" i="1"/>
  <c r="O48" i="1" s="1"/>
  <c r="J69" i="18" s="1"/>
  <c r="F1" i="18"/>
  <c r="X80" i="1"/>
  <c r="J68" i="18" l="1"/>
</calcChain>
</file>

<file path=xl/comments1.xml><?xml version="1.0" encoding="utf-8"?>
<comments xmlns="http://schemas.openxmlformats.org/spreadsheetml/2006/main">
  <authors>
    <author>Starfire</author>
  </authors>
  <commentList>
    <comment ref="E34" authorId="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B59" authorId="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List>
</comments>
</file>

<file path=xl/comments2.xml><?xml version="1.0" encoding="utf-8"?>
<comments xmlns="http://schemas.openxmlformats.org/spreadsheetml/2006/main">
  <authors>
    <author>starfire</author>
    <author>Starfire</author>
  </authors>
  <commentList>
    <comment ref="C3" authorId="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text>
        <r>
          <rPr>
            <b/>
            <sz val="9"/>
            <color indexed="81"/>
            <rFont val="宋体"/>
            <family val="3"/>
            <charset val="134"/>
          </rPr>
          <t>特别提醒:</t>
        </r>
        <r>
          <rPr>
            <sz val="9"/>
            <color indexed="81"/>
            <rFont val="宋体"/>
            <family val="3"/>
            <charset val="134"/>
          </rPr>
          <t xml:space="preserve">
是输入第二职业属性的数值！</t>
        </r>
      </text>
    </comment>
    <comment ref="B127" authorId="1">
      <text>
        <r>
          <rPr>
            <b/>
            <sz val="9"/>
            <color indexed="81"/>
            <rFont val="宋体"/>
            <family val="3"/>
            <charset val="134"/>
          </rPr>
          <t>提醒:</t>
        </r>
        <r>
          <rPr>
            <sz val="9"/>
            <color indexed="81"/>
            <rFont val="宋体"/>
            <family val="3"/>
            <charset val="134"/>
          </rPr>
          <t xml:space="preserve">
请在此行填写经历包内容。</t>
        </r>
      </text>
    </comment>
    <comment ref="C127" authorId="1">
      <text>
        <r>
          <rPr>
            <b/>
            <sz val="9"/>
            <color indexed="81"/>
            <rFont val="宋体"/>
            <family val="3"/>
            <charset val="134"/>
          </rPr>
          <t xml:space="preserve">提醒：
</t>
        </r>
        <r>
          <rPr>
            <sz val="9"/>
            <color indexed="81"/>
            <rFont val="宋体"/>
            <family val="3"/>
            <charset val="134"/>
          </rPr>
          <t>请在此行填写理智减少内容</t>
        </r>
      </text>
    </comment>
  </commentList>
</comments>
</file>

<file path=xl/comments3.xml><?xml version="1.0" encoding="utf-8"?>
<comments xmlns="http://schemas.openxmlformats.org/spreadsheetml/2006/main">
  <authors>
    <author>starfire</author>
  </authors>
  <commentList>
    <comment ref="C46" authorId="0">
      <text>
        <r>
          <rPr>
            <b/>
            <sz val="9"/>
            <color indexed="81"/>
            <rFont val="宋体"/>
            <family val="3"/>
            <charset val="134"/>
          </rPr>
          <t>starfire:</t>
        </r>
        <r>
          <rPr>
            <sz val="9"/>
            <color indexed="81"/>
            <rFont val="宋体"/>
            <family val="3"/>
            <charset val="134"/>
          </rPr>
          <t xml:space="preserve">
格斗</t>
        </r>
      </text>
    </comment>
    <comment ref="D46" authorId="0">
      <text>
        <r>
          <rPr>
            <b/>
            <sz val="9"/>
            <color indexed="81"/>
            <rFont val="宋体"/>
            <family val="3"/>
            <charset val="134"/>
          </rPr>
          <t>starfire:</t>
        </r>
        <r>
          <rPr>
            <sz val="9"/>
            <color indexed="81"/>
            <rFont val="宋体"/>
            <family val="3"/>
            <charset val="134"/>
          </rPr>
          <t xml:space="preserve">
闪避</t>
        </r>
      </text>
    </comment>
    <comment ref="E46" authorId="0">
      <text>
        <r>
          <rPr>
            <b/>
            <sz val="9"/>
            <color indexed="81"/>
            <rFont val="宋体"/>
            <family val="3"/>
            <charset val="134"/>
          </rPr>
          <t>starfire:</t>
        </r>
        <r>
          <rPr>
            <sz val="9"/>
            <color indexed="81"/>
            <rFont val="宋体"/>
            <family val="3"/>
            <charset val="134"/>
          </rPr>
          <t xml:space="preserve">
射击</t>
        </r>
      </text>
    </comment>
    <comment ref="F46" authorId="0">
      <text>
        <r>
          <rPr>
            <b/>
            <sz val="9"/>
            <color indexed="81"/>
            <rFont val="宋体"/>
            <family val="3"/>
            <charset val="134"/>
          </rPr>
          <t>starfire:</t>
        </r>
        <r>
          <rPr>
            <sz val="9"/>
            <color indexed="81"/>
            <rFont val="宋体"/>
            <family val="3"/>
            <charset val="134"/>
          </rPr>
          <t xml:space="preserve">
投掷</t>
        </r>
      </text>
    </comment>
    <comment ref="G46" authorId="0">
      <text>
        <r>
          <rPr>
            <b/>
            <sz val="9"/>
            <color indexed="81"/>
            <rFont val="宋体"/>
            <family val="3"/>
            <charset val="134"/>
          </rPr>
          <t>starfire:</t>
        </r>
        <r>
          <rPr>
            <sz val="9"/>
            <color indexed="81"/>
            <rFont val="宋体"/>
            <family val="3"/>
            <charset val="134"/>
          </rPr>
          <t xml:space="preserve">
爆破</t>
        </r>
      </text>
    </comment>
    <comment ref="H46" authorId="0">
      <text>
        <r>
          <rPr>
            <b/>
            <sz val="9"/>
            <color indexed="81"/>
            <rFont val="宋体"/>
            <family val="3"/>
            <charset val="134"/>
          </rPr>
          <t>starfire:</t>
        </r>
        <r>
          <rPr>
            <sz val="9"/>
            <color indexed="81"/>
            <rFont val="宋体"/>
            <family val="3"/>
            <charset val="134"/>
          </rPr>
          <t xml:space="preserve">
炮术</t>
        </r>
      </text>
    </comment>
    <comment ref="C47" authorId="0">
      <text>
        <r>
          <rPr>
            <b/>
            <sz val="9"/>
            <color indexed="81"/>
            <rFont val="宋体"/>
            <family val="3"/>
            <charset val="134"/>
          </rPr>
          <t>starfire:</t>
        </r>
        <r>
          <rPr>
            <sz val="9"/>
            <color indexed="81"/>
            <rFont val="宋体"/>
            <family val="3"/>
            <charset val="134"/>
          </rPr>
          <t xml:space="preserve">
技艺</t>
        </r>
      </text>
    </comment>
    <comment ref="D47" authorId="0">
      <text>
        <r>
          <rPr>
            <b/>
            <sz val="9"/>
            <color indexed="81"/>
            <rFont val="宋体"/>
            <family val="3"/>
            <charset val="134"/>
          </rPr>
          <t>starfire:</t>
        </r>
        <r>
          <rPr>
            <sz val="9"/>
            <color indexed="81"/>
            <rFont val="宋体"/>
            <family val="3"/>
            <charset val="134"/>
          </rPr>
          <t xml:space="preserve">
汽车驾驶</t>
        </r>
      </text>
    </comment>
    <comment ref="E47" authorId="0">
      <text>
        <r>
          <rPr>
            <b/>
            <sz val="9"/>
            <color indexed="81"/>
            <rFont val="宋体"/>
            <family val="3"/>
            <charset val="134"/>
          </rPr>
          <t>starfire:</t>
        </r>
        <r>
          <rPr>
            <sz val="9"/>
            <color indexed="81"/>
            <rFont val="宋体"/>
            <family val="3"/>
            <charset val="134"/>
          </rPr>
          <t xml:space="preserve">
乔装</t>
        </r>
      </text>
    </comment>
    <comment ref="F47" authorId="0">
      <text>
        <r>
          <rPr>
            <b/>
            <sz val="9"/>
            <color indexed="81"/>
            <rFont val="宋体"/>
            <family val="3"/>
            <charset val="134"/>
          </rPr>
          <t>starfire:</t>
        </r>
        <r>
          <rPr>
            <sz val="9"/>
            <color indexed="81"/>
            <rFont val="宋体"/>
            <family val="3"/>
            <charset val="134"/>
          </rPr>
          <t xml:space="preserve">
电气维修</t>
        </r>
      </text>
    </comment>
    <comment ref="G47" authorId="0">
      <text>
        <r>
          <rPr>
            <b/>
            <sz val="9"/>
            <color indexed="81"/>
            <rFont val="宋体"/>
            <family val="3"/>
            <charset val="134"/>
          </rPr>
          <t>starfire:</t>
        </r>
        <r>
          <rPr>
            <sz val="9"/>
            <color indexed="81"/>
            <rFont val="宋体"/>
            <family val="3"/>
            <charset val="134"/>
          </rPr>
          <t xml:space="preserve">
锁匠</t>
        </r>
      </text>
    </comment>
    <comment ref="H47" authorId="0">
      <text>
        <r>
          <rPr>
            <b/>
            <sz val="9"/>
            <color indexed="81"/>
            <rFont val="宋体"/>
            <family val="3"/>
            <charset val="134"/>
          </rPr>
          <t>starfire:</t>
        </r>
        <r>
          <rPr>
            <sz val="9"/>
            <color indexed="81"/>
            <rFont val="宋体"/>
            <family val="3"/>
            <charset val="134"/>
          </rPr>
          <t xml:space="preserve">
机械维修</t>
        </r>
      </text>
    </comment>
    <comment ref="I47" authorId="0">
      <text>
        <r>
          <rPr>
            <b/>
            <sz val="9"/>
            <color indexed="81"/>
            <rFont val="宋体"/>
            <family val="3"/>
            <charset val="134"/>
          </rPr>
          <t>starfire:</t>
        </r>
        <r>
          <rPr>
            <sz val="9"/>
            <color indexed="81"/>
            <rFont val="宋体"/>
            <family val="3"/>
            <charset val="134"/>
          </rPr>
          <t xml:space="preserve">
操作重型机械</t>
        </r>
      </text>
    </comment>
    <comment ref="J47" authorId="0">
      <text>
        <r>
          <rPr>
            <b/>
            <sz val="9"/>
            <color indexed="81"/>
            <rFont val="宋体"/>
            <family val="3"/>
            <charset val="134"/>
          </rPr>
          <t>starfire:</t>
        </r>
        <r>
          <rPr>
            <sz val="9"/>
            <color indexed="81"/>
            <rFont val="宋体"/>
            <family val="3"/>
            <charset val="134"/>
          </rPr>
          <t xml:space="preserve">
驾驶</t>
        </r>
      </text>
    </comment>
    <comment ref="K47" authorId="0">
      <text>
        <r>
          <rPr>
            <b/>
            <sz val="9"/>
            <color indexed="81"/>
            <rFont val="宋体"/>
            <family val="3"/>
            <charset val="134"/>
          </rPr>
          <t>starfire:</t>
        </r>
        <r>
          <rPr>
            <sz val="9"/>
            <color indexed="81"/>
            <rFont val="宋体"/>
            <family val="3"/>
            <charset val="134"/>
          </rPr>
          <t xml:space="preserve">
骑乘</t>
        </r>
      </text>
    </comment>
    <comment ref="L47" authorId="0">
      <text>
        <r>
          <rPr>
            <b/>
            <sz val="9"/>
            <color indexed="81"/>
            <rFont val="宋体"/>
            <family val="3"/>
            <charset val="134"/>
          </rPr>
          <t>starfire:</t>
        </r>
        <r>
          <rPr>
            <sz val="9"/>
            <color indexed="81"/>
            <rFont val="宋体"/>
            <family val="3"/>
            <charset val="134"/>
          </rPr>
          <t xml:space="preserve">
妙手</t>
        </r>
      </text>
    </comment>
    <comment ref="M47" authorId="0">
      <text>
        <r>
          <rPr>
            <b/>
            <sz val="9"/>
            <color indexed="81"/>
            <rFont val="宋体"/>
            <family val="3"/>
            <charset val="134"/>
          </rPr>
          <t>starfire:</t>
        </r>
        <r>
          <rPr>
            <sz val="9"/>
            <color indexed="81"/>
            <rFont val="宋体"/>
            <family val="3"/>
            <charset val="134"/>
          </rPr>
          <t xml:space="preserve">
驯兽</t>
        </r>
      </text>
    </comment>
    <comment ref="N47" authorId="0">
      <text>
        <r>
          <rPr>
            <b/>
            <sz val="9"/>
            <color indexed="81"/>
            <rFont val="宋体"/>
            <family val="3"/>
            <charset val="134"/>
          </rPr>
          <t>starfire:</t>
        </r>
        <r>
          <rPr>
            <sz val="9"/>
            <color indexed="81"/>
            <rFont val="宋体"/>
            <family val="3"/>
            <charset val="134"/>
          </rPr>
          <t xml:space="preserve">
自设</t>
        </r>
      </text>
    </comment>
    <comment ref="O47" authorId="0">
      <text>
        <r>
          <rPr>
            <b/>
            <sz val="9"/>
            <color indexed="81"/>
            <rFont val="宋体"/>
            <family val="3"/>
            <charset val="134"/>
          </rPr>
          <t>starfire:</t>
        </r>
        <r>
          <rPr>
            <sz val="9"/>
            <color indexed="81"/>
            <rFont val="宋体"/>
            <family val="3"/>
            <charset val="134"/>
          </rPr>
          <t xml:space="preserve">
游泳</t>
        </r>
      </text>
    </comment>
    <comment ref="P47" authorId="0">
      <text>
        <r>
          <rPr>
            <b/>
            <sz val="9"/>
            <color indexed="81"/>
            <rFont val="宋体"/>
            <family val="3"/>
            <charset val="134"/>
          </rPr>
          <t>starfire:</t>
        </r>
        <r>
          <rPr>
            <sz val="9"/>
            <color indexed="81"/>
            <rFont val="宋体"/>
            <family val="3"/>
            <charset val="134"/>
          </rPr>
          <t xml:space="preserve">
潜水</t>
        </r>
      </text>
    </comment>
    <comment ref="Q47" authorId="0">
      <text>
        <r>
          <rPr>
            <b/>
            <sz val="9"/>
            <color indexed="81"/>
            <rFont val="宋体"/>
            <family val="3"/>
            <charset val="134"/>
          </rPr>
          <t>starfire:</t>
        </r>
        <r>
          <rPr>
            <sz val="9"/>
            <color indexed="81"/>
            <rFont val="宋体"/>
            <family val="3"/>
            <charset val="134"/>
          </rPr>
          <t xml:space="preserve">
读唇</t>
        </r>
      </text>
    </comment>
    <comment ref="C48" authorId="0">
      <text>
        <r>
          <rPr>
            <b/>
            <sz val="9"/>
            <color indexed="81"/>
            <rFont val="宋体"/>
            <family val="3"/>
            <charset val="134"/>
          </rPr>
          <t>starfire:</t>
        </r>
        <r>
          <rPr>
            <sz val="9"/>
            <color indexed="81"/>
            <rFont val="宋体"/>
            <family val="3"/>
            <charset val="134"/>
          </rPr>
          <t xml:space="preserve">
急救</t>
        </r>
      </text>
    </comment>
    <comment ref="D48" authorId="0">
      <text>
        <r>
          <rPr>
            <b/>
            <sz val="9"/>
            <color indexed="81"/>
            <rFont val="宋体"/>
            <family val="3"/>
            <charset val="134"/>
          </rPr>
          <t>starfire:</t>
        </r>
        <r>
          <rPr>
            <sz val="9"/>
            <color indexed="81"/>
            <rFont val="宋体"/>
            <family val="3"/>
            <charset val="134"/>
          </rPr>
          <t xml:space="preserve">
医学</t>
        </r>
      </text>
    </comment>
    <comment ref="E48" authorId="0">
      <text>
        <r>
          <rPr>
            <b/>
            <sz val="9"/>
            <color indexed="81"/>
            <rFont val="宋体"/>
            <family val="3"/>
            <charset val="134"/>
          </rPr>
          <t>starfire:</t>
        </r>
        <r>
          <rPr>
            <sz val="9"/>
            <color indexed="81"/>
            <rFont val="宋体"/>
            <family val="3"/>
            <charset val="134"/>
          </rPr>
          <t xml:space="preserve">
精神分析</t>
        </r>
      </text>
    </comment>
    <comment ref="F48" authorId="0">
      <text>
        <r>
          <rPr>
            <b/>
            <sz val="9"/>
            <color indexed="81"/>
            <rFont val="宋体"/>
            <family val="3"/>
            <charset val="134"/>
          </rPr>
          <t>starfire:</t>
        </r>
        <r>
          <rPr>
            <sz val="9"/>
            <color indexed="81"/>
            <rFont val="宋体"/>
            <family val="3"/>
            <charset val="134"/>
          </rPr>
          <t xml:space="preserve">
催眠</t>
        </r>
      </text>
    </comment>
    <comment ref="C49" authorId="0">
      <text>
        <r>
          <rPr>
            <b/>
            <sz val="9"/>
            <color indexed="81"/>
            <rFont val="宋体"/>
            <family val="3"/>
            <charset val="134"/>
          </rPr>
          <t>starfire:</t>
        </r>
        <r>
          <rPr>
            <sz val="9"/>
            <color indexed="81"/>
            <rFont val="宋体"/>
            <family val="3"/>
            <charset val="134"/>
          </rPr>
          <t xml:space="preserve">
会计</t>
        </r>
      </text>
    </comment>
    <comment ref="D49" authorId="0">
      <text>
        <r>
          <rPr>
            <b/>
            <sz val="9"/>
            <color indexed="81"/>
            <rFont val="宋体"/>
            <family val="3"/>
            <charset val="134"/>
          </rPr>
          <t>starfire:</t>
        </r>
        <r>
          <rPr>
            <sz val="9"/>
            <color indexed="81"/>
            <rFont val="宋体"/>
            <family val="3"/>
            <charset val="134"/>
          </rPr>
          <t xml:space="preserve">
心理学</t>
        </r>
      </text>
    </comment>
    <comment ref="E49" authorId="0">
      <text>
        <r>
          <rPr>
            <b/>
            <sz val="9"/>
            <color indexed="81"/>
            <rFont val="宋体"/>
            <family val="3"/>
            <charset val="134"/>
          </rPr>
          <t>starfire:</t>
        </r>
        <r>
          <rPr>
            <sz val="9"/>
            <color indexed="81"/>
            <rFont val="宋体"/>
            <family val="3"/>
            <charset val="134"/>
          </rPr>
          <t xml:space="preserve">
魅惑</t>
        </r>
      </text>
    </comment>
    <comment ref="F49" authorId="0">
      <text>
        <r>
          <rPr>
            <b/>
            <sz val="9"/>
            <color indexed="81"/>
            <rFont val="宋体"/>
            <family val="3"/>
            <charset val="134"/>
          </rPr>
          <t>starfire:</t>
        </r>
        <r>
          <rPr>
            <sz val="9"/>
            <color indexed="81"/>
            <rFont val="宋体"/>
            <family val="3"/>
            <charset val="134"/>
          </rPr>
          <t xml:space="preserve">
话术</t>
        </r>
      </text>
    </comment>
    <comment ref="G49" authorId="0">
      <text>
        <r>
          <rPr>
            <b/>
            <sz val="9"/>
            <color indexed="81"/>
            <rFont val="宋体"/>
            <family val="3"/>
            <charset val="134"/>
          </rPr>
          <t>starfire:</t>
        </r>
        <r>
          <rPr>
            <sz val="9"/>
            <color indexed="81"/>
            <rFont val="宋体"/>
            <family val="3"/>
            <charset val="134"/>
          </rPr>
          <t xml:space="preserve">
恐吓</t>
        </r>
      </text>
    </comment>
    <comment ref="H49" authorId="0">
      <text>
        <r>
          <rPr>
            <b/>
            <sz val="9"/>
            <color indexed="81"/>
            <rFont val="宋体"/>
            <family val="3"/>
            <charset val="134"/>
          </rPr>
          <t>starfire:</t>
        </r>
        <r>
          <rPr>
            <sz val="9"/>
            <color indexed="81"/>
            <rFont val="宋体"/>
            <family val="3"/>
            <charset val="134"/>
          </rPr>
          <t xml:space="preserve">
外语</t>
        </r>
      </text>
    </comment>
    <comment ref="I49" authorId="0">
      <text>
        <r>
          <rPr>
            <b/>
            <sz val="9"/>
            <color indexed="81"/>
            <rFont val="宋体"/>
            <family val="3"/>
            <charset val="134"/>
          </rPr>
          <t>starfire:</t>
        </r>
        <r>
          <rPr>
            <sz val="9"/>
            <color indexed="81"/>
            <rFont val="宋体"/>
            <family val="3"/>
            <charset val="134"/>
          </rPr>
          <t xml:space="preserve">
母语</t>
        </r>
      </text>
    </comment>
    <comment ref="J49" authorId="0">
      <text>
        <r>
          <rPr>
            <b/>
            <sz val="9"/>
            <color indexed="81"/>
            <rFont val="宋体"/>
            <family val="3"/>
            <charset val="134"/>
          </rPr>
          <t>starfire:</t>
        </r>
        <r>
          <rPr>
            <sz val="9"/>
            <color indexed="81"/>
            <rFont val="宋体"/>
            <family val="3"/>
            <charset val="134"/>
          </rPr>
          <t xml:space="preserve">
说服</t>
        </r>
      </text>
    </comment>
    <comment ref="C50" authorId="0">
      <text>
        <r>
          <rPr>
            <b/>
            <sz val="9"/>
            <color indexed="81"/>
            <rFont val="宋体"/>
            <family val="3"/>
            <charset val="134"/>
          </rPr>
          <t>starfire:</t>
        </r>
        <r>
          <rPr>
            <sz val="9"/>
            <color indexed="81"/>
            <rFont val="宋体"/>
            <family val="3"/>
            <charset val="134"/>
          </rPr>
          <t xml:space="preserve">
考古学</t>
        </r>
      </text>
    </comment>
    <comment ref="D50" authorId="0">
      <text>
        <r>
          <rPr>
            <b/>
            <sz val="9"/>
            <color indexed="81"/>
            <rFont val="宋体"/>
            <family val="3"/>
            <charset val="134"/>
          </rPr>
          <t>starfire:</t>
        </r>
        <r>
          <rPr>
            <sz val="9"/>
            <color indexed="81"/>
            <rFont val="宋体"/>
            <family val="3"/>
            <charset val="134"/>
          </rPr>
          <t xml:space="preserve">
计算机使用</t>
        </r>
      </text>
    </comment>
    <comment ref="E50" authorId="0">
      <text>
        <r>
          <rPr>
            <b/>
            <sz val="9"/>
            <color indexed="81"/>
            <rFont val="宋体"/>
            <family val="3"/>
            <charset val="134"/>
          </rPr>
          <t>starfire:</t>
        </r>
        <r>
          <rPr>
            <sz val="9"/>
            <color indexed="81"/>
            <rFont val="宋体"/>
            <family val="3"/>
            <charset val="134"/>
          </rPr>
          <t xml:space="preserve">
电子学</t>
        </r>
      </text>
    </comment>
    <comment ref="F50" authorId="0">
      <text>
        <r>
          <rPr>
            <b/>
            <sz val="9"/>
            <color indexed="81"/>
            <rFont val="宋体"/>
            <family val="3"/>
            <charset val="134"/>
          </rPr>
          <t>starfire:</t>
        </r>
        <r>
          <rPr>
            <sz val="9"/>
            <color indexed="81"/>
            <rFont val="宋体"/>
            <family val="3"/>
            <charset val="134"/>
          </rPr>
          <t xml:space="preserve">
自然学
</t>
        </r>
      </text>
    </comment>
    <comment ref="G50" authorId="0">
      <text>
        <r>
          <rPr>
            <b/>
            <sz val="9"/>
            <color indexed="81"/>
            <rFont val="宋体"/>
            <family val="3"/>
            <charset val="134"/>
          </rPr>
          <t>starfire:</t>
        </r>
        <r>
          <rPr>
            <sz val="9"/>
            <color indexed="81"/>
            <rFont val="宋体"/>
            <family val="3"/>
            <charset val="134"/>
          </rPr>
          <t xml:space="preserve">
神秘学</t>
        </r>
      </text>
    </comment>
    <comment ref="H50" authorId="0">
      <text>
        <r>
          <rPr>
            <b/>
            <sz val="9"/>
            <color indexed="81"/>
            <rFont val="宋体"/>
            <family val="3"/>
            <charset val="134"/>
          </rPr>
          <t>starfire:</t>
        </r>
        <r>
          <rPr>
            <sz val="9"/>
            <color indexed="81"/>
            <rFont val="宋体"/>
            <family val="3"/>
            <charset val="134"/>
          </rPr>
          <t xml:space="preserve">
科学</t>
        </r>
      </text>
    </comment>
    <comment ref="I50" authorId="0">
      <text>
        <r>
          <rPr>
            <b/>
            <sz val="9"/>
            <color indexed="81"/>
            <rFont val="宋体"/>
            <family val="3"/>
            <charset val="134"/>
          </rPr>
          <t>starfire:</t>
        </r>
        <r>
          <rPr>
            <sz val="9"/>
            <color indexed="81"/>
            <rFont val="宋体"/>
            <family val="3"/>
            <charset val="134"/>
          </rPr>
          <t xml:space="preserve">
历史</t>
        </r>
      </text>
    </comment>
    <comment ref="J50" authorId="0">
      <text>
        <r>
          <rPr>
            <b/>
            <sz val="9"/>
            <color indexed="81"/>
            <rFont val="宋体"/>
            <family val="3"/>
            <charset val="134"/>
          </rPr>
          <t>starfire:</t>
        </r>
        <r>
          <rPr>
            <sz val="9"/>
            <color indexed="81"/>
            <rFont val="宋体"/>
            <family val="3"/>
            <charset val="134"/>
          </rPr>
          <t xml:space="preserve">
法律</t>
        </r>
      </text>
    </comment>
    <comment ref="K50" authorId="0">
      <text>
        <r>
          <rPr>
            <b/>
            <sz val="9"/>
            <color indexed="81"/>
            <rFont val="宋体"/>
            <family val="3"/>
            <charset val="134"/>
          </rPr>
          <t>starfire:</t>
        </r>
        <r>
          <rPr>
            <sz val="9"/>
            <color indexed="81"/>
            <rFont val="宋体"/>
            <family val="3"/>
            <charset val="134"/>
          </rPr>
          <t xml:space="preserve">
估价</t>
        </r>
      </text>
    </comment>
    <comment ref="L50" authorId="0">
      <text>
        <r>
          <rPr>
            <b/>
            <sz val="9"/>
            <color indexed="81"/>
            <rFont val="宋体"/>
            <family val="3"/>
            <charset val="134"/>
          </rPr>
          <t>starfire:</t>
        </r>
        <r>
          <rPr>
            <sz val="9"/>
            <color indexed="81"/>
            <rFont val="宋体"/>
            <family val="3"/>
            <charset val="134"/>
          </rPr>
          <t xml:space="preserve">
人类学</t>
        </r>
      </text>
    </comment>
    <comment ref="C51" authorId="0">
      <text>
        <r>
          <rPr>
            <b/>
            <sz val="9"/>
            <color indexed="81"/>
            <rFont val="宋体"/>
            <family val="3"/>
            <charset val="134"/>
          </rPr>
          <t>starfire:</t>
        </r>
        <r>
          <rPr>
            <sz val="9"/>
            <color indexed="81"/>
            <rFont val="宋体"/>
            <family val="3"/>
            <charset val="134"/>
          </rPr>
          <t xml:space="preserve">
图书馆使用</t>
        </r>
      </text>
    </comment>
    <comment ref="D51" authorId="0">
      <text>
        <r>
          <rPr>
            <b/>
            <sz val="9"/>
            <color indexed="81"/>
            <rFont val="宋体"/>
            <family val="3"/>
            <charset val="134"/>
          </rPr>
          <t>starfire:</t>
        </r>
        <r>
          <rPr>
            <sz val="9"/>
            <color indexed="81"/>
            <rFont val="宋体"/>
            <family val="3"/>
            <charset val="134"/>
          </rPr>
          <t xml:space="preserve">
聆听</t>
        </r>
      </text>
    </comment>
    <comment ref="E51" authorId="0">
      <text>
        <r>
          <rPr>
            <b/>
            <sz val="9"/>
            <color indexed="81"/>
            <rFont val="宋体"/>
            <family val="3"/>
            <charset val="134"/>
          </rPr>
          <t>starfire:</t>
        </r>
        <r>
          <rPr>
            <sz val="9"/>
            <color indexed="81"/>
            <rFont val="宋体"/>
            <family val="3"/>
            <charset val="134"/>
          </rPr>
          <t xml:space="preserve">
导航</t>
        </r>
      </text>
    </comment>
    <comment ref="F51" authorId="0">
      <text>
        <r>
          <rPr>
            <b/>
            <sz val="9"/>
            <color indexed="81"/>
            <rFont val="宋体"/>
            <family val="3"/>
            <charset val="134"/>
          </rPr>
          <t>starfire:</t>
        </r>
        <r>
          <rPr>
            <sz val="9"/>
            <color indexed="81"/>
            <rFont val="宋体"/>
            <family val="3"/>
            <charset val="134"/>
          </rPr>
          <t xml:space="preserve">
侦查</t>
        </r>
      </text>
    </comment>
    <comment ref="G51" authorId="0">
      <text>
        <r>
          <rPr>
            <b/>
            <sz val="9"/>
            <color indexed="81"/>
            <rFont val="宋体"/>
            <family val="3"/>
            <charset val="134"/>
          </rPr>
          <t>starfire:</t>
        </r>
        <r>
          <rPr>
            <sz val="9"/>
            <color indexed="81"/>
            <rFont val="宋体"/>
            <family val="3"/>
            <charset val="134"/>
          </rPr>
          <t xml:space="preserve">
潜行</t>
        </r>
      </text>
    </comment>
    <comment ref="H51" authorId="0">
      <text>
        <r>
          <rPr>
            <b/>
            <sz val="9"/>
            <color indexed="81"/>
            <rFont val="宋体"/>
            <family val="3"/>
            <charset val="134"/>
          </rPr>
          <t>starfire:</t>
        </r>
        <r>
          <rPr>
            <sz val="9"/>
            <color indexed="81"/>
            <rFont val="宋体"/>
            <family val="3"/>
            <charset val="134"/>
          </rPr>
          <t xml:space="preserve">
生存</t>
        </r>
      </text>
    </comment>
    <comment ref="I51" authorId="0">
      <text>
        <r>
          <rPr>
            <b/>
            <sz val="9"/>
            <color indexed="81"/>
            <rFont val="宋体"/>
            <family val="3"/>
            <charset val="134"/>
          </rPr>
          <t>starfire:</t>
        </r>
        <r>
          <rPr>
            <sz val="9"/>
            <color indexed="81"/>
            <rFont val="宋体"/>
            <family val="3"/>
            <charset val="134"/>
          </rPr>
          <t xml:space="preserve">
追踪</t>
        </r>
      </text>
    </comment>
    <comment ref="J51" authorId="0">
      <text>
        <r>
          <rPr>
            <b/>
            <sz val="9"/>
            <color indexed="81"/>
            <rFont val="宋体"/>
            <family val="3"/>
            <charset val="134"/>
          </rPr>
          <t>starfire:</t>
        </r>
        <r>
          <rPr>
            <sz val="9"/>
            <color indexed="81"/>
            <rFont val="宋体"/>
            <family val="3"/>
            <charset val="134"/>
          </rPr>
          <t xml:space="preserve">
跳跃</t>
        </r>
      </text>
    </comment>
    <comment ref="K51" authorId="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<sst xmlns="http://schemas.openxmlformats.org/spreadsheetml/2006/main" count="3675" uniqueCount="1659">
  <si>
    <t>姓名</t>
    <phoneticPr fontId="2" type="noConversion"/>
  </si>
  <si>
    <t>职业</t>
    <phoneticPr fontId="2" type="noConversion"/>
  </si>
  <si>
    <t>年龄</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</si>
  <si>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</si>
  <si>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</si>
  <si>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</si>
  <si>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</si>
  <si>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</si>
  <si>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</si>
  <si>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</si>
  <si>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</si>
  <si>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</si>
  <si>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</si>
  <si>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</si>
  <si>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</si>
  <si>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</si>
  <si>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</si>
  <si>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</si>
  <si>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</si>
  <si>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</si>
  <si>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</si>
  <si>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</si>
  <si>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</si>
  <si>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</si>
  <si>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t>
    <phoneticPr fontId="2" type="noConversion"/>
  </si>
  <si>
    <t>随身物品</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</si>
  <si>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</si>
  <si>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</si>
  <si>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</si>
  <si>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</si>
  <si>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</si>
  <si>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</si>
  <si>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</si>
  <si>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</si>
  <si>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</si>
  <si>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</si>
  <si>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</si>
  <si>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</si>
  <si>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</si>
  <si>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</si>
  <si>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</si>
  <si>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无重伤下每天自然回复1点体力</t>
    <phoneticPr fontId="2" type="noConversion"/>
  </si>
  <si>
    <t>重伤时每周做1次恢复检定</t>
    <phoneticPr fontId="2" type="noConversion"/>
  </si>
  <si>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</si>
  <si>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</si>
  <si>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</si>
  <si>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</si>
  <si>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</si>
  <si>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</si>
  <si>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</si>
  <si>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</si>
  <si>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</si>
  <si>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</si>
  <si>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</si>
  <si>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</si>
  <si>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</si>
  <si>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</si>
  <si>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</si>
  <si>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</si>
  <si>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30-70</t>
    <phoneticPr fontId="2" type="noConversion"/>
  </si>
  <si>
    <t>9-20</t>
    <phoneticPr fontId="2" type="noConversion"/>
  </si>
  <si>
    <t>职业属性</t>
    <phoneticPr fontId="2" type="noConversion"/>
  </si>
  <si>
    <t>杂技演员</t>
    <phoneticPr fontId="2" type="noConversion"/>
  </si>
  <si>
    <t>鞭子</t>
    <phoneticPr fontId="2" type="noConversion"/>
  </si>
  <si>
    <t>电锯</t>
    <phoneticPr fontId="2" type="noConversion"/>
  </si>
  <si>
    <t>机关枪</t>
    <phoneticPr fontId="2" type="noConversion"/>
  </si>
  <si>
    <t>斧</t>
    <phoneticPr fontId="2" type="noConversion"/>
  </si>
  <si>
    <t>属性</t>
    <phoneticPr fontId="2" type="noConversion"/>
  </si>
  <si>
    <t>住地</t>
    <phoneticPr fontId="2" type="noConversion"/>
  </si>
  <si>
    <t>故乡</t>
    <phoneticPr fontId="2" type="noConversion"/>
  </si>
  <si>
    <t>技能和属性检定
成功等级</t>
    <phoneticPr fontId="2" type="noConversion"/>
  </si>
  <si>
    <t>[医学]回复1D3点体力</t>
    <phoneticPr fontId="2" type="noConversion"/>
  </si>
  <si>
    <t>人类学</t>
  </si>
  <si>
    <t>考古学</t>
  </si>
  <si>
    <t>攀爬</t>
  </si>
  <si>
    <t>克苏鲁神话</t>
  </si>
  <si>
    <t>乔装</t>
  </si>
  <si>
    <t>闪避</t>
  </si>
  <si>
    <t>汽车驾驶</t>
  </si>
  <si>
    <t>电气维修</t>
  </si>
  <si>
    <t>话术</t>
  </si>
  <si>
    <t>恐吓</t>
  </si>
  <si>
    <t>跳跃</t>
  </si>
  <si>
    <t>聆听</t>
    <phoneticPr fontId="2" type="noConversion"/>
  </si>
  <si>
    <t>锁匠</t>
    <phoneticPr fontId="2" type="noConversion"/>
  </si>
  <si>
    <t>机械维修</t>
    <phoneticPr fontId="2" type="noConversion"/>
  </si>
  <si>
    <t>神秘学</t>
    <phoneticPr fontId="2" type="noConversion"/>
  </si>
  <si>
    <t>操作重型机械</t>
    <phoneticPr fontId="2" type="noConversion"/>
  </si>
  <si>
    <t>精神分析</t>
    <phoneticPr fontId="2" type="noConversion"/>
  </si>
  <si>
    <t>心理学</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</si>
  <si>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</si>
  <si>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</si>
  <si>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</si>
  <si>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</si>
  <si>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</si>
  <si>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调查员信息</t>
    <phoneticPr fontId="2" type="noConversion"/>
  </si>
  <si>
    <t>射程</t>
    <phoneticPr fontId="2" type="noConversion"/>
  </si>
  <si>
    <t>健康</t>
  </si>
  <si>
    <t>步枪/霰弹枪</t>
    <phoneticPr fontId="2" type="noConversion"/>
  </si>
  <si>
    <t>神志清醒</t>
  </si>
  <si>
    <t>选择职业序号为0，则清除职业模板提示和点数计算器，供强迫症患者使用。</t>
    <phoneticPr fontId="2" type="noConversion"/>
  </si>
  <si>
    <t>STR+SIZ</t>
    <phoneticPr fontId="2" type="noConversion"/>
  </si>
  <si>
    <t>DB</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</si>
  <si>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</si>
  <si>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</si>
  <si>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</si>
  <si>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</si>
  <si>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</si>
  <si>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</si>
  <si>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</si>
  <si>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</si>
  <si>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</si>
  <si>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</si>
  <si>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</si>
  <si>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</si>
  <si>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</si>
  <si>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</si>
  <si>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</si>
  <si>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</si>
  <si>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</si>
  <si>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</si>
  <si>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</si>
  <si>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</si>
  <si>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</si>
  <si>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</si>
  <si>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</si>
  <si>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</si>
  <si>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</si>
  <si>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</si>
  <si>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</si>
  <si>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</si>
  <si>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</si>
  <si>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</si>
  <si>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</si>
  <si>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</si>
  <si>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</si>
  <si>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</si>
  <si>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</si>
  <si>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</si>
  <si>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</si>
  <si>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</si>
  <si>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</si>
  <si>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</si>
  <si>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</si>
  <si>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</si>
  <si>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</si>
  <si>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</si>
  <si>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</si>
  <si>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</si>
  <si>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</si>
  <si>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三者相等</t>
    <phoneticPr fontId="2" type="noConversion"/>
  </si>
  <si>
    <t>二者皆&gt;体</t>
    <phoneticPr fontId="2" type="noConversion"/>
  </si>
  <si>
    <t>一者＞体</t>
    <phoneticPr fontId="2" type="noConversion"/>
  </si>
  <si>
    <t>判断MOV</t>
    <phoneticPr fontId="2" type="noConversion"/>
  </si>
  <si>
    <t>信用评级</t>
    <phoneticPr fontId="2" type="noConversion"/>
  </si>
  <si>
    <t>图书馆使用</t>
    <phoneticPr fontId="2" type="noConversion"/>
  </si>
  <si>
    <t>SIZ</t>
    <phoneticPr fontId="2" type="noConversion"/>
  </si>
  <si>
    <t>STR&gt;SIZ?</t>
    <phoneticPr fontId="2" type="noConversion"/>
  </si>
  <si>
    <t>DEX&gt;SIZ?</t>
    <phoneticPr fontId="2" type="noConversion"/>
  </si>
  <si>
    <t>STR=SIZ?</t>
    <phoneticPr fontId="2" type="noConversion"/>
  </si>
  <si>
    <t>DEX=SIZ?</t>
    <phoneticPr fontId="2" type="noConversion"/>
  </si>
  <si>
    <t>STR&lt;SIZ?</t>
    <phoneticPr fontId="2" type="noConversion"/>
  </si>
  <si>
    <t>DEX&lt;SIZ?</t>
    <phoneticPr fontId="2" type="noConversion"/>
  </si>
  <si>
    <t>二者皆&lt;体</t>
    <phoneticPr fontId="2" type="noConversion"/>
  </si>
  <si>
    <t>MOV=7？</t>
    <phoneticPr fontId="2" type="noConversion"/>
  </si>
  <si>
    <t>MOV=9？</t>
    <phoneticPr fontId="2" type="noConversion"/>
  </si>
  <si>
    <t>MOV=8？</t>
    <phoneticPr fontId="2" type="noConversion"/>
  </si>
  <si>
    <t>☐</t>
  </si>
  <si>
    <t>厨艺</t>
    <phoneticPr fontId="2" type="noConversion"/>
  </si>
  <si>
    <t>外貌
APP</t>
    <phoneticPr fontId="2" type="noConversion"/>
  </si>
  <si>
    <t>智力
INT</t>
    <phoneticPr fontId="2" type="noConversion"/>
  </si>
  <si>
    <t>药学</t>
    <phoneticPr fontId="2" type="noConversion"/>
  </si>
  <si>
    <t>书法</t>
    <phoneticPr fontId="2" type="noConversion"/>
  </si>
  <si>
    <t>制陶</t>
    <phoneticPr fontId="2" type="noConversion"/>
  </si>
  <si>
    <t>技能</t>
    <phoneticPr fontId="2" type="noConversion"/>
  </si>
  <si>
    <t>基础值</t>
    <phoneticPr fontId="2" type="noConversion"/>
  </si>
  <si>
    <t>技能</t>
    <phoneticPr fontId="2" type="noConversion"/>
  </si>
  <si>
    <t>基础值</t>
    <phoneticPr fontId="2" type="noConversion"/>
  </si>
  <si>
    <t>司法科学</t>
    <phoneticPr fontId="2" type="noConversion"/>
  </si>
  <si>
    <t>催眠</t>
    <phoneticPr fontId="2" type="noConversion"/>
  </si>
  <si>
    <t>爆破</t>
  </si>
  <si>
    <t>您的角色可能</t>
  </si>
  <si>
    <t>默认幸运</t>
    <phoneticPr fontId="2" type="noConversion"/>
  </si>
  <si>
    <t>幸运#2</t>
    <phoneticPr fontId="2" type="noConversion"/>
  </si>
  <si>
    <t>武器</t>
  </si>
  <si>
    <t>装弹量</t>
    <phoneticPr fontId="2" type="noConversion"/>
  </si>
  <si>
    <t>穿刺</t>
    <phoneticPr fontId="2" type="noConversion"/>
  </si>
  <si>
    <t>伤害</t>
    <phoneticPr fontId="2" type="noConversion"/>
  </si>
  <si>
    <t>成功率</t>
    <phoneticPr fontId="2" type="noConversion"/>
  </si>
  <si>
    <t>弓术</t>
    <phoneticPr fontId="2" type="noConversion"/>
  </si>
  <si>
    <t>魅惑</t>
    <phoneticPr fontId="2" type="noConversion"/>
  </si>
  <si>
    <t>历史</t>
    <phoneticPr fontId="2" type="noConversion"/>
  </si>
  <si>
    <t>估价</t>
    <phoneticPr fontId="2" type="noConversion"/>
  </si>
  <si>
    <t>医学</t>
    <phoneticPr fontId="2" type="noConversion"/>
  </si>
  <si>
    <t>信誉作为一个特殊属性，本职技能点也可以分配给信用评级，但要记住信用评级的范围由你的职业决定。</t>
    <phoneticPr fontId="2" type="noConversion"/>
  </si>
  <si>
    <t>调查员的信用评级初始为０。每个职业都有它特定的信用评级起始点数和增长范围，而玩家在信用评级上的分配也会展现出该调查员不同的风范。</t>
    <phoneticPr fontId="2" type="noConversion"/>
  </si>
  <si>
    <t>生活水平</t>
    <phoneticPr fontId="2" type="noConversion"/>
  </si>
  <si>
    <t>现金</t>
    <phoneticPr fontId="2" type="noConversion"/>
  </si>
  <si>
    <t>其他资产</t>
    <phoneticPr fontId="2" type="noConversion"/>
  </si>
  <si>
    <t>消费水平</t>
    <phoneticPr fontId="2" type="noConversion"/>
  </si>
  <si>
    <t>身无分文</t>
    <phoneticPr fontId="2" type="noConversion"/>
  </si>
  <si>
    <t xml:space="preserve">贫穷 </t>
    <phoneticPr fontId="2" type="noConversion"/>
  </si>
  <si>
    <t>$10-90
CR x 10</t>
    <phoneticPr fontId="2" type="noConversion"/>
  </si>
  <si>
    <t>标准</t>
  </si>
  <si>
    <t>$20-98
CR × 2</t>
    <phoneticPr fontId="2" type="noConversion"/>
  </si>
  <si>
    <t>$500-2450
CR × 50</t>
    <phoneticPr fontId="2" type="noConversion"/>
  </si>
  <si>
    <t>50-89</t>
    <phoneticPr fontId="2" type="noConversion"/>
  </si>
  <si>
    <t>小康</t>
    <phoneticPr fontId="2" type="noConversion"/>
  </si>
  <si>
    <t xml:space="preserve">0 或更低  </t>
  </si>
  <si>
    <t>没有</t>
    <phoneticPr fontId="2" type="noConversion"/>
  </si>
  <si>
    <t>$250-445
CR × 5</t>
    <phoneticPr fontId="2" type="noConversion"/>
  </si>
  <si>
    <t>$25000-44500
CR × 500</t>
    <phoneticPr fontId="2" type="noConversion"/>
  </si>
  <si>
    <t>富裕</t>
  </si>
  <si>
    <t>90-98</t>
  </si>
  <si>
    <t>$5M+</t>
    <phoneticPr fontId="2" type="noConversion"/>
  </si>
  <si>
    <t>富豪</t>
    <phoneticPr fontId="2" type="noConversion"/>
  </si>
  <si>
    <t>$20-180
CR x 20</t>
    <phoneticPr fontId="2" type="noConversion"/>
  </si>
  <si>
    <t>$200-1800
CR x 200</t>
    <phoneticPr fontId="2" type="noConversion"/>
  </si>
  <si>
    <t>$400-1960
CR × 40</t>
    <phoneticPr fontId="2" type="noConversion"/>
  </si>
  <si>
    <t>$10000-49000
CR × 1000</t>
    <phoneticPr fontId="2" type="noConversion"/>
  </si>
  <si>
    <t>$5000-8900
CR × 100</t>
    <phoneticPr fontId="2" type="noConversion"/>
  </si>
  <si>
    <t>$500000-890000
CR × 10000</t>
    <phoneticPr fontId="2" type="noConversion"/>
  </si>
  <si>
    <t>1M</t>
    <phoneticPr fontId="2" type="noConversion"/>
  </si>
  <si>
    <t>$100M+</t>
    <phoneticPr fontId="2" type="noConversion"/>
  </si>
  <si>
    <t>武器名称</t>
    <phoneticPr fontId="2" type="noConversion"/>
  </si>
  <si>
    <t>无</t>
    <phoneticPr fontId="2" type="noConversion"/>
  </si>
  <si>
    <t>肉搏</t>
    <phoneticPr fontId="2" type="noConversion"/>
  </si>
  <si>
    <t>类型</t>
    <phoneticPr fontId="2" type="noConversion"/>
  </si>
  <si>
    <t>乐理</t>
    <phoneticPr fontId="2" type="noConversion"/>
  </si>
  <si>
    <t>自然学</t>
    <phoneticPr fontId="2" type="noConversion"/>
  </si>
  <si>
    <t>导航</t>
    <phoneticPr fontId="2" type="noConversion"/>
  </si>
  <si>
    <t>侦查</t>
    <phoneticPr fontId="2" type="noConversion"/>
  </si>
  <si>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phoneticPr fontId="2" type="noConversion"/>
  </si>
  <si>
    <t>调查员经历</t>
    <phoneticPr fontId="2" type="noConversion"/>
  </si>
  <si>
    <t>急救</t>
    <phoneticPr fontId="2" type="noConversion"/>
  </si>
  <si>
    <t>体力
Hit  Points</t>
    <phoneticPr fontId="2" type="noConversion"/>
  </si>
  <si>
    <t>理智
Sanity</t>
    <phoneticPr fontId="2" type="noConversion"/>
  </si>
  <si>
    <t>MOV=8？</t>
    <phoneticPr fontId="2" type="noConversion"/>
  </si>
  <si>
    <t>恐惧症状表</t>
    <phoneticPr fontId="2" type="noConversion"/>
  </si>
  <si>
    <t>狂躁症状表</t>
    <phoneticPr fontId="2" type="noConversion"/>
  </si>
  <si>
    <t>恐惧症是对某些事物的持久性恐惧。守秘人可以投 D100 随机选择，也可以直接选择一个恰当的症状。守秘人应将狂躁症的症状添加到调查员的背景故事栏中。</t>
    <phoneticPr fontId="2" type="noConversion"/>
  </si>
  <si>
    <t>注释：①催眠恐惧症（Hypnophobia）、恐牙症（牙医恐惧症 \ Odontophobia）、魔法恐惧症（权杖恐惧症\ Rhabdophobia）和怪物恐惧症（畸形恐惧症 Teratophobia）四条疑原文理解有误，目前按原文翻出。</t>
    <phoneticPr fontId="2" type="noConversion"/>
  </si>
  <si>
    <t>该症状表由  Achronidas 翻译。</t>
    <phoneticPr fontId="2" type="noConversion"/>
  </si>
  <si>
    <t>狂躁症会带来对某一事物的狂热迷恋与强迫倾向。守秘人可以投 D100 随机选择，也可以直接选择一个恰当的症状。守秘人应将狂躁症的症状添加到调查员的背景故事栏中。</t>
    <phoneticPr fontId="2" type="noConversion"/>
  </si>
  <si>
    <t>0</t>
    <phoneticPr fontId="2" type="noConversion"/>
  </si>
  <si>
    <t>会计</t>
    <phoneticPr fontId="2" type="noConversion"/>
  </si>
  <si>
    <t>恐惧症状表</t>
    <phoneticPr fontId="2" type="noConversion"/>
  </si>
  <si>
    <t>序号</t>
    <phoneticPr fontId="2" type="noConversion"/>
  </si>
  <si>
    <t>症状表现</t>
    <phoneticPr fontId="2" type="noConversion"/>
  </si>
  <si>
    <t>具体症状</t>
    <phoneticPr fontId="2" type="noConversion"/>
  </si>
  <si>
    <t>狂躁症状表</t>
    <phoneticPr fontId="2" type="noConversion"/>
  </si>
  <si>
    <t>版本号前两位代表年，第三位代表月</t>
    <phoneticPr fontId="2" type="noConversion"/>
  </si>
  <si>
    <t>暴力倾向 ：调查员陷入了六亲不认的暴力行为中，对周围的敌人与友方进行着无差别的攻击，持续 1D10 轮。</t>
    <phoneticPr fontId="2" type="noConversion"/>
  </si>
  <si>
    <t>偏执 ：调查员陷入了严重的偏执妄想之中，持续１Ｄ１０轮。有人在暗中窥视着他们，同伴中有人背叛了他们，没有人可以信任，万事皆虚。</t>
    <phoneticPr fontId="2" type="noConversion"/>
  </si>
  <si>
    <t>昏厥 ：调查员当场昏倒，并需要 1D10 轮才能苏醒。</t>
    <phoneticPr fontId="2" type="noConversion"/>
  </si>
  <si>
    <t>恐惧：调查员通过一次 D100 或者由守秘人选择，来从恐惧症状表中选择一个恐惧源，就算这一恐惧的事物是并不存在的，调查员的症状会持续1D10 轮。</t>
    <phoneticPr fontId="2" type="noConversion"/>
  </si>
  <si>
    <t>躁狂 ：调查员通过一次 D100 或者由守秘人选择，来从躁狂症状表中选择一个躁狂的诱因，这个症状将会持续 1D10 轮。</t>
    <phoneticPr fontId="2" type="noConversion"/>
  </si>
  <si>
    <t>洗澡恐惧症（Ablutophobia）：对于洗涤或洗澡的恐惧。</t>
    <phoneticPr fontId="2" type="noConversion"/>
  </si>
  <si>
    <t>恐高症（Acrophobia）：对于身处高处的恐惧。</t>
    <phoneticPr fontId="2" type="noConversion"/>
  </si>
  <si>
    <t>飞行恐惧症（Aerophobia）：对飞行的恐惧。</t>
    <phoneticPr fontId="2" type="noConversion"/>
  </si>
  <si>
    <t>广场恐惧症（Agoraphobia）：对于开放的（拥挤）公共场所的恐惧。</t>
    <phoneticPr fontId="2" type="noConversion"/>
  </si>
  <si>
    <t>恐鸡症（Alektorophobia）：对鸡的恐惧。</t>
    <phoneticPr fontId="2" type="noConversion"/>
  </si>
  <si>
    <t>大蒜恐惧症（Alliumphobia）：对大蒜的恐惧。</t>
    <phoneticPr fontId="2" type="noConversion"/>
  </si>
  <si>
    <t>乘车恐惧症（Amaxophobia）：对于乘坐地面载具的恐惧。</t>
    <phoneticPr fontId="2" type="noConversion"/>
  </si>
  <si>
    <t>恐风症（Ancraophobia）：对风的恐惧。</t>
    <phoneticPr fontId="2" type="noConversion"/>
  </si>
  <si>
    <t>男性恐惧症（Androphobia）：对于成年男性的恐惧。</t>
    <phoneticPr fontId="2" type="noConversion"/>
  </si>
  <si>
    <t>恐英症（Anglophobia）：对英格兰或英格兰文化的恐惧。</t>
    <phoneticPr fontId="2" type="noConversion"/>
  </si>
  <si>
    <t>恐花症（Anthophobia）：对花的恐惧。</t>
    <phoneticPr fontId="2" type="noConversion"/>
  </si>
  <si>
    <t>截肢者恐惧症（Apotemnophobia）：对截肢者的恐惧。</t>
    <phoneticPr fontId="2" type="noConversion"/>
  </si>
  <si>
    <t>蜘蛛恐惧症（Arachnophobia）：对蜘蛛的恐惧。</t>
    <phoneticPr fontId="2" type="noConversion"/>
  </si>
  <si>
    <t>闪电恐惧症（Astraphobia）：对闪电的恐惧。</t>
    <phoneticPr fontId="2" type="noConversion"/>
  </si>
  <si>
    <t>动物恐惧症（Zoophobia）：对动物的恐惧。</t>
    <phoneticPr fontId="2" type="noConversion"/>
  </si>
  <si>
    <t>异域恐惧症（Xenophobia）：对陌生人或外国人的恐惧。</t>
    <phoneticPr fontId="2" type="noConversion"/>
  </si>
  <si>
    <t>外语恐惧症（Xenoglossophobia）：对外语的恐惧。</t>
    <phoneticPr fontId="2" type="noConversion"/>
  </si>
  <si>
    <t>黄色恐惧症（Xanthophobia）：对黄色或“黄”字的恐惧。</t>
    <phoneticPr fontId="2" type="noConversion"/>
  </si>
  <si>
    <t>女巫恐惧症（Wiccaphobia）：对女巫与巫术的恐惧。</t>
    <phoneticPr fontId="2" type="noConversion"/>
  </si>
  <si>
    <t>衣物恐惧症（Vestiphobia）：对衣物的恐惧。</t>
    <phoneticPr fontId="2" type="noConversion"/>
  </si>
  <si>
    <t>十三恐惧症（Triskadekaphobia）：对数字 13 的恐惧症。</t>
    <phoneticPr fontId="2" type="noConversion"/>
  </si>
  <si>
    <t>手术恐惧症（Tomophobia）：对外科手术的恐惧。</t>
    <phoneticPr fontId="2" type="noConversion"/>
  </si>
  <si>
    <t>深海恐惧症（Thalassophobia）：对海洋的恐惧。</t>
    <phoneticPr fontId="2" type="noConversion"/>
  </si>
  <si>
    <t>怪物恐惧症①（Teratophobia）：对怪物的恐惧。</t>
    <phoneticPr fontId="2" type="noConversion"/>
  </si>
  <si>
    <t>电话恐惧症（Telephonophobia）：对电话的恐惧。</t>
    <phoneticPr fontId="2" type="noConversion"/>
  </si>
  <si>
    <t>公牛恐惧症（Taurophobia）：对公牛的恐惧。</t>
    <phoneticPr fontId="2" type="noConversion"/>
  </si>
  <si>
    <t>活埋恐惧症（Taphephobia）：对于被活埋或墓地的恐惧。</t>
    <phoneticPr fontId="2" type="noConversion"/>
  </si>
  <si>
    <t>对称恐惧症（Symmetrophobia）：对对称的恐惧。</t>
    <phoneticPr fontId="2" type="noConversion"/>
  </si>
  <si>
    <t>狭室恐惧症（Stenophobia）：对狭小物件或地点的恐惧。</t>
    <phoneticPr fontId="2" type="noConversion"/>
  </si>
  <si>
    <t>恐星症（Siderophobia）：对星星的恐惧。</t>
    <phoneticPr fontId="2" type="noConversion"/>
  </si>
  <si>
    <t>火车恐惧症（Siderodromophobia）：对于乘坐火车出行的恐惧。</t>
    <phoneticPr fontId="2" type="noConversion"/>
  </si>
  <si>
    <t>恐月症（Selenophobia）：对月亮的恐惧。</t>
    <phoneticPr fontId="2" type="noConversion"/>
  </si>
  <si>
    <t>黑暗恐惧症（Scotophobia）：对黑暗或夜晚的恐惧。</t>
    <phoneticPr fontId="2" type="noConversion"/>
  </si>
  <si>
    <t>魔法恐惧症（Rhabdophobia）：对魔法的恐惧。</t>
    <phoneticPr fontId="2" type="noConversion"/>
  </si>
  <si>
    <t>恐火症（Pyrophobia）：对火的恐惧。</t>
    <phoneticPr fontId="2" type="noConversion"/>
  </si>
  <si>
    <t>酒精恐惧症（Potophobia）：对酒或酒精的恐惧。</t>
    <phoneticPr fontId="2" type="noConversion"/>
  </si>
  <si>
    <t>河流恐惧症（Potamophobia）：对河流的恐惧。</t>
    <phoneticPr fontId="2" type="noConversion"/>
  </si>
  <si>
    <t>胡须恐惧症（Pogonophobia）：对胡须的恐惧。</t>
    <phoneticPr fontId="2" type="noConversion"/>
  </si>
  <si>
    <t>日光恐惧症（Phenogophobia）：对日光的恐惧。</t>
    <phoneticPr fontId="2" type="noConversion"/>
  </si>
  <si>
    <t>幽灵恐惧症（Phasmophobia）：对鬼魂的恐惧。</t>
    <phoneticPr fontId="2" type="noConversion"/>
  </si>
  <si>
    <t>药物恐惧症（Pharmacophobia）：对药物的恐惧。</t>
    <phoneticPr fontId="2" type="noConversion"/>
  </si>
  <si>
    <t>吞咽恐惧症（Phagophobia）：对于吞咽或被吞咽的恐惧。</t>
    <phoneticPr fontId="2" type="noConversion"/>
  </si>
  <si>
    <t>人偶恐惧症（Pediophobia）：对人偶的恐惧。</t>
    <phoneticPr fontId="2" type="noConversion"/>
  </si>
  <si>
    <t>寄生虫恐惧症（Parasitophobia）：对寄生虫的恐惧。</t>
    <phoneticPr fontId="2" type="noConversion"/>
  </si>
  <si>
    <t>恐鸟症（Ornithophobia）：对鸟的恐惧。</t>
    <phoneticPr fontId="2" type="noConversion"/>
  </si>
  <si>
    <t>恐蛇症（Ophidiophobia）：对蛇的恐惧。</t>
    <phoneticPr fontId="2" type="noConversion"/>
  </si>
  <si>
    <t>称呼恐惧症（Onomatophobia）：对于特定词语的恐惧。</t>
    <phoneticPr fontId="2" type="noConversion"/>
  </si>
  <si>
    <t>恐梦症（Oneirophobia）：对梦境的恐惧。</t>
    <phoneticPr fontId="2" type="noConversion"/>
  </si>
  <si>
    <t>恐牙症（Odontophobia）：对牙齿的恐惧。</t>
    <phoneticPr fontId="2" type="noConversion"/>
  </si>
  <si>
    <t>尸体恐惧症（Necrophobia）：对尸体的恐惧。</t>
    <phoneticPr fontId="2" type="noConversion"/>
  </si>
  <si>
    <t>数字8恐惧症（Octophobia）：对数字 8 的恐惧。</t>
    <phoneticPr fontId="2" type="noConversion"/>
  </si>
  <si>
    <t>黏液恐惧症（Myxophobia）：对黏液（史莱姆）的恐惧。</t>
    <phoneticPr fontId="2" type="noConversion"/>
  </si>
  <si>
    <t>不洁恐惧症（Mysophobia）：对污垢或污染的恐惧。</t>
    <phoneticPr fontId="2" type="noConversion"/>
  </si>
  <si>
    <t>孤独恐惧症（Monophobia）：对于一人独处的恐惧。</t>
    <phoneticPr fontId="2" type="noConversion"/>
  </si>
  <si>
    <t>流星恐惧症（Meteorophobia）：对流星或陨石的恐惧。</t>
    <phoneticPr fontId="2" type="noConversion"/>
  </si>
  <si>
    <t>捆绑恐惧症（Merinthophobia）：对于被捆绑或紧缚的恐惧。</t>
    <phoneticPr fontId="2" type="noConversion"/>
  </si>
  <si>
    <t>巨物恐惧症（Megalophobia）：对于庞大物件的恐惧。</t>
    <phoneticPr fontId="2" type="noConversion"/>
  </si>
  <si>
    <t>机械恐惧症（Mechanophobia）：对机器或机械的恐惧。</t>
    <phoneticPr fontId="2" type="noConversion"/>
  </si>
  <si>
    <t>恐湖症（Limnophobia）：对湖泊的恐惧。</t>
    <phoneticPr fontId="2" type="noConversion"/>
  </si>
  <si>
    <t>噪音恐惧症（Ligyrophobia）：对刺耳噪音的恐惧。</t>
    <phoneticPr fontId="2" type="noConversion"/>
  </si>
  <si>
    <t>蔬菜恐惧症（Lachanophobia）：对蔬菜的恐惧。</t>
    <phoneticPr fontId="2" type="noConversion"/>
  </si>
  <si>
    <t>雷鸣恐惧症（Keraunophobia）：对雷声的恐惧。</t>
    <phoneticPr fontId="2" type="noConversion"/>
  </si>
  <si>
    <t>蟑螂恐惧症（Katsaridaphobia）：对蟑螂的恐惧。</t>
    <phoneticPr fontId="2" type="noConversion"/>
  </si>
  <si>
    <t>鱼类恐惧症（Ichthyophobia）：对鱼的恐惧。</t>
    <phoneticPr fontId="2" type="noConversion"/>
  </si>
  <si>
    <t>白袍恐惧症（Iatrophobia）：对医生的恐惧。</t>
    <phoneticPr fontId="2" type="noConversion"/>
  </si>
  <si>
    <t>催眠恐惧症①（Hypnophobia）：对于睡眠或被催眠的恐惧。</t>
    <phoneticPr fontId="2" type="noConversion"/>
  </si>
  <si>
    <t>恐水症（Hydrophobia）：对水的恐惧。</t>
    <phoneticPr fontId="2" type="noConversion"/>
  </si>
  <si>
    <t>火器恐惧症（Hoplophobia）：对火器的恐惧。</t>
    <phoneticPr fontId="2" type="noConversion"/>
  </si>
  <si>
    <t>迷雾恐惧症（Homichlophobia）：对雾的恐惧。</t>
    <phoneticPr fontId="2" type="noConversion"/>
  </si>
  <si>
    <t>爬虫恐惧症（Herpetophobia）：对爬行动物的恐惧。</t>
    <phoneticPr fontId="2" type="noConversion"/>
  </si>
  <si>
    <t>触摸恐惧症（Haphophobia）：对于被触摸的恐惧。</t>
    <phoneticPr fontId="2" type="noConversion"/>
  </si>
  <si>
    <t>宗教罪行恐惧症（Hamartophobia）：对宗教罪行的恐惧。</t>
    <phoneticPr fontId="2" type="noConversion"/>
  </si>
  <si>
    <t>恐血症（Haemaphobia）：对血的恐惧。</t>
    <phoneticPr fontId="2" type="noConversion"/>
  </si>
  <si>
    <t>恐女症（Gynophobia）：对女性的恐惧。</t>
    <phoneticPr fontId="2" type="noConversion"/>
  </si>
  <si>
    <t>恐老症（Gerontophobia）：对于老年人或变老的恐惧。</t>
    <phoneticPr fontId="2" type="noConversion"/>
  </si>
  <si>
    <t>过桥恐惧症（Gephyrophobia）：对于过桥的恐惧。</t>
    <phoneticPr fontId="2" type="noConversion"/>
  </si>
  <si>
    <t>恐猫症（Felinophobia）：对猫的恐惧。</t>
    <phoneticPr fontId="2" type="noConversion"/>
  </si>
  <si>
    <t>昆虫恐惧症（Entomophobia）：对昆虫的恐惧。</t>
    <phoneticPr fontId="2" type="noConversion"/>
  </si>
  <si>
    <t>针尖恐惧症（Enetophobia）：对针或大头针的恐惧。</t>
    <phoneticPr fontId="2" type="noConversion"/>
  </si>
  <si>
    <t>镜子恐惧症（Eisoptrophobia）：对镜子的恐惧。</t>
    <phoneticPr fontId="2" type="noConversion"/>
  </si>
  <si>
    <t>教堂恐惧症（Ecclesiophobia）：对教堂的恐惧。</t>
    <phoneticPr fontId="2" type="noConversion"/>
  </si>
  <si>
    <t>过马路恐惧症（Dromophobia）：对于过马路的恐惧。</t>
    <phoneticPr fontId="2" type="noConversion"/>
  </si>
  <si>
    <t>皮毛恐惧症（Doraphobia）：对动物皮毛的恐惧。</t>
    <phoneticPr fontId="2" type="noConversion"/>
  </si>
  <si>
    <t>丢弃恐惧症（Disposophobia）：对于丢弃物件的恐惧（贮藏癖）。</t>
    <phoneticPr fontId="2" type="noConversion"/>
  </si>
  <si>
    <t>牙科恐惧症①（Dentophobia）：对牙医的恐惧。</t>
    <phoneticPr fontId="2" type="noConversion"/>
  </si>
  <si>
    <t>人群恐惧症（Demophobia）：对人群的恐惧。</t>
    <phoneticPr fontId="2" type="noConversion"/>
  </si>
  <si>
    <t>恶魔恐惧症（Demonophobia）：对邪灵或恶魔的恐惧。</t>
    <phoneticPr fontId="2" type="noConversion"/>
  </si>
  <si>
    <t>恐犬症（Cynophobia）：对狗的恐惧。</t>
    <phoneticPr fontId="2" type="noConversion"/>
  </si>
  <si>
    <t>小丑恐惧症（Coulrophobia）：对小丑的恐惧。</t>
    <phoneticPr fontId="2" type="noConversion"/>
  </si>
  <si>
    <t>幽闭恐惧症（Claustrophobia）：对于处在封闭的空间中的恐惧。</t>
    <phoneticPr fontId="2" type="noConversion"/>
  </si>
  <si>
    <t>恐钟表症（Chronomentrophobia）：对于钟表的恐惧。</t>
    <phoneticPr fontId="2" type="noConversion"/>
  </si>
  <si>
    <t>寒冷恐惧症（Cheimaphobia）：对寒冷的恐惧。</t>
    <phoneticPr fontId="2" type="noConversion"/>
  </si>
  <si>
    <t>美女恐惧症（Caligynephobia）：对美貌女性的恐惧。</t>
    <phoneticPr fontId="2" type="noConversion"/>
  </si>
  <si>
    <t>植物恐惧症（Botanophobia）：对植物的恐惧。</t>
    <phoneticPr fontId="2" type="noConversion"/>
  </si>
  <si>
    <t>书籍恐惧症（Bibliophobia）：对书籍的恐惧。</t>
    <phoneticPr fontId="2" type="noConversion"/>
  </si>
  <si>
    <t>跌落恐惧症（Basophobia）：对于跌倒或摔落的恐惧。</t>
    <phoneticPr fontId="2" type="noConversion"/>
  </si>
  <si>
    <t>导弹/子弹恐惧症（Ballistophobia）：对导弹或子弹的恐惧。</t>
    <phoneticPr fontId="2" type="noConversion"/>
  </si>
  <si>
    <t>细菌恐惧症（Bacteriophobia）：对细菌的恐惧。</t>
    <phoneticPr fontId="2" type="noConversion"/>
  </si>
  <si>
    <t>长笛恐惧症（Aulophobia）：对长笛的恐惧。</t>
    <phoneticPr fontId="2" type="noConversion"/>
  </si>
  <si>
    <t>废墟恐惧症（Atephobia）：对遗迹或残址的恐惧。</t>
    <phoneticPr fontId="2" type="noConversion"/>
  </si>
  <si>
    <t>沐浴癖（Ablutomania）：执着于清洗自己。</t>
    <phoneticPr fontId="2" type="noConversion"/>
  </si>
  <si>
    <t>犹豫癖（Aboulomania）：病态地犹豫不定。</t>
    <phoneticPr fontId="2" type="noConversion"/>
  </si>
  <si>
    <t>喜暗狂（Achluomania）：对黑暗的过度热爱。</t>
    <phoneticPr fontId="2" type="noConversion"/>
  </si>
  <si>
    <t>喜高狂（Acromaniaheights）：狂热迷恋高处。</t>
    <phoneticPr fontId="2" type="noConversion"/>
  </si>
  <si>
    <t>亲切癖（Agathomania）：病态地对他人友好。</t>
    <phoneticPr fontId="2" type="noConversion"/>
  </si>
  <si>
    <t>喜旷症（Agromania）：强烈地倾向于待在开阔空间中。</t>
    <phoneticPr fontId="2" type="noConversion"/>
  </si>
  <si>
    <t>喜尖狂（Aichmomania）：痴迷于尖锐或锋利的物体。</t>
    <phoneticPr fontId="2" type="noConversion"/>
  </si>
  <si>
    <t>恋猫狂（Ailuromania）：近乎病态地对猫友善。</t>
    <phoneticPr fontId="2" type="noConversion"/>
  </si>
  <si>
    <t>疼痛癖（Algomania）：痴迷于疼痛。</t>
    <phoneticPr fontId="2" type="noConversion"/>
  </si>
  <si>
    <t>喜蒜狂（Alliomania）：痴迷于大蒜。</t>
    <phoneticPr fontId="2" type="noConversion"/>
  </si>
  <si>
    <t>乘车癖（Amaxomania）：痴迷于乘坐车辆。</t>
    <phoneticPr fontId="2" type="noConversion"/>
  </si>
  <si>
    <t>欣快癖（Amenomania）：不正常地感到喜悦。</t>
    <phoneticPr fontId="2" type="noConversion"/>
  </si>
  <si>
    <t>喜花狂（Anthomania）：痴迷于花朵。</t>
    <phoneticPr fontId="2" type="noConversion"/>
  </si>
  <si>
    <t>计算癖（Arithmomania）：狂热地痴迷于数字。</t>
    <phoneticPr fontId="2" type="noConversion"/>
  </si>
  <si>
    <t>消费癖（Asoticamania）：鲁莽冲动地消费。</t>
    <phoneticPr fontId="2" type="noConversion"/>
  </si>
  <si>
    <t>隐居癖*（Automania）：过度地热爱独自隐居。（原文如此，存疑，Automania 实际上是恋车癖）</t>
    <phoneticPr fontId="2" type="noConversion"/>
  </si>
  <si>
    <t>芭蕾癖（Balletmania）：痴迷于芭蕾舞。</t>
    <phoneticPr fontId="2" type="noConversion"/>
  </si>
  <si>
    <t>窃书癖（Biliokleptomania）：无法克制偷窃书籍的冲动。</t>
    <phoneticPr fontId="2" type="noConversion"/>
  </si>
  <si>
    <t>恋书狂（Bibliomania）：痴迷于书籍和/或阅读</t>
    <phoneticPr fontId="2" type="noConversion"/>
  </si>
  <si>
    <t>磨牙癖（Bruxomania）：无法克制磨牙的冲动。</t>
    <phoneticPr fontId="2" type="noConversion"/>
  </si>
  <si>
    <t>灵臆症（Cacodemomania）：病态地坚信自己已被一个邪恶的灵体占据。</t>
    <phoneticPr fontId="2" type="noConversion"/>
  </si>
  <si>
    <t>美貌狂（Callomania）：痴迷于自身的美貌。</t>
    <phoneticPr fontId="2" type="noConversion"/>
  </si>
  <si>
    <t>地图狂（Cartacoethes）：在何时何处都无法控制查阅地图的冲动。</t>
    <phoneticPr fontId="2" type="noConversion"/>
  </si>
  <si>
    <t>跳跃狂（Catapedamania）：痴迷于从高处跳下。</t>
    <phoneticPr fontId="2" type="noConversion"/>
  </si>
  <si>
    <t>喜冷症（Cheimatomania）：对寒冷或寒冷的物体的反常喜爱。</t>
    <phoneticPr fontId="2" type="noConversion"/>
  </si>
  <si>
    <t>舞蹈狂（Choreomania）：无法控制地起舞或发颤。</t>
    <phoneticPr fontId="2" type="noConversion"/>
  </si>
  <si>
    <t>恋床癖（Clinomania）：过度地热爱待在床上。</t>
    <phoneticPr fontId="2" type="noConversion"/>
  </si>
  <si>
    <t>恋墓狂（Coimetormania）：痴迷于墓地。</t>
    <phoneticPr fontId="2" type="noConversion"/>
  </si>
  <si>
    <t>色彩狂（Coloromania）：痴迷于某种颜色。</t>
    <phoneticPr fontId="2" type="noConversion"/>
  </si>
  <si>
    <t>小丑狂（Coulromania）：痴迷于小丑。</t>
    <phoneticPr fontId="2" type="noConversion"/>
  </si>
  <si>
    <t>恐惧狂（Countermania）：执着于经历恐怖的场面。</t>
    <phoneticPr fontId="2" type="noConversion"/>
  </si>
  <si>
    <t>杀戮癖（Dacnomania）：痴迷于杀戮。</t>
    <phoneticPr fontId="2" type="noConversion"/>
  </si>
  <si>
    <t>魔臆症（Demonomania）：病态地坚信自己已被恶魔附身。</t>
    <phoneticPr fontId="2" type="noConversion"/>
  </si>
  <si>
    <t>抓挠癖（Dermatillomania）：执着于抓挠自己的皮肤。</t>
    <phoneticPr fontId="2" type="noConversion"/>
  </si>
  <si>
    <t>正义狂（Dikemania）：痴迷于目睹正义被伸张。</t>
    <phoneticPr fontId="2" type="noConversion"/>
  </si>
  <si>
    <t>嗜酒狂（Dipsomania）：反常地渴求酒精。</t>
    <phoneticPr fontId="2" type="noConversion"/>
  </si>
  <si>
    <t>毛皮狂（Doramania）：痴迷于拥有毛皮。（存疑）</t>
    <phoneticPr fontId="2" type="noConversion"/>
  </si>
  <si>
    <t>喜兽癖（Zoomania）：对待动物的态度近乎疯狂地友好。</t>
    <phoneticPr fontId="2" type="noConversion"/>
  </si>
  <si>
    <t>嗜外狂（Xenomania）：痴迷于异国的事物。</t>
    <phoneticPr fontId="2" type="noConversion"/>
  </si>
  <si>
    <t>臆盲症（Typhlomania）：病理性的失明。</t>
    <phoneticPr fontId="2" type="noConversion"/>
  </si>
  <si>
    <t>拔毛癖（Trichotillomania）：执着于拔下自己的头发。</t>
    <phoneticPr fontId="2" type="noConversion"/>
  </si>
  <si>
    <t>手术狂（Tomomania）：对进行手术的不正常爱好。</t>
    <phoneticPr fontId="2" type="noConversion"/>
  </si>
  <si>
    <t>抓挠癖（Titillomaniac）：抓挠自己的强迫倾向。</t>
    <phoneticPr fontId="2" type="noConversion"/>
  </si>
  <si>
    <t>臆神狂（Theomania）：坚信自己是一位神灵。</t>
    <phoneticPr fontId="2" type="noConversion"/>
  </si>
  <si>
    <t>臆咒狂（Thanatomania）：坚信自己已被某种死亡魔法所诅咒。</t>
    <phoneticPr fontId="2" type="noConversion"/>
  </si>
  <si>
    <t>科技狂（Technomania）：痴迷于新的科技。</t>
    <phoneticPr fontId="2" type="noConversion"/>
  </si>
  <si>
    <t>臆智症（Sophomania）：臆想自己拥有难以置信的智慧。</t>
    <phoneticPr fontId="2" type="noConversion"/>
  </si>
  <si>
    <t>列车狂（Siderodromomania）：认为火车或类似的依靠轨道交通的旅行方式充满魅力。</t>
    <phoneticPr fontId="2" type="noConversion"/>
  </si>
  <si>
    <t>涂鸦癖（Scribbleomania）：沉迷于涂鸦。</t>
    <phoneticPr fontId="2" type="noConversion"/>
  </si>
  <si>
    <t>挖鼻癖（Rhinotillexomania）：执着于挖鼻子。</t>
    <phoneticPr fontId="2" type="noConversion"/>
  </si>
  <si>
    <t>提问狂（Questiong-Asking Mania）：执着于提问。</t>
    <phoneticPr fontId="2" type="noConversion"/>
  </si>
  <si>
    <t>纵火狂（Pyromania）：执着于纵火。</t>
    <phoneticPr fontId="2" type="noConversion"/>
  </si>
  <si>
    <t>欺骗狂（Pseudomania）：无法抑制的执着于撒谎。</t>
    <phoneticPr fontId="2" type="noConversion"/>
  </si>
  <si>
    <t>求财癖（Plutomania）：对财富的强迫性的渴望。</t>
    <phoneticPr fontId="2" type="noConversion"/>
  </si>
  <si>
    <t>背德癖（Planomania）：病态地渴求违背社会道德（原文如此，存疑，Planomania 实际上是漂泊症）</t>
    <phoneticPr fontId="2" type="noConversion"/>
  </si>
  <si>
    <t>渴光癖（Photomania）：对光的病态渴求。</t>
    <phoneticPr fontId="2" type="noConversion"/>
  </si>
  <si>
    <t>谋杀癖（Phonomania）：病态的谋杀倾向。</t>
    <phoneticPr fontId="2" type="noConversion"/>
  </si>
  <si>
    <t>幽灵狂（Phasmomania）：痴迷于幽灵。</t>
    <phoneticPr fontId="2" type="noConversion"/>
  </si>
  <si>
    <t>面具狂（Personamania）：执着于佩戴面具。</t>
    <phoneticPr fontId="2" type="noConversion"/>
  </si>
  <si>
    <t>抱怨癖（Paramania）：一种在抱怨时产生的近乎病态的愉悦感。</t>
    <phoneticPr fontId="2" type="noConversion"/>
  </si>
  <si>
    <t>恋食癖（Opsomania）：对某种食物的病态热爱。</t>
    <phoneticPr fontId="2" type="noConversion"/>
  </si>
  <si>
    <t>剔指癖（Onychotillomania）：执着于剔指甲。</t>
    <phoneticPr fontId="2" type="noConversion"/>
  </si>
  <si>
    <t>称名癖（Onomatomania）：无法抑制地不断重复某个词语的冲动。</t>
    <phoneticPr fontId="2" type="noConversion"/>
  </si>
  <si>
    <t>恋名狂（Onomamania）：痴迷于名字（人物的、地点的、事物的）</t>
    <phoneticPr fontId="2" type="noConversion"/>
  </si>
  <si>
    <t>记录癖（Notomania）：执着于记录一切事物（例如摄影）</t>
    <phoneticPr fontId="2" type="noConversion"/>
  </si>
  <si>
    <t>臆想症（Nosomania）：妄想自己正在被某种臆想出的疾病折磨。</t>
    <phoneticPr fontId="2" type="noConversion"/>
  </si>
  <si>
    <t>夸大癖（Mythomania）：以一种近乎病态的程度说谎或夸大事物。</t>
    <phoneticPr fontId="2" type="noConversion"/>
  </si>
  <si>
    <t>偏执狂（Monomania）：近乎病态地痴迷与专注某个特定的想法或创意。</t>
    <phoneticPr fontId="2" type="noConversion"/>
  </si>
  <si>
    <t>憎恨癖（Misomania）：憎恨一切事物，痴迷于憎恨某个事物或团体。</t>
    <phoneticPr fontId="2" type="noConversion"/>
  </si>
  <si>
    <t>作诗癖（Metromania）：无法抑制地想要不停作诗。</t>
    <phoneticPr fontId="2" type="noConversion"/>
  </si>
  <si>
    <t>旋律狂（Melomania）：痴迷于音乐或一段特定的旋律。</t>
    <phoneticPr fontId="2" type="noConversion"/>
  </si>
  <si>
    <t>巨石狂（Megalithomania）：当站在石环中或立起的巨石旁时，就会近乎病态地写出各种奇怪的创意。</t>
    <phoneticPr fontId="2" type="noConversion"/>
  </si>
  <si>
    <t>抑郁症（Lypemania）：近乎病态的重度抑郁倾向。</t>
    <phoneticPr fontId="2" type="noConversion"/>
  </si>
  <si>
    <t>彩票狂（Lotterymania）：极端地执着于购买彩票。</t>
    <phoneticPr fontId="2" type="noConversion"/>
  </si>
  <si>
    <t>喜线癖（Linonomania）：痴迷于线绳。</t>
    <phoneticPr fontId="2" type="noConversion"/>
  </si>
  <si>
    <t>噪音癖（Ligyromania）：无法自制地执着于制造响亮或刺耳的噪音。</t>
    <phoneticPr fontId="2" type="noConversion"/>
  </si>
  <si>
    <t>偷窃癖（Kleptomania）：反常地执着于偷窃。</t>
    <phoneticPr fontId="2" type="noConversion"/>
  </si>
  <si>
    <t>射击狂（Klazomania）：反常地执着于射击。</t>
    <phoneticPr fontId="2" type="noConversion"/>
  </si>
  <si>
    <t>信息狂（Infomania）：痴迷于积累各种信息与资讯。</t>
    <phoneticPr fontId="2" type="noConversion"/>
  </si>
  <si>
    <t>偶像狂（Idolomania）：痴迷于甚至愿献身于某个偶像。</t>
    <phoneticPr fontId="2" type="noConversion"/>
  </si>
  <si>
    <t>图标狂（Iconomania）：痴迷于图标与肖像</t>
    <phoneticPr fontId="2" type="noConversion"/>
  </si>
  <si>
    <t>喜鱼癖（Ichthyomania）：痴迷于鱼类。</t>
    <phoneticPr fontId="2" type="noConversion"/>
  </si>
  <si>
    <t>饮水狂（Hydromania）：反常地渴求水分。</t>
    <phoneticPr fontId="2" type="noConversion"/>
  </si>
  <si>
    <t>枪械狂（Hoplomania）：痴迷于火器。</t>
    <phoneticPr fontId="2" type="noConversion"/>
  </si>
  <si>
    <t>蠕虫狂（Helminthomania）：过度地喜爱蠕虫。</t>
    <phoneticPr fontId="2" type="noConversion"/>
  </si>
  <si>
    <t>妄想狂（Habromania）：近乎病态地充满愉快的妄想（而不顾现实状况如何）。</t>
    <phoneticPr fontId="2" type="noConversion"/>
  </si>
  <si>
    <t>裸体狂（Gymnomania）：执着于裸露身体。</t>
    <phoneticPr fontId="2" type="noConversion"/>
  </si>
  <si>
    <t>写作癖（Graphomania）：痴迷于将每一件事写下来。</t>
    <phoneticPr fontId="2" type="noConversion"/>
  </si>
  <si>
    <t>巫术狂（Goetomania）：痴迷于女巫与巫术。</t>
    <phoneticPr fontId="2" type="noConversion"/>
  </si>
  <si>
    <t>狂笑癖（Geliomania）：无法自制地，强迫性的大笑。</t>
    <phoneticPr fontId="2" type="noConversion"/>
  </si>
  <si>
    <t>求婚狂（Gamomania）：痴迷于进行奇特的求婚。</t>
    <phoneticPr fontId="2" type="noConversion"/>
  </si>
  <si>
    <t>乙醚上瘾（Etheromania）：渴求乙醚。</t>
    <phoneticPr fontId="2" type="noConversion"/>
  </si>
  <si>
    <t>静止癖（Eremiomania）：执着于保持安静。</t>
    <phoneticPr fontId="2" type="noConversion"/>
  </si>
  <si>
    <t>学识狂（Epistemomania）：痴迷于获取学识。</t>
    <phoneticPr fontId="2" type="noConversion"/>
  </si>
  <si>
    <t>臆罪症（Enosimania）：病态地坚信自己带有罪孽。</t>
    <phoneticPr fontId="2" type="noConversion"/>
  </si>
  <si>
    <t>职业狂（Empleomania）：对于工作的无尽病态渴求。</t>
    <phoneticPr fontId="2" type="noConversion"/>
  </si>
  <si>
    <t>自恋狂（Egomania）：近乎病态地以自我为中心或自我崇拜。</t>
    <phoneticPr fontId="2" type="noConversion"/>
  </si>
  <si>
    <t>漫游癖（Ecdemiomania）：执着于四处漫游。</t>
    <phoneticPr fontId="2" type="noConversion"/>
  </si>
  <si>
    <t>漂泊症（Drapetomania）：执着于逃离。</t>
    <phoneticPr fontId="2" type="noConversion"/>
  </si>
  <si>
    <t>赠物癖（Doromania）：痴迷于赠送礼物。</t>
    <phoneticPr fontId="2" type="noConversion"/>
  </si>
  <si>
    <t>玩家</t>
    <phoneticPr fontId="2" type="noConversion"/>
  </si>
  <si>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phoneticPr fontId="2" type="noConversion"/>
  </si>
  <si>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phoneticPr fontId="2" type="noConversion"/>
  </si>
  <si>
    <t>阔剑地雷：这种武器的弹道是密集的射束流，其杀伤范围为 120 度。</t>
    <phoneticPr fontId="2" type="noConversion"/>
  </si>
  <si>
    <t>莫兰上校的气动步枪：靠压缩空气发射，不需要火药，因而比较安静。</t>
    <phoneticPr fontId="2" type="noConversion"/>
  </si>
  <si>
    <t>炸药筒和手雷：每枚对 3 码之内的物体造成4D10 点伤害，（超过 3 码且在）6 码之内的造成 2D10点伤害，（超过 6 码且在）9 码之内的造成 1D10 点伤害。</t>
    <phoneticPr fontId="2" type="noConversion"/>
  </si>
  <si>
    <t>绞索：目标需要用一个战技摆脱，否则每轮受到 1D6 点伤害。只对人类和相近的对手有效。</t>
    <phoneticPr fontId="2" type="noConversion"/>
  </si>
  <si>
    <t>速射机枪：装在直升机上的加特林机枪。要不经过安装直接使用，使用者必须达到体格 2。</t>
    <phoneticPr fontId="2" type="noConversion"/>
  </si>
  <si>
    <t>催泪瓦斯：至近攻击规则无效；目标须通过一个 DEX 五分之一的检定否则暂时目盲。只对人类和相近的对手有效。</t>
    <phoneticPr fontId="2" type="noConversion"/>
  </si>
  <si>
    <t>电击枪：仅对体格 2 及以下的目标有效，目标在 1D6 回合内不能行动（或 KP 决定)</t>
    <phoneticPr fontId="2" type="noConversion"/>
  </si>
  <si>
    <t>想复制文字请先粘贴到txt内</t>
    <phoneticPr fontId="2" type="noConversion"/>
  </si>
  <si>
    <t>疯狂发作—即时症状</t>
    <phoneticPr fontId="2" type="noConversion"/>
  </si>
  <si>
    <t>疯狂发作—总结症状</t>
    <phoneticPr fontId="2" type="noConversion"/>
  </si>
  <si>
    <t>失忆：回过神来，调查员们发现自己身处一个陌生的地方，并忘记了自己是谁。记忆会随时间恢复。</t>
    <phoneticPr fontId="2" type="noConversion"/>
  </si>
  <si>
    <t>被窃：调查员在 1D10 小时后恢复清醒，发觉自己被盗，身体毫发无损。如果调查员携带着宝贵之物（见调查员背景），做幸运检定来决定其是否被盗。所有有价值的东西无需检定自动消失。</t>
    <phoneticPr fontId="2" type="noConversion"/>
  </si>
  <si>
    <t>遍体鳞伤：调查员在 1D10 小时后恢复清醒，发现自己身上满是拳痕和瘀伤。生命值减少到疯狂前的一半，但这不会造成重伤。调查员没有被窃。这种伤害如何持续到现在由守秘人决定。</t>
    <phoneticPr fontId="2" type="noConversion"/>
  </si>
  <si>
    <t>暴力倾向：调查员陷入强烈的暴力与破坏欲之中。调查员回过神来可能会理解自己做了什么也可能毫无印象。调查员对谁或何物施以暴力，他们是杀人还是仅仅造成了伤害，由守秘人决定。</t>
    <phoneticPr fontId="2" type="noConversion"/>
  </si>
  <si>
    <t>极端信念：查看调查员背景中的思想信念，调查员会采取极端和疯狂的表现手段展示他们的思想信念之一。比如一个信教者会在地铁上高声布道。</t>
    <phoneticPr fontId="2" type="noConversion"/>
  </si>
  <si>
    <t>重要之人：考虑调查员背景中的重要之人，及其重要的原因。在 1D10 小时或更久的时间中，调查员将不顾一切地接近那个人，并为他们之间的关系做出行动。</t>
    <phoneticPr fontId="2" type="noConversion"/>
  </si>
  <si>
    <t>被收容：调查员在精神病院病房或警察局牢房中回过神来，他们可能会慢慢回想起导致自己被关在这里的事情。</t>
    <phoneticPr fontId="2" type="noConversion"/>
  </si>
  <si>
    <t>逃避行为：调查员恢复清醒时发现自己在很远的地方，也许迷失在荒郊野岭，或是在驶向远方的列车或长途汽车上。</t>
    <phoneticPr fontId="2" type="noConversion"/>
  </si>
  <si>
    <t>恐惧：调查员患上一个新的恐惧症状。在表Ⅸ：恐惧症状表上骰 1 个 D100 来决定症状，或由守秘人选择一个。调查员在 1D10 小时后回过神来，并开始为避开恐惧源而采取任何措施。</t>
    <phoneticPr fontId="2" type="noConversion"/>
  </si>
  <si>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phoneticPr fontId="2" type="noConversion"/>
  </si>
  <si>
    <t>标记</t>
    <phoneticPr fontId="2" type="noConversion"/>
  </si>
  <si>
    <t>1.6.1EX</t>
    <phoneticPr fontId="2" type="noConversion"/>
  </si>
  <si>
    <t>1.6.4EX（1.7.8）</t>
    <phoneticPr fontId="2" type="noConversion"/>
  </si>
  <si>
    <t>会计</t>
  </si>
  <si>
    <t>法律</t>
  </si>
  <si>
    <t>侦查</t>
  </si>
  <si>
    <t>格斗</t>
  </si>
  <si>
    <t>历史</t>
  </si>
  <si>
    <t>心理学</t>
  </si>
  <si>
    <t>医学</t>
  </si>
  <si>
    <t>估价</t>
  </si>
  <si>
    <t>射程</t>
    <phoneticPr fontId="2" type="noConversion"/>
  </si>
  <si>
    <t>次数</t>
    <phoneticPr fontId="2" type="noConversion"/>
  </si>
  <si>
    <t>故障值</t>
    <phoneticPr fontId="2" type="noConversion"/>
  </si>
  <si>
    <t>常见时代</t>
    <phoneticPr fontId="2" type="noConversion"/>
  </si>
  <si>
    <t>价格20s/现代($)</t>
    <phoneticPr fontId="2" type="noConversion"/>
  </si>
  <si>
    <t>投掷</t>
    <phoneticPr fontId="2" type="noConversion"/>
  </si>
  <si>
    <t>急救</t>
  </si>
  <si>
    <t>潜水</t>
  </si>
  <si>
    <t>魅惑</t>
  </si>
  <si>
    <t>法律</t>
    <phoneticPr fontId="2" type="noConversion"/>
  </si>
  <si>
    <t>聆听</t>
    <phoneticPr fontId="2" type="noConversion"/>
  </si>
  <si>
    <t>说服</t>
    <phoneticPr fontId="2" type="noConversion"/>
  </si>
  <si>
    <t>侦查</t>
    <phoneticPr fontId="2" type="noConversion"/>
  </si>
  <si>
    <t>闪避</t>
    <phoneticPr fontId="2" type="noConversion"/>
  </si>
  <si>
    <t>跳跃</t>
    <phoneticPr fontId="2" type="noConversion"/>
  </si>
  <si>
    <t>投掷</t>
    <phoneticPr fontId="2" type="noConversion"/>
  </si>
  <si>
    <t>游泳</t>
    <phoneticPr fontId="2" type="noConversion"/>
  </si>
  <si>
    <t>乔装</t>
    <phoneticPr fontId="2" type="noConversion"/>
  </si>
  <si>
    <t>历史</t>
    <phoneticPr fontId="2" type="noConversion"/>
  </si>
  <si>
    <t>心理学</t>
    <phoneticPr fontId="2" type="noConversion"/>
  </si>
  <si>
    <t>汽车驾驶</t>
    <phoneticPr fontId="2" type="noConversion"/>
  </si>
  <si>
    <t>潜行</t>
    <phoneticPr fontId="2" type="noConversion"/>
  </si>
  <si>
    <t>追踪</t>
    <phoneticPr fontId="2" type="noConversion"/>
  </si>
  <si>
    <t>医学</t>
    <phoneticPr fontId="2" type="noConversion"/>
  </si>
  <si>
    <t>精神分析</t>
    <phoneticPr fontId="2" type="noConversion"/>
  </si>
  <si>
    <t>估价</t>
    <phoneticPr fontId="2" type="noConversion"/>
  </si>
  <si>
    <t>导航</t>
    <phoneticPr fontId="2" type="noConversion"/>
  </si>
  <si>
    <t>机械维修</t>
    <phoneticPr fontId="2" type="noConversion"/>
  </si>
  <si>
    <t>母语</t>
    <phoneticPr fontId="2" type="noConversion"/>
  </si>
  <si>
    <t>急救</t>
    <phoneticPr fontId="2" type="noConversion"/>
  </si>
  <si>
    <t>骑乘</t>
    <phoneticPr fontId="2" type="noConversion"/>
  </si>
  <si>
    <t>恐吓</t>
    <phoneticPr fontId="2" type="noConversion"/>
  </si>
  <si>
    <t>电气维修</t>
    <phoneticPr fontId="2" type="noConversion"/>
  </si>
  <si>
    <t>锁匠</t>
    <phoneticPr fontId="2" type="noConversion"/>
  </si>
  <si>
    <t>操作重型机械</t>
    <phoneticPr fontId="2" type="noConversion"/>
  </si>
  <si>
    <t>攀爬</t>
    <phoneticPr fontId="2" type="noConversion"/>
  </si>
  <si>
    <t>聆听</t>
    <phoneticPr fontId="2" type="noConversion"/>
  </si>
  <si>
    <t>锁匠</t>
    <phoneticPr fontId="2" type="noConversion"/>
  </si>
  <si>
    <t>妙手</t>
    <phoneticPr fontId="2" type="noConversion"/>
  </si>
  <si>
    <t>潜行</t>
    <phoneticPr fontId="2" type="noConversion"/>
  </si>
  <si>
    <t>侦查</t>
    <phoneticPr fontId="2" type="noConversion"/>
  </si>
  <si>
    <t>心理学</t>
    <phoneticPr fontId="2" type="noConversion"/>
  </si>
  <si>
    <t>估价</t>
    <phoneticPr fontId="2" type="noConversion"/>
  </si>
  <si>
    <t>汽车驾驶</t>
    <phoneticPr fontId="2" type="noConversion"/>
  </si>
  <si>
    <t>历史</t>
    <phoneticPr fontId="2" type="noConversion"/>
  </si>
  <si>
    <t>导航</t>
    <phoneticPr fontId="2" type="noConversion"/>
  </si>
  <si>
    <t>跳跃</t>
    <phoneticPr fontId="2" type="noConversion"/>
  </si>
  <si>
    <t>神秘学</t>
    <phoneticPr fontId="2" type="noConversion"/>
  </si>
  <si>
    <t>机械维修</t>
    <phoneticPr fontId="2" type="noConversion"/>
  </si>
  <si>
    <t>骑乘</t>
    <phoneticPr fontId="2" type="noConversion"/>
  </si>
  <si>
    <t>急救</t>
    <phoneticPr fontId="2" type="noConversion"/>
  </si>
  <si>
    <t>游泳</t>
    <phoneticPr fontId="2" type="noConversion"/>
  </si>
  <si>
    <t>电气维修</t>
    <phoneticPr fontId="2" type="noConversion"/>
  </si>
  <si>
    <t>话术</t>
    <phoneticPr fontId="2" type="noConversion"/>
  </si>
  <si>
    <t>母语</t>
    <phoneticPr fontId="2" type="noConversion"/>
  </si>
  <si>
    <t>恐吓</t>
    <phoneticPr fontId="2" type="noConversion"/>
  </si>
  <si>
    <t>说服</t>
    <phoneticPr fontId="2" type="noConversion"/>
  </si>
  <si>
    <t>操作重型机械</t>
    <phoneticPr fontId="2" type="noConversion"/>
  </si>
  <si>
    <t>乔装</t>
    <phoneticPr fontId="2" type="noConversion"/>
  </si>
  <si>
    <t>追踪</t>
    <phoneticPr fontId="2" type="noConversion"/>
  </si>
  <si>
    <t>法律</t>
    <phoneticPr fontId="2" type="noConversion"/>
  </si>
  <si>
    <t>闪避</t>
    <phoneticPr fontId="2" type="noConversion"/>
  </si>
  <si>
    <t>医学</t>
    <phoneticPr fontId="2" type="noConversion"/>
  </si>
  <si>
    <t>攀爬</t>
    <phoneticPr fontId="2" type="noConversion"/>
  </si>
  <si>
    <t>精神分析</t>
    <phoneticPr fontId="2" type="noConversion"/>
  </si>
  <si>
    <t>语言</t>
    <phoneticPr fontId="2" type="noConversion"/>
  </si>
  <si>
    <t>会计</t>
    <phoneticPr fontId="2" type="noConversion"/>
  </si>
  <si>
    <t>任意特长</t>
  </si>
  <si>
    <t>任意特长</t>
    <phoneticPr fontId="2" type="noConversion"/>
  </si>
  <si>
    <t>任意特长</t>
    <phoneticPr fontId="2" type="noConversion"/>
  </si>
  <si>
    <t>社交技能</t>
  </si>
  <si>
    <t>社交技能</t>
    <phoneticPr fontId="2" type="noConversion"/>
  </si>
  <si>
    <t>任意特长</t>
    <phoneticPr fontId="2" type="noConversion"/>
  </si>
  <si>
    <t>任意特长</t>
    <phoneticPr fontId="2" type="noConversion"/>
  </si>
  <si>
    <t>社交技能</t>
    <phoneticPr fontId="2" type="noConversion"/>
  </si>
  <si>
    <t>任意特长</t>
    <phoneticPr fontId="2" type="noConversion"/>
  </si>
  <si>
    <t>侦查</t>
    <phoneticPr fontId="2" type="noConversion"/>
  </si>
  <si>
    <t>历史</t>
    <phoneticPr fontId="2" type="noConversion"/>
  </si>
  <si>
    <t>任意特长</t>
    <phoneticPr fontId="2" type="noConversion"/>
  </si>
  <si>
    <t>社交技能</t>
    <phoneticPr fontId="2" type="noConversion"/>
  </si>
  <si>
    <t>任意特长</t>
    <phoneticPr fontId="2" type="noConversion"/>
  </si>
  <si>
    <t>电气维修</t>
    <phoneticPr fontId="2" type="noConversion"/>
  </si>
  <si>
    <t>会计</t>
    <phoneticPr fontId="2" type="noConversion"/>
  </si>
  <si>
    <t>电气维修</t>
    <phoneticPr fontId="2" type="noConversion"/>
  </si>
  <si>
    <t>锁匠</t>
    <phoneticPr fontId="2" type="noConversion"/>
  </si>
  <si>
    <t>汽车驾驶</t>
    <phoneticPr fontId="2" type="noConversion"/>
  </si>
  <si>
    <t>任意特长</t>
    <phoneticPr fontId="2" type="noConversion"/>
  </si>
  <si>
    <t>社交技能</t>
    <phoneticPr fontId="2" type="noConversion"/>
  </si>
  <si>
    <t>耕作</t>
    <phoneticPr fontId="2" type="noConversion"/>
  </si>
  <si>
    <t>汽车驾驶</t>
    <phoneticPr fontId="2" type="noConversion"/>
  </si>
  <si>
    <t>妙手</t>
    <phoneticPr fontId="2" type="noConversion"/>
  </si>
  <si>
    <t>社交技能</t>
    <phoneticPr fontId="2" type="noConversion"/>
  </si>
  <si>
    <t>心理学</t>
    <phoneticPr fontId="2" type="noConversion"/>
  </si>
  <si>
    <t>侦查</t>
    <phoneticPr fontId="2" type="noConversion"/>
  </si>
  <si>
    <t>聆听</t>
    <phoneticPr fontId="2" type="noConversion"/>
  </si>
  <si>
    <t>攀爬</t>
    <phoneticPr fontId="2" type="noConversion"/>
  </si>
  <si>
    <t>汽车驾驶</t>
    <phoneticPr fontId="2" type="noConversion"/>
  </si>
  <si>
    <t>骑乘</t>
    <phoneticPr fontId="2" type="noConversion"/>
  </si>
  <si>
    <t>调整值</t>
    <phoneticPr fontId="2" type="noConversion"/>
  </si>
  <si>
    <t>幸运
Luck</t>
    <phoneticPr fontId="2" type="noConversion"/>
  </si>
  <si>
    <t>魔法
Magic Points</t>
    <phoneticPr fontId="2" type="noConversion"/>
  </si>
  <si>
    <t>使用技能</t>
  </si>
  <si>
    <t>伤害</t>
    <phoneticPr fontId="2" type="noConversion"/>
  </si>
  <si>
    <t>穿刺</t>
    <phoneticPr fontId="2" type="noConversion"/>
  </si>
  <si>
    <t>装弹量</t>
    <phoneticPr fontId="2" type="noConversion"/>
  </si>
  <si>
    <t>次数</t>
    <phoneticPr fontId="2" type="noConversion"/>
  </si>
  <si>
    <t>会计，法律，图书馆，聆听，说服，侦查，任意其他两项个人或时代特长。</t>
    <phoneticPr fontId="2" type="noConversion"/>
  </si>
  <si>
    <t>攀爬，闪避，跳跃，投掷，侦查，游泳，任意两项其他个人或时代特长。</t>
    <phoneticPr fontId="2" type="noConversion"/>
  </si>
  <si>
    <t>无</t>
    <phoneticPr fontId="2" type="noConversion"/>
  </si>
  <si>
    <t>图书馆使用</t>
  </si>
  <si>
    <t>弓箭</t>
    <phoneticPr fontId="2" type="noConversion"/>
  </si>
  <si>
    <t>1D6+半DB</t>
    <phoneticPr fontId="2" type="noConversion"/>
  </si>
  <si>
    <t>30码</t>
    <phoneticPr fontId="2" type="noConversion"/>
  </si>
  <si>
    <t>1</t>
    <phoneticPr fontId="2" type="noConversion"/>
  </si>
  <si>
    <t>1</t>
    <phoneticPr fontId="2" type="noConversion"/>
  </si>
  <si>
    <t>97</t>
    <phoneticPr fontId="2" type="noConversion"/>
  </si>
  <si>
    <t>1920s,现代</t>
    <phoneticPr fontId="2" type="noConversion"/>
  </si>
  <si>
    <t>7/75</t>
    <phoneticPr fontId="2" type="noConversion"/>
  </si>
  <si>
    <t>黄铜指虎</t>
    <phoneticPr fontId="2" type="noConversion"/>
  </si>
  <si>
    <t>1D3+1+DB</t>
    <phoneticPr fontId="2" type="noConversion"/>
  </si>
  <si>
    <t>接触</t>
    <phoneticPr fontId="2" type="noConversion"/>
  </si>
  <si>
    <t>1/10</t>
    <phoneticPr fontId="2" type="noConversion"/>
  </si>
  <si>
    <t>长鞭</t>
    <phoneticPr fontId="2" type="noConversion"/>
  </si>
  <si>
    <t>鞭子</t>
    <phoneticPr fontId="2" type="noConversion"/>
  </si>
  <si>
    <t>1D3+半DB</t>
    <phoneticPr fontId="2" type="noConversion"/>
  </si>
  <si>
    <t>10步</t>
    <phoneticPr fontId="2" type="noConversion"/>
  </si>
  <si>
    <t>1920s</t>
    <phoneticPr fontId="2" type="noConversion"/>
  </si>
  <si>
    <t>5/50</t>
    <phoneticPr fontId="2" type="noConversion"/>
  </si>
  <si>
    <t>燃烧的火把</t>
    <phoneticPr fontId="2" type="noConversion"/>
  </si>
  <si>
    <t>1D6+燃烧</t>
    <phoneticPr fontId="2" type="noConversion"/>
  </si>
  <si>
    <t>0.05/0.5</t>
    <phoneticPr fontId="2" type="noConversion"/>
  </si>
  <si>
    <t>电锯</t>
    <phoneticPr fontId="2" type="noConversion"/>
  </si>
  <si>
    <t>2D8</t>
    <phoneticPr fontId="2" type="noConversion"/>
  </si>
  <si>
    <t>√</t>
    <phoneticPr fontId="2" type="noConversion"/>
  </si>
  <si>
    <t>95</t>
    <phoneticPr fontId="2" type="noConversion"/>
  </si>
  <si>
    <t>现代</t>
    <phoneticPr fontId="2" type="noConversion"/>
  </si>
  <si>
    <t>包皮铁棍(甩棍、护身短棒)</t>
    <phoneticPr fontId="2" type="noConversion"/>
  </si>
  <si>
    <t>1D8+DB</t>
    <phoneticPr fontId="2" type="noConversion"/>
  </si>
  <si>
    <t>2/15</t>
    <phoneticPr fontId="2" type="noConversion"/>
  </si>
  <si>
    <t>大型棍状物(棒球棍、板球棒、拨火棍等)</t>
    <phoneticPr fontId="2" type="noConversion"/>
  </si>
  <si>
    <t>3/35</t>
    <phoneticPr fontId="2" type="noConversion"/>
  </si>
  <si>
    <t>小型棍状物(警棍等)</t>
    <phoneticPr fontId="2" type="noConversion"/>
  </si>
  <si>
    <t>1D6+DB</t>
    <phoneticPr fontId="2" type="noConversion"/>
  </si>
  <si>
    <t>接触</t>
    <phoneticPr fontId="2" type="noConversion"/>
  </si>
  <si>
    <t>1</t>
    <phoneticPr fontId="2" type="noConversion"/>
  </si>
  <si>
    <t>1920s,现代</t>
    <phoneticPr fontId="2" type="noConversion"/>
  </si>
  <si>
    <t>3/35</t>
    <phoneticPr fontId="2" type="noConversion"/>
  </si>
  <si>
    <t>弩</t>
    <phoneticPr fontId="2" type="noConversion"/>
  </si>
  <si>
    <t>弓术</t>
    <phoneticPr fontId="2" type="noConversion"/>
  </si>
  <si>
    <t>1D8+2</t>
    <phoneticPr fontId="2" type="noConversion"/>
  </si>
  <si>
    <t>50码</t>
    <phoneticPr fontId="2" type="noConversion"/>
  </si>
  <si>
    <t>1/2</t>
    <phoneticPr fontId="2" type="noConversion"/>
  </si>
  <si>
    <t>96</t>
    <phoneticPr fontId="2" type="noConversion"/>
  </si>
  <si>
    <t>10/100</t>
    <phoneticPr fontId="2" type="noConversion"/>
  </si>
  <si>
    <t>绞具</t>
    <phoneticPr fontId="2" type="noConversion"/>
  </si>
  <si>
    <t>0.5/3</t>
    <phoneticPr fontId="2" type="noConversion"/>
  </si>
  <si>
    <t>斧头/镰刀</t>
    <phoneticPr fontId="2" type="noConversion"/>
  </si>
  <si>
    <t>斧</t>
    <phoneticPr fontId="2" type="noConversion"/>
  </si>
  <si>
    <t>1D6+1+DB</t>
    <phoneticPr fontId="2" type="noConversion"/>
  </si>
  <si>
    <t>3/9</t>
    <phoneticPr fontId="2" type="noConversion"/>
  </si>
  <si>
    <t>大型刀具(大砍刀等)</t>
    <phoneticPr fontId="2" type="noConversion"/>
  </si>
  <si>
    <t>4/50</t>
    <phoneticPr fontId="2" type="noConversion"/>
  </si>
  <si>
    <t>中型刀具(切肉菜刀等)</t>
    <phoneticPr fontId="2" type="noConversion"/>
  </si>
  <si>
    <t>1D4+2+DB</t>
    <phoneticPr fontId="2" type="noConversion"/>
  </si>
  <si>
    <t>小型刀具(弹簧折叠刀等)</t>
    <phoneticPr fontId="2" type="noConversion"/>
  </si>
  <si>
    <t>1D4+DB</t>
    <phoneticPr fontId="2" type="noConversion"/>
  </si>
  <si>
    <t>2/6</t>
    <phoneticPr fontId="2" type="noConversion"/>
  </si>
  <si>
    <t>220v通电导线</t>
    <phoneticPr fontId="2" type="noConversion"/>
  </si>
  <si>
    <t>2D8+眩晕</t>
    <phoneticPr fontId="2" type="noConversion"/>
  </si>
  <si>
    <t>催泪瓦斯</t>
    <phoneticPr fontId="2" type="noConversion"/>
  </si>
  <si>
    <t>眩晕</t>
    <phoneticPr fontId="2" type="noConversion"/>
  </si>
  <si>
    <t>6步</t>
    <phoneticPr fontId="2" type="noConversion"/>
  </si>
  <si>
    <t>25次</t>
    <phoneticPr fontId="2" type="noConversion"/>
  </si>
  <si>
    <t>双节棍</t>
    <phoneticPr fontId="2" type="noConversion"/>
  </si>
  <si>
    <t>链枷</t>
    <phoneticPr fontId="2" type="noConversion"/>
  </si>
  <si>
    <t>投石</t>
    <phoneticPr fontId="2" type="noConversion"/>
  </si>
  <si>
    <t>投掷</t>
    <phoneticPr fontId="2" type="noConversion"/>
  </si>
  <si>
    <t>1D4+半DB</t>
    <phoneticPr fontId="2" type="noConversion"/>
  </si>
  <si>
    <t>STR/5步</t>
    <phoneticPr fontId="2" type="noConversion"/>
  </si>
  <si>
    <t>手里剑</t>
    <phoneticPr fontId="2" type="noConversion"/>
  </si>
  <si>
    <t>20码</t>
    <phoneticPr fontId="2" type="noConversion"/>
  </si>
  <si>
    <t>2</t>
    <phoneticPr fontId="2" type="noConversion"/>
  </si>
  <si>
    <t>一次性</t>
    <phoneticPr fontId="2" type="noConversion"/>
  </si>
  <si>
    <t>100</t>
    <phoneticPr fontId="2" type="noConversion"/>
  </si>
  <si>
    <t>矛、骑士长枪</t>
    <phoneticPr fontId="2" type="noConversion"/>
  </si>
  <si>
    <t>矛</t>
    <phoneticPr fontId="2" type="noConversion"/>
  </si>
  <si>
    <t>1D8+1</t>
    <phoneticPr fontId="2" type="noConversion"/>
  </si>
  <si>
    <t>25/150</t>
    <phoneticPr fontId="2" type="noConversion"/>
  </si>
  <si>
    <t>掷矛</t>
    <phoneticPr fontId="2" type="noConversion"/>
  </si>
  <si>
    <t>1D8+半DB</t>
    <phoneticPr fontId="2" type="noConversion"/>
  </si>
  <si>
    <t>STR/5码</t>
    <phoneticPr fontId="2" type="noConversion"/>
  </si>
  <si>
    <t>罕见</t>
    <phoneticPr fontId="2" type="noConversion"/>
  </si>
  <si>
    <t>1/25</t>
    <phoneticPr fontId="2" type="noConversion"/>
  </si>
  <si>
    <t>大型剑(马刀)</t>
    <phoneticPr fontId="2" type="noConversion"/>
  </si>
  <si>
    <t>剑</t>
    <phoneticPr fontId="2" type="noConversion"/>
  </si>
  <si>
    <t>1D8+1+DB</t>
    <phoneticPr fontId="2" type="noConversion"/>
  </si>
  <si>
    <t>30/75</t>
    <phoneticPr fontId="2" type="noConversion"/>
  </si>
  <si>
    <t>中型剑(佩剑等)</t>
    <phoneticPr fontId="2" type="noConversion"/>
  </si>
  <si>
    <t>15/100</t>
    <phoneticPr fontId="2" type="noConversion"/>
  </si>
  <si>
    <t>轻剑(击剑、剑杖等)</t>
    <phoneticPr fontId="2" type="noConversion"/>
  </si>
  <si>
    <t>25/100</t>
    <phoneticPr fontId="2" type="noConversion"/>
  </si>
  <si>
    <t>电棍</t>
    <phoneticPr fontId="2" type="noConversion"/>
  </si>
  <si>
    <t>1D3+眩晕</t>
    <phoneticPr fontId="2" type="noConversion"/>
  </si>
  <si>
    <t>不定</t>
    <phoneticPr fontId="2" type="noConversion"/>
  </si>
  <si>
    <t>电击枪(远程)</t>
    <phoneticPr fontId="2" type="noConversion"/>
  </si>
  <si>
    <t>15步</t>
    <phoneticPr fontId="2" type="noConversion"/>
  </si>
  <si>
    <t>3</t>
    <phoneticPr fontId="2" type="noConversion"/>
  </si>
  <si>
    <t>利刃回旋镖</t>
    <phoneticPr fontId="2" type="noConversion"/>
  </si>
  <si>
    <t>2/4</t>
    <phoneticPr fontId="2" type="noConversion"/>
  </si>
  <si>
    <t>伐木斧</t>
    <phoneticPr fontId="2" type="noConversion"/>
  </si>
  <si>
    <t>1D8+2+DB</t>
    <phoneticPr fontId="2" type="noConversion"/>
  </si>
  <si>
    <t>5/10</t>
    <phoneticPr fontId="2" type="noConversion"/>
  </si>
  <si>
    <t>遂发枪</t>
    <phoneticPr fontId="2" type="noConversion"/>
  </si>
  <si>
    <t>1D6+1</t>
    <phoneticPr fontId="2" type="noConversion"/>
  </si>
  <si>
    <t>10</t>
    <phoneticPr fontId="2" type="noConversion"/>
  </si>
  <si>
    <t>1/4</t>
    <phoneticPr fontId="2" type="noConversion"/>
  </si>
  <si>
    <t>30/300</t>
    <phoneticPr fontId="2" type="noConversion"/>
  </si>
  <si>
    <t>1D6</t>
    <phoneticPr fontId="2" type="noConversion"/>
  </si>
  <si>
    <t>1(3)</t>
    <phoneticPr fontId="2" type="noConversion"/>
  </si>
  <si>
    <t>6</t>
    <phoneticPr fontId="2" type="noConversion"/>
  </si>
  <si>
    <t>25/190</t>
    <phoneticPr fontId="2" type="noConversion"/>
  </si>
  <si>
    <t>12/55</t>
    <phoneticPr fontId="2" type="noConversion"/>
  </si>
  <si>
    <t>1D8</t>
    <phoneticPr fontId="2" type="noConversion"/>
  </si>
  <si>
    <t>15</t>
    <phoneticPr fontId="2" type="noConversion"/>
  </si>
  <si>
    <t>15/200</t>
    <phoneticPr fontId="2" type="noConversion"/>
  </si>
  <si>
    <t>8</t>
    <phoneticPr fontId="2" type="noConversion"/>
  </si>
  <si>
    <t>99</t>
    <phoneticPr fontId="2" type="noConversion"/>
  </si>
  <si>
    <t>20/350</t>
    <phoneticPr fontId="2" type="noConversion"/>
  </si>
  <si>
    <t>1D8+1D4</t>
    <phoneticPr fontId="2" type="noConversion"/>
  </si>
  <si>
    <t>1/425</t>
    <phoneticPr fontId="2" type="noConversion"/>
  </si>
  <si>
    <t>1D10</t>
    <phoneticPr fontId="2" type="noConversion"/>
  </si>
  <si>
    <t>25/200</t>
    <phoneticPr fontId="2" type="noConversion"/>
  </si>
  <si>
    <t>30/375</t>
    <phoneticPr fontId="2" type="noConversion"/>
  </si>
  <si>
    <t>贝雷塔M9</t>
    <phoneticPr fontId="2" type="noConversion"/>
  </si>
  <si>
    <t>98</t>
    <phoneticPr fontId="2" type="noConversion"/>
  </si>
  <si>
    <t>17</t>
    <phoneticPr fontId="2" type="noConversion"/>
  </si>
  <si>
    <t>鲁格P08</t>
    <phoneticPr fontId="2" type="noConversion"/>
  </si>
  <si>
    <t>75/600</t>
    <phoneticPr fontId="2" type="noConversion"/>
  </si>
  <si>
    <t>1920s,罕见</t>
    <phoneticPr fontId="2" type="noConversion"/>
  </si>
  <si>
    <t>1D10+1D4+2</t>
    <phoneticPr fontId="2" type="noConversion"/>
  </si>
  <si>
    <t>1/475</t>
    <phoneticPr fontId="2" type="noConversion"/>
  </si>
  <si>
    <t>1D10+2</t>
    <phoneticPr fontId="2" type="noConversion"/>
  </si>
  <si>
    <t>7</t>
    <phoneticPr fontId="2" type="noConversion"/>
  </si>
  <si>
    <t>40/375</t>
    <phoneticPr fontId="2" type="noConversion"/>
  </si>
  <si>
    <t>沙漠之鹰</t>
    <phoneticPr fontId="2" type="noConversion"/>
  </si>
  <si>
    <t>1D10+1D6+3</t>
    <phoneticPr fontId="2" type="noConversion"/>
  </si>
  <si>
    <t>15</t>
    <phoneticPr fontId="2" type="noConversion"/>
  </si>
  <si>
    <t>√</t>
    <phoneticPr fontId="2" type="noConversion"/>
  </si>
  <si>
    <t>1(3)</t>
    <phoneticPr fontId="2" type="noConversion"/>
  </si>
  <si>
    <t>7</t>
    <phoneticPr fontId="2" type="noConversion"/>
  </si>
  <si>
    <t>94</t>
    <phoneticPr fontId="2" type="noConversion"/>
  </si>
  <si>
    <t>现代</t>
    <phoneticPr fontId="2" type="noConversion"/>
  </si>
  <si>
    <t>.58 斯普林菲尔德步枪</t>
    <phoneticPr fontId="2" type="noConversion"/>
  </si>
  <si>
    <t>步枪/霰弹枪</t>
    <phoneticPr fontId="2" type="noConversion"/>
  </si>
  <si>
    <t>1D10+4</t>
    <phoneticPr fontId="2" type="noConversion"/>
  </si>
  <si>
    <t>60</t>
    <phoneticPr fontId="2" type="noConversion"/>
  </si>
  <si>
    <t>1/4</t>
    <phoneticPr fontId="2" type="noConversion"/>
  </si>
  <si>
    <t>95</t>
    <phoneticPr fontId="2" type="noConversion"/>
  </si>
  <si>
    <t>罕见</t>
    <phoneticPr fontId="2" type="noConversion"/>
  </si>
  <si>
    <t>25/350</t>
    <phoneticPr fontId="2" type="noConversion"/>
  </si>
  <si>
    <t>.22 杠杆式枪机步枪</t>
    <phoneticPr fontId="2" type="noConversion"/>
  </si>
  <si>
    <t>1D6+1</t>
    <phoneticPr fontId="2" type="noConversion"/>
  </si>
  <si>
    <t>30</t>
    <phoneticPr fontId="2" type="noConversion"/>
  </si>
  <si>
    <t>6</t>
    <phoneticPr fontId="2" type="noConversion"/>
  </si>
  <si>
    <t>99</t>
    <phoneticPr fontId="2" type="noConversion"/>
  </si>
  <si>
    <t>13/70</t>
    <phoneticPr fontId="2" type="noConversion"/>
  </si>
  <si>
    <t>.30 卡宾枪</t>
    <phoneticPr fontId="2" type="noConversion"/>
  </si>
  <si>
    <t>2D6</t>
    <phoneticPr fontId="2" type="noConversion"/>
  </si>
  <si>
    <t>50</t>
    <phoneticPr fontId="2" type="noConversion"/>
  </si>
  <si>
    <t>19/150</t>
    <phoneticPr fontId="2" type="noConversion"/>
  </si>
  <si>
    <t>.45 马提尼·亨利步枪</t>
    <phoneticPr fontId="2" type="noConversion"/>
  </si>
  <si>
    <t>步枪/霰弹枪</t>
    <phoneticPr fontId="2" type="noConversion"/>
  </si>
  <si>
    <t>1D8+1D6+3</t>
    <phoneticPr fontId="2" type="noConversion"/>
  </si>
  <si>
    <t>80</t>
    <phoneticPr fontId="2" type="noConversion"/>
  </si>
  <si>
    <t>1/3</t>
    <phoneticPr fontId="2" type="noConversion"/>
  </si>
  <si>
    <t>20/200</t>
    <phoneticPr fontId="2" type="noConversion"/>
  </si>
  <si>
    <t>莫兰上校的气动步枪</t>
    <phoneticPr fontId="2" type="noConversion"/>
  </si>
  <si>
    <t>2D6+1</t>
    <phoneticPr fontId="2" type="noConversion"/>
  </si>
  <si>
    <t>20</t>
    <phoneticPr fontId="2" type="noConversion"/>
  </si>
  <si>
    <t>88</t>
    <phoneticPr fontId="2" type="noConversion"/>
  </si>
  <si>
    <t>200</t>
    <phoneticPr fontId="2" type="noConversion"/>
  </si>
  <si>
    <t>加兰德M1、M2步枪</t>
    <phoneticPr fontId="2" type="noConversion"/>
  </si>
  <si>
    <t>2D6+4</t>
    <phoneticPr fontId="2" type="noConversion"/>
  </si>
  <si>
    <t>110</t>
    <phoneticPr fontId="2" type="noConversion"/>
  </si>
  <si>
    <t>二战晚期</t>
    <phoneticPr fontId="2" type="noConversion"/>
  </si>
  <si>
    <t>400</t>
    <phoneticPr fontId="2" type="noConversion"/>
  </si>
  <si>
    <t>SKS半自动步枪</t>
    <phoneticPr fontId="2" type="noConversion"/>
  </si>
  <si>
    <t>90</t>
    <phoneticPr fontId="2" type="noConversion"/>
  </si>
  <si>
    <t>1(2)</t>
    <phoneticPr fontId="2" type="noConversion"/>
  </si>
  <si>
    <t>500</t>
    <phoneticPr fontId="2" type="noConversion"/>
  </si>
  <si>
    <t>.303 (7.7mm) 李恩菲尔德</t>
    <phoneticPr fontId="2" type="noConversion"/>
  </si>
  <si>
    <t>5</t>
    <phoneticPr fontId="2" type="noConversion"/>
  </si>
  <si>
    <t>50/300</t>
    <phoneticPr fontId="2" type="noConversion"/>
  </si>
  <si>
    <t>75/175</t>
    <phoneticPr fontId="2" type="noConversion"/>
  </si>
  <si>
    <t>275</t>
    <phoneticPr fontId="2" type="noConversion"/>
  </si>
  <si>
    <t>.444 (11.28mm) 马林步枪</t>
    <phoneticPr fontId="2" type="noConversion"/>
  </si>
  <si>
    <t>2D8+4</t>
    <phoneticPr fontId="2" type="noConversion"/>
  </si>
  <si>
    <t>猎象枪(双管)</t>
    <phoneticPr fontId="2" type="noConversion"/>
  </si>
  <si>
    <t>3D6+4</t>
    <phoneticPr fontId="2" type="noConversion"/>
  </si>
  <si>
    <t>1 or 2</t>
    <phoneticPr fontId="2" type="noConversion"/>
  </si>
  <si>
    <t>400/1800</t>
    <phoneticPr fontId="2" type="noConversion"/>
  </si>
  <si>
    <t>20号霰弹枪(双管)</t>
    <phoneticPr fontId="2" type="noConversion"/>
  </si>
  <si>
    <t>2D6/1D6/1D3</t>
    <phoneticPr fontId="2" type="noConversion"/>
  </si>
  <si>
    <t>10/20/50</t>
    <phoneticPr fontId="2" type="noConversion"/>
  </si>
  <si>
    <t>35/稀有</t>
    <phoneticPr fontId="2" type="noConversion"/>
  </si>
  <si>
    <t>16号霰弹枪(双管)</t>
    <phoneticPr fontId="2" type="noConversion"/>
  </si>
  <si>
    <t>2D6+2/1D6+1/1D4</t>
    <phoneticPr fontId="2" type="noConversion"/>
  </si>
  <si>
    <t>40/稀有</t>
    <phoneticPr fontId="2" type="noConversion"/>
  </si>
  <si>
    <t>4D6/2D6/1D6</t>
    <phoneticPr fontId="2" type="noConversion"/>
  </si>
  <si>
    <t>40/200</t>
    <phoneticPr fontId="2" type="noConversion"/>
  </si>
  <si>
    <t>12号泵动霰弹枪</t>
    <phoneticPr fontId="2" type="noConversion"/>
  </si>
  <si>
    <t>45/100</t>
    <phoneticPr fontId="2" type="noConversion"/>
  </si>
  <si>
    <t>12号半自动霰弹枪</t>
    <phoneticPr fontId="2" type="noConversion"/>
  </si>
  <si>
    <t>削短12号双管霰弹枪</t>
    <phoneticPr fontId="2" type="noConversion"/>
  </si>
  <si>
    <t>4D6/1D6</t>
    <phoneticPr fontId="2" type="noConversion"/>
  </si>
  <si>
    <t>N/A</t>
    <phoneticPr fontId="2" type="noConversion"/>
  </si>
  <si>
    <t>10号霰弹枪(双管)</t>
    <phoneticPr fontId="2" type="noConversion"/>
  </si>
  <si>
    <t>4D6+2/2D6+1/1D4</t>
    <phoneticPr fontId="2" type="noConversion"/>
  </si>
  <si>
    <t>1920s罕见</t>
    <phoneticPr fontId="2" type="noConversion"/>
  </si>
  <si>
    <t>稀有</t>
    <phoneticPr fontId="2" type="noConversion"/>
  </si>
  <si>
    <t>12号贝里尼M3 (折叠式枪托)</t>
    <phoneticPr fontId="2" type="noConversion"/>
  </si>
  <si>
    <t>12号SPAS (折叠式枪托)</t>
    <phoneticPr fontId="2" type="noConversion"/>
  </si>
  <si>
    <t>1(2)or全自动</t>
    <phoneticPr fontId="2" type="noConversion"/>
  </si>
  <si>
    <t>30</t>
    <phoneticPr fontId="2" type="noConversion"/>
  </si>
  <si>
    <t>2D6</t>
    <phoneticPr fontId="2" type="noConversion"/>
  </si>
  <si>
    <t>巴雷特M82</t>
    <phoneticPr fontId="2" type="noConversion"/>
  </si>
  <si>
    <t>2D10+1D8+6</t>
    <phoneticPr fontId="2" type="noConversion"/>
  </si>
  <si>
    <t>250</t>
    <phoneticPr fontId="2" type="noConversion"/>
  </si>
  <si>
    <t>11</t>
    <phoneticPr fontId="2" type="noConversion"/>
  </si>
  <si>
    <t>FN FAL Light Automatic</t>
    <phoneticPr fontId="2" type="noConversion"/>
  </si>
  <si>
    <t>1(2)or3</t>
    <phoneticPr fontId="2" type="noConversion"/>
  </si>
  <si>
    <t>Galil Assault Rifle</t>
    <phoneticPr fontId="2" type="noConversion"/>
  </si>
  <si>
    <t>M16A2</t>
    <phoneticPr fontId="2" type="noConversion"/>
  </si>
  <si>
    <t>M4</t>
    <phoneticPr fontId="2" type="noConversion"/>
  </si>
  <si>
    <t xml:space="preserve">Steyr AUG </t>
    <phoneticPr fontId="2" type="noConversion"/>
  </si>
  <si>
    <t>巴雷特M70/90</t>
    <phoneticPr fontId="2" type="noConversion"/>
  </si>
  <si>
    <t>1(or全自动</t>
    <phoneticPr fontId="2" type="noConversion"/>
  </si>
  <si>
    <t>贝格曼MP181/ MP2811</t>
    <phoneticPr fontId="2" type="noConversion"/>
  </si>
  <si>
    <t>冲锋枪</t>
    <phoneticPr fontId="2" type="noConversion"/>
  </si>
  <si>
    <t>20/30/32</t>
    <phoneticPr fontId="2" type="noConversion"/>
  </si>
  <si>
    <t>1000/20000</t>
    <phoneticPr fontId="2" type="noConversion"/>
  </si>
  <si>
    <t>15/30</t>
    <phoneticPr fontId="2" type="noConversion"/>
  </si>
  <si>
    <t>1(3)or全自动</t>
    <phoneticPr fontId="2" type="noConversion"/>
  </si>
  <si>
    <t>32</t>
    <phoneticPr fontId="2" type="noConversion"/>
  </si>
  <si>
    <t>蝎式冲锋枪</t>
    <phoneticPr fontId="2" type="noConversion"/>
  </si>
  <si>
    <t>汤普森冲锋枪</t>
    <phoneticPr fontId="2" type="noConversion"/>
  </si>
  <si>
    <t>1or全自动</t>
    <phoneticPr fontId="2" type="noConversion"/>
  </si>
  <si>
    <t>20/30/50</t>
    <phoneticPr fontId="2" type="noConversion"/>
  </si>
  <si>
    <t>200/1600</t>
    <phoneticPr fontId="2" type="noConversion"/>
  </si>
  <si>
    <t>乌兹微型冲锋枪</t>
    <phoneticPr fontId="2" type="noConversion"/>
  </si>
  <si>
    <t>M1882加特林机枪</t>
    <phoneticPr fontId="2" type="noConversion"/>
  </si>
  <si>
    <t>机关枪</t>
    <phoneticPr fontId="2" type="noConversion"/>
  </si>
  <si>
    <t>全自动</t>
    <phoneticPr fontId="2" type="noConversion"/>
  </si>
  <si>
    <t>2000/14000</t>
    <phoneticPr fontId="2" type="noConversion"/>
  </si>
  <si>
    <t>M1918式勃朗宁自动步枪</t>
    <phoneticPr fontId="2" type="noConversion"/>
  </si>
  <si>
    <t>800/1500</t>
    <phoneticPr fontId="2" type="noConversion"/>
  </si>
  <si>
    <t>M1917A1式勃朗宁重机枪</t>
    <phoneticPr fontId="2" type="noConversion"/>
  </si>
  <si>
    <t>150</t>
    <phoneticPr fontId="2" type="noConversion"/>
  </si>
  <si>
    <t>3000/30000</t>
    <phoneticPr fontId="2" type="noConversion"/>
  </si>
  <si>
    <t>布伦式轻机枪</t>
    <phoneticPr fontId="2" type="noConversion"/>
  </si>
  <si>
    <t>30/100</t>
    <phoneticPr fontId="2" type="noConversion"/>
  </si>
  <si>
    <t>3000/50000</t>
    <phoneticPr fontId="2" type="noConversion"/>
  </si>
  <si>
    <t>刘易斯式轻机枪</t>
    <phoneticPr fontId="2" type="noConversion"/>
  </si>
  <si>
    <t>27/97</t>
    <phoneticPr fontId="2" type="noConversion"/>
  </si>
  <si>
    <t>3000/20000</t>
    <phoneticPr fontId="2" type="noConversion"/>
  </si>
  <si>
    <t>Minigun</t>
    <phoneticPr fontId="2" type="noConversion"/>
  </si>
  <si>
    <t>4000</t>
    <phoneticPr fontId="2" type="noConversion"/>
  </si>
  <si>
    <t>FNMinimi5.56mm轻机枪</t>
    <phoneticPr fontId="2" type="noConversion"/>
  </si>
  <si>
    <t>30/200</t>
    <phoneticPr fontId="2" type="noConversion"/>
  </si>
  <si>
    <t>维克斯MK1式机枪</t>
    <phoneticPr fontId="2" type="noConversion"/>
  </si>
  <si>
    <t>燃烧瓶</t>
    <phoneticPr fontId="2" type="noConversion"/>
  </si>
  <si>
    <t>2D6+燃烧</t>
    <phoneticPr fontId="2" type="noConversion"/>
  </si>
  <si>
    <t>信号枪</t>
    <phoneticPr fontId="2" type="noConversion"/>
  </si>
  <si>
    <t>1D10+1D3+燃烧</t>
    <phoneticPr fontId="2" type="noConversion"/>
  </si>
  <si>
    <t>15/75</t>
    <phoneticPr fontId="2" type="noConversion"/>
  </si>
  <si>
    <t>M79榴弹发射器</t>
    <phoneticPr fontId="2" type="noConversion"/>
  </si>
  <si>
    <t>重武器</t>
    <phoneticPr fontId="2" type="noConversion"/>
  </si>
  <si>
    <t>3D10/2码</t>
    <phoneticPr fontId="2" type="noConversion"/>
  </si>
  <si>
    <t>土制炸药</t>
    <phoneticPr fontId="2" type="noConversion"/>
  </si>
  <si>
    <t>4D10/3码</t>
    <phoneticPr fontId="2" type="noConversion"/>
  </si>
  <si>
    <t>2/5</t>
    <phoneticPr fontId="2" type="noConversion"/>
  </si>
  <si>
    <t>雷管</t>
    <phoneticPr fontId="2" type="noConversion"/>
  </si>
  <si>
    <t>2D10/1码</t>
    <phoneticPr fontId="2" type="noConversion"/>
  </si>
  <si>
    <t>20/box</t>
    <phoneticPr fontId="2" type="noConversion"/>
  </si>
  <si>
    <t>管状炸弹</t>
    <phoneticPr fontId="2" type="noConversion"/>
  </si>
  <si>
    <t>爆破</t>
    <phoneticPr fontId="2" type="noConversion"/>
  </si>
  <si>
    <t>1D10/3码</t>
    <phoneticPr fontId="2" type="noConversion"/>
  </si>
  <si>
    <t>布置</t>
    <phoneticPr fontId="2" type="noConversion"/>
  </si>
  <si>
    <t>一次使用</t>
    <phoneticPr fontId="2" type="noConversion"/>
  </si>
  <si>
    <t>塑胶炸弹(C4) 100克</t>
    <phoneticPr fontId="2" type="noConversion"/>
  </si>
  <si>
    <t>6D10/3码</t>
    <phoneticPr fontId="2" type="noConversion"/>
  </si>
  <si>
    <t>手榴弹*</t>
    <phoneticPr fontId="2" type="noConversion"/>
  </si>
  <si>
    <t>81mm迫击炮</t>
    <phoneticPr fontId="2" type="noConversion"/>
  </si>
  <si>
    <t>炮术</t>
    <phoneticPr fontId="2" type="noConversion"/>
  </si>
  <si>
    <t>6D10/6码</t>
    <phoneticPr fontId="2" type="noConversion"/>
  </si>
  <si>
    <t>500码</t>
    <phoneticPr fontId="2" type="noConversion"/>
  </si>
  <si>
    <t>独立</t>
    <phoneticPr fontId="2" type="noConversion"/>
  </si>
  <si>
    <t>75mm野战炮</t>
    <phoneticPr fontId="2" type="noConversion"/>
  </si>
  <si>
    <t>10D10/2码</t>
    <phoneticPr fontId="2" type="noConversion"/>
  </si>
  <si>
    <t>1500</t>
    <phoneticPr fontId="2" type="noConversion"/>
  </si>
  <si>
    <t>120mm坦克炮(稳定)</t>
    <phoneticPr fontId="2" type="noConversion"/>
  </si>
  <si>
    <t>15D10/4码</t>
    <phoneticPr fontId="2" type="noConversion"/>
  </si>
  <si>
    <t>2000码</t>
    <phoneticPr fontId="2" type="noConversion"/>
  </si>
  <si>
    <t>5英寸舰载炮(稳定)</t>
    <phoneticPr fontId="2" type="noConversion"/>
  </si>
  <si>
    <t>12D10/4码</t>
    <phoneticPr fontId="2" type="noConversion"/>
  </si>
  <si>
    <t>3000码</t>
    <phoneticPr fontId="2" type="noConversion"/>
  </si>
  <si>
    <t>自动</t>
    <phoneticPr fontId="2" type="noConversion"/>
  </si>
  <si>
    <t>反步兵地雷</t>
    <phoneticPr fontId="2" type="noConversion"/>
  </si>
  <si>
    <t>4D10/5码</t>
    <phoneticPr fontId="2" type="noConversion"/>
  </si>
  <si>
    <t>阔剑地雷</t>
    <phoneticPr fontId="2" type="noConversion"/>
  </si>
  <si>
    <t>6D6/20码</t>
    <phoneticPr fontId="2" type="noConversion"/>
  </si>
  <si>
    <t>火焰喷射器</t>
    <phoneticPr fontId="2" type="noConversion"/>
  </si>
  <si>
    <t>25码</t>
    <phoneticPr fontId="2" type="noConversion"/>
  </si>
  <si>
    <t>至少10</t>
    <phoneticPr fontId="2" type="noConversion"/>
  </si>
  <si>
    <t>93</t>
    <phoneticPr fontId="2" type="noConversion"/>
  </si>
  <si>
    <t>轻型反坦克武器*</t>
    <phoneticPr fontId="2" type="noConversion"/>
  </si>
  <si>
    <t>8d10/1码</t>
    <phoneticPr fontId="2" type="noConversion"/>
  </si>
  <si>
    <t>150码</t>
    <phoneticPr fontId="2" type="noConversion"/>
  </si>
  <si>
    <t>机械维修</t>
  </si>
  <si>
    <t>导航</t>
  </si>
  <si>
    <t>社交技能</t>
    <phoneticPr fontId="2" type="noConversion"/>
  </si>
  <si>
    <t>机械维修</t>
    <phoneticPr fontId="2" type="noConversion"/>
  </si>
  <si>
    <t>电子学 Ω</t>
    <phoneticPr fontId="2" type="noConversion"/>
  </si>
  <si>
    <t>妙手</t>
    <phoneticPr fontId="2" type="noConversion"/>
  </si>
  <si>
    <t>图书馆使用</t>
    <phoneticPr fontId="2" type="noConversion"/>
  </si>
  <si>
    <t>社交技能</t>
    <phoneticPr fontId="2" type="noConversion"/>
  </si>
  <si>
    <t>图书馆使用</t>
    <phoneticPr fontId="2" type="noConversion"/>
  </si>
  <si>
    <t>攀爬</t>
    <phoneticPr fontId="2" type="noConversion"/>
  </si>
  <si>
    <t>游泳</t>
    <phoneticPr fontId="2" type="noConversion"/>
  </si>
  <si>
    <t>技艺①</t>
  </si>
  <si>
    <t>技艺①</t>
    <phoneticPr fontId="2" type="noConversion"/>
  </si>
  <si>
    <t>技艺②</t>
    <phoneticPr fontId="2" type="noConversion"/>
  </si>
  <si>
    <t>技艺③</t>
    <phoneticPr fontId="2" type="noConversion"/>
  </si>
  <si>
    <t>技艺①</t>
    <phoneticPr fontId="2" type="noConversion"/>
  </si>
  <si>
    <t>科学①</t>
    <phoneticPr fontId="2" type="noConversion"/>
  </si>
  <si>
    <t>科学②</t>
    <phoneticPr fontId="2" type="noConversion"/>
  </si>
  <si>
    <t>格斗①</t>
    <phoneticPr fontId="2" type="noConversion"/>
  </si>
  <si>
    <t>格斗②</t>
    <phoneticPr fontId="2" type="noConversion"/>
  </si>
  <si>
    <t>射击①</t>
    <phoneticPr fontId="2" type="noConversion"/>
  </si>
  <si>
    <t>射击②</t>
    <phoneticPr fontId="2" type="noConversion"/>
  </si>
  <si>
    <t>外语①</t>
  </si>
  <si>
    <t>外语①</t>
    <phoneticPr fontId="2" type="noConversion"/>
  </si>
  <si>
    <t>外语②</t>
    <phoneticPr fontId="2" type="noConversion"/>
  </si>
  <si>
    <t>外语③</t>
    <phoneticPr fontId="2" type="noConversion"/>
  </si>
  <si>
    <t>技艺①</t>
    <phoneticPr fontId="2" type="noConversion"/>
  </si>
  <si>
    <t>科学①</t>
    <phoneticPr fontId="2" type="noConversion"/>
  </si>
  <si>
    <t>自然学</t>
  </si>
  <si>
    <t>自然学</t>
    <phoneticPr fontId="2" type="noConversion"/>
  </si>
  <si>
    <t>科学③</t>
    <phoneticPr fontId="2" type="noConversion"/>
  </si>
  <si>
    <t>无</t>
    <phoneticPr fontId="2" type="noConversion"/>
  </si>
  <si>
    <t>科学①</t>
    <phoneticPr fontId="2" type="noConversion"/>
  </si>
  <si>
    <t>计算机使用 Ω</t>
  </si>
  <si>
    <t>计算机使用 Ω</t>
    <phoneticPr fontId="2" type="noConversion"/>
  </si>
  <si>
    <t>二选一函数</t>
    <phoneticPr fontId="2" type="noConversion"/>
  </si>
  <si>
    <t>二选一①函数</t>
    <phoneticPr fontId="2" type="noConversion"/>
  </si>
  <si>
    <t>骑乘</t>
    <phoneticPr fontId="2" type="noConversion"/>
  </si>
  <si>
    <t>自然学</t>
    <phoneticPr fontId="2" type="noConversion"/>
  </si>
  <si>
    <t>神秘学</t>
    <phoneticPr fontId="2" type="noConversion"/>
  </si>
  <si>
    <t>射击①</t>
    <phoneticPr fontId="2" type="noConversion"/>
  </si>
  <si>
    <t>生存：</t>
    <phoneticPr fontId="2" type="noConversion"/>
  </si>
  <si>
    <t>生存：</t>
    <phoneticPr fontId="2" type="noConversion"/>
  </si>
  <si>
    <t>外语①</t>
    <phoneticPr fontId="2" type="noConversion"/>
  </si>
  <si>
    <t>电子学 Ω</t>
    <phoneticPr fontId="2" type="noConversion"/>
  </si>
  <si>
    <t>技艺①</t>
    <phoneticPr fontId="2" type="noConversion"/>
  </si>
  <si>
    <t>生存：</t>
    <phoneticPr fontId="2" type="noConversion"/>
  </si>
  <si>
    <t>科学②</t>
    <phoneticPr fontId="2" type="noConversion"/>
  </si>
  <si>
    <t>科学①</t>
    <phoneticPr fontId="2" type="noConversion"/>
  </si>
  <si>
    <t>驾驶：</t>
    <phoneticPr fontId="2" type="noConversion"/>
  </si>
  <si>
    <t>科学①</t>
    <phoneticPr fontId="2" type="noConversion"/>
  </si>
  <si>
    <t>技艺①</t>
    <phoneticPr fontId="2" type="noConversion"/>
  </si>
  <si>
    <t>生存：</t>
    <phoneticPr fontId="2" type="noConversion"/>
  </si>
  <si>
    <t>技艺②</t>
    <phoneticPr fontId="2" type="noConversion"/>
  </si>
  <si>
    <t>技艺①</t>
    <phoneticPr fontId="2" type="noConversion"/>
  </si>
  <si>
    <t>技艺①</t>
    <phoneticPr fontId="2" type="noConversion"/>
  </si>
  <si>
    <t>乔装</t>
    <phoneticPr fontId="2" type="noConversion"/>
  </si>
  <si>
    <t>二选一②函数</t>
    <phoneticPr fontId="2" type="noConversion"/>
  </si>
  <si>
    <t>格斗①</t>
    <phoneticPr fontId="2" type="noConversion"/>
  </si>
  <si>
    <t>射击①</t>
    <phoneticPr fontId="2" type="noConversion"/>
  </si>
  <si>
    <t>驾驶：</t>
    <phoneticPr fontId="2" type="noConversion"/>
  </si>
  <si>
    <t>技艺②</t>
    <phoneticPr fontId="2" type="noConversion"/>
  </si>
  <si>
    <t>图书馆使用</t>
    <phoneticPr fontId="2" type="noConversion"/>
  </si>
  <si>
    <t>图书馆使用</t>
    <phoneticPr fontId="2" type="noConversion"/>
  </si>
  <si>
    <t>射击①</t>
    <phoneticPr fontId="2" type="noConversion"/>
  </si>
  <si>
    <t>外语①</t>
    <phoneticPr fontId="2" type="noConversion"/>
  </si>
  <si>
    <t>科学①</t>
    <phoneticPr fontId="2" type="noConversion"/>
  </si>
  <si>
    <t>科学②</t>
    <phoneticPr fontId="2" type="noConversion"/>
  </si>
  <si>
    <t>驾驶：</t>
    <phoneticPr fontId="2" type="noConversion"/>
  </si>
  <si>
    <t>技艺①</t>
    <phoneticPr fontId="2" type="noConversion"/>
  </si>
  <si>
    <t>攀爬</t>
    <phoneticPr fontId="2" type="noConversion"/>
  </si>
  <si>
    <t>游泳</t>
    <phoneticPr fontId="2" type="noConversion"/>
  </si>
  <si>
    <t>技艺①</t>
    <phoneticPr fontId="2" type="noConversion"/>
  </si>
  <si>
    <t>外语①</t>
    <phoneticPr fontId="2" type="noConversion"/>
  </si>
  <si>
    <t>射击②</t>
    <phoneticPr fontId="2" type="noConversion"/>
  </si>
  <si>
    <t>射击①</t>
    <phoneticPr fontId="2" type="noConversion"/>
  </si>
  <si>
    <t>科学②</t>
    <phoneticPr fontId="2" type="noConversion"/>
  </si>
  <si>
    <t>科学③</t>
    <phoneticPr fontId="2" type="noConversion"/>
  </si>
  <si>
    <t>格斗①</t>
    <phoneticPr fontId="2" type="noConversion"/>
  </si>
  <si>
    <t>科学①</t>
    <phoneticPr fontId="2" type="noConversion"/>
  </si>
  <si>
    <t>科学①</t>
    <phoneticPr fontId="2" type="noConversion"/>
  </si>
  <si>
    <t>生存：</t>
    <phoneticPr fontId="2" type="noConversion"/>
  </si>
  <si>
    <t>技艺①</t>
    <phoneticPr fontId="2" type="noConversion"/>
  </si>
  <si>
    <t>外语①</t>
    <phoneticPr fontId="2" type="noConversion"/>
  </si>
  <si>
    <t>驾驶：</t>
    <phoneticPr fontId="2" type="noConversion"/>
  </si>
  <si>
    <t>驾驶：</t>
    <phoneticPr fontId="2" type="noConversion"/>
  </si>
  <si>
    <t>电气维修</t>
    <phoneticPr fontId="2" type="noConversion"/>
  </si>
  <si>
    <t>机械维修</t>
    <phoneticPr fontId="2" type="noConversion"/>
  </si>
  <si>
    <t>格斗①</t>
    <phoneticPr fontId="2" type="noConversion"/>
  </si>
  <si>
    <t>母语</t>
    <phoneticPr fontId="2" type="noConversion"/>
  </si>
  <si>
    <t>外语①</t>
    <phoneticPr fontId="2" type="noConversion"/>
  </si>
  <si>
    <t>投掷</t>
    <phoneticPr fontId="2" type="noConversion"/>
  </si>
  <si>
    <t>生存：</t>
    <phoneticPr fontId="2" type="noConversion"/>
  </si>
  <si>
    <t>社交技能</t>
    <phoneticPr fontId="2" type="noConversion"/>
  </si>
  <si>
    <t>科学②</t>
    <phoneticPr fontId="2" type="noConversion"/>
  </si>
  <si>
    <t>驯兽</t>
    <phoneticPr fontId="2" type="noConversion"/>
  </si>
  <si>
    <t>三选X函数</t>
    <phoneticPr fontId="2" type="noConversion"/>
  </si>
  <si>
    <t>本职</t>
    <phoneticPr fontId="2" type="noConversion"/>
  </si>
  <si>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</si>
  <si>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</si>
  <si>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</si>
  <si>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</si>
  <si>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</si>
  <si>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</si>
  <si>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</si>
  <si>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</si>
  <si>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</si>
  <si>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</si>
  <si>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</si>
  <si>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</si>
  <si>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</si>
  <si>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</si>
  <si>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</si>
  <si>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</si>
  <si>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</si>
  <si>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</si>
  <si>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</si>
  <si>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</si>
  <si>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</si>
  <si>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</si>
  <si>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</si>
  <si>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</si>
  <si>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本职技能</t>
    <phoneticPr fontId="2" type="noConversion"/>
  </si>
  <si>
    <t>列</t>
    <phoneticPr fontId="2" type="noConversion"/>
  </si>
  <si>
    <t>备注</t>
    <phoneticPr fontId="2" type="noConversion"/>
  </si>
  <si>
    <t>1D3+DB</t>
    <phoneticPr fontId="2" type="noConversion"/>
  </si>
  <si>
    <t>——</t>
    <phoneticPr fontId="2" type="noConversion"/>
  </si>
  <si>
    <t>X</t>
  </si>
  <si>
    <t>X</t>
    <phoneticPr fontId="2" type="noConversion"/>
  </si>
  <si>
    <t>——</t>
    <phoneticPr fontId="2" type="noConversion"/>
  </si>
  <si>
    <t>——</t>
    <phoneticPr fontId="2" type="noConversion"/>
  </si>
  <si>
    <t>弓术</t>
    <phoneticPr fontId="2" type="noConversion"/>
  </si>
  <si>
    <t>技能</t>
    <phoneticPr fontId="2" type="noConversion"/>
  </si>
  <si>
    <t>武器类型</t>
    <phoneticPr fontId="2" type="noConversion"/>
  </si>
  <si>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</si>
  <si>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</si>
  <si>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</si>
  <si>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</si>
  <si>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</si>
  <si>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</si>
  <si>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</si>
  <si>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</si>
  <si>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</si>
  <si>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</si>
  <si>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</si>
  <si>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</si>
  <si>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</si>
  <si>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斗殴</t>
    <phoneticPr fontId="2" type="noConversion"/>
  </si>
  <si>
    <t>射击：</t>
    <phoneticPr fontId="2" type="noConversion"/>
  </si>
  <si>
    <t>大失败</t>
    <phoneticPr fontId="2" type="noConversion"/>
  </si>
  <si>
    <t>个人描述</t>
    <phoneticPr fontId="2" type="noConversion"/>
  </si>
  <si>
    <t>重要之人</t>
    <phoneticPr fontId="2" type="noConversion"/>
  </si>
  <si>
    <t>意义非凡之地</t>
    <phoneticPr fontId="2" type="noConversion"/>
  </si>
  <si>
    <t>宝贵之物</t>
    <phoneticPr fontId="2" type="noConversion"/>
  </si>
  <si>
    <t>背景故事</t>
    <phoneticPr fontId="2" type="noConversion"/>
  </si>
  <si>
    <t>调查员伙伴</t>
    <phoneticPr fontId="2" type="noConversion"/>
  </si>
  <si>
    <t>读唇</t>
    <phoneticPr fontId="2" type="noConversion"/>
  </si>
  <si>
    <t>HP=0且受到[重伤]。需要用[急救]摆脱濒死状态，并用[医学]进行后续治疗。</t>
    <phoneticPr fontId="2" type="noConversion"/>
  </si>
  <si>
    <t>社交技能部分的本职技能标记不会变颜色</t>
    <phoneticPr fontId="2" type="noConversion"/>
  </si>
  <si>
    <t>1.6.2EX</t>
    <phoneticPr fontId="2" type="noConversion"/>
  </si>
  <si>
    <t>1.6.3EX</t>
    <phoneticPr fontId="2" type="noConversion"/>
  </si>
  <si>
    <t>1.6.4EX修复（1.7.8-1）</t>
    <phoneticPr fontId="2" type="noConversion"/>
  </si>
  <si>
    <t>假性残疾 ：调查员陷入了心理性的失明，失聪以及躯体缺失感中，持续 1D10 轮。</t>
    <phoneticPr fontId="2" type="noConversion"/>
  </si>
  <si>
    <t>人际依赖 ：守秘人适当参考调查员的背景中重要之人的条目，调查员因为一些原因而降他人误认为了他重要的人并且努力的会与那个人保持那种关系，持续 1D10 轮</t>
    <phoneticPr fontId="2" type="noConversion"/>
  </si>
  <si>
    <t>逃避行为 ：调查员会用任何的手段试图逃离现在所处的位置，即使这意味着开走唯一一辆交通工具并将其它人抛诸脑后，调查员会试图逃离 1D10轮。</t>
    <phoneticPr fontId="2" type="noConversion"/>
  </si>
  <si>
    <t>竭嘶底里 ：调查员表现出大笑，哭泣，嘶吼，害怕等的极端情绪表现，持续 1D10 轮。</t>
    <phoneticPr fontId="2" type="noConversion"/>
  </si>
  <si>
    <t>失忆 ：调查员会发现自己只记得最后身处的安全地点，却没有任何来到这里的记忆。例如，调查员一一刻还在家中吃着早饭，下一刻就已经直面着不知名的怪物。这将会持续 1D10 轮。</t>
    <phoneticPr fontId="2" type="noConversion"/>
  </si>
  <si>
    <t>标记</t>
    <phoneticPr fontId="2" type="noConversion"/>
  </si>
  <si>
    <t>教育×4</t>
    <phoneticPr fontId="2" type="noConversion"/>
  </si>
  <si>
    <t>会计，图书馆，外语，母语，任意四项其他个人特长或专业书籍主题。</t>
    <phoneticPr fontId="2" type="noConversion"/>
  </si>
  <si>
    <t>会计，射击，导航，急救，两项社交技能（魅惑、话术、恐吓、说服），心理学，任意一项其他个人或时代特长。</t>
    <phoneticPr fontId="2" type="noConversion"/>
  </si>
  <si>
    <t>30-60</t>
    <phoneticPr fontId="2" type="noConversion"/>
  </si>
  <si>
    <t>攀爬，急救，跳跃，聆听，导航，外语，生存（阿尔卑斯或类似），追踪。</t>
    <phoneticPr fontId="2" type="noConversion"/>
  </si>
  <si>
    <t>10-30</t>
    <phoneticPr fontId="2" type="noConversion"/>
  </si>
  <si>
    <t>9-30</t>
    <phoneticPr fontId="2" type="noConversion"/>
  </si>
  <si>
    <t>教育×2＋意志或敏捷×2</t>
    <phoneticPr fontId="2" type="noConversion"/>
  </si>
  <si>
    <t>技艺（乐器），一项社交技能（魅惑、话术、恐吓、说服），聆听，心理学，四项其他技能。</t>
    <phoneticPr fontId="2" type="noConversion"/>
  </si>
  <si>
    <t>9-65</t>
    <phoneticPr fontId="2" type="noConversion"/>
  </si>
  <si>
    <t>5-20</t>
    <phoneticPr fontId="2" type="noConversion"/>
  </si>
  <si>
    <t>人类学，技艺（摄影），历史，图书馆，神秘学，外语，心理学，任意一项其他个人或时代特长。</t>
    <phoneticPr fontId="2" type="noConversion"/>
  </si>
  <si>
    <t>35-75</t>
    <phoneticPr fontId="2" type="noConversion"/>
  </si>
  <si>
    <t>技艺（摄影），一项社交技能（魅惑、话术、恐吓、说服），心理学，科学（化学），潜行，侦查，任意两项其他个人或时代特长。</t>
    <phoneticPr fontId="2" type="noConversion"/>
  </si>
  <si>
    <t>20-70</t>
    <phoneticPr fontId="2" type="noConversion"/>
  </si>
  <si>
    <t>教育×2＋敏捷×2</t>
    <phoneticPr fontId="2" type="noConversion"/>
  </si>
  <si>
    <t>20-50</t>
    <phoneticPr fontId="2" type="noConversion"/>
  </si>
  <si>
    <t>教育×2＋敏捷或力量×2</t>
    <phoneticPr fontId="2" type="noConversion"/>
  </si>
  <si>
    <t>攀爬、急救、历史、机械维修、导航、科学（地质），侦查，任意一项其他个人或时代特长。</t>
    <phoneticPr fontId="2" type="noConversion"/>
  </si>
  <si>
    <t>10-40</t>
    <phoneticPr fontId="2" type="noConversion"/>
  </si>
  <si>
    <t>历史，图书馆，一项社交技能（魅惑、话术、恐吓、说服），外语，侦查，任意三项其他学术领域。</t>
    <phoneticPr fontId="2" type="noConversion"/>
  </si>
  <si>
    <t>急救，机械维修，自然，导航，一项社交技能（魅惑、话术、恐吓、说服），驾驶（船），侦查，游泳。</t>
    <phoneticPr fontId="2" type="noConversion"/>
  </si>
  <si>
    <t>9-40</t>
    <phoneticPr fontId="2" type="noConversion"/>
  </si>
  <si>
    <t>9-50</t>
    <phoneticPr fontId="2" type="noConversion"/>
  </si>
  <si>
    <t>任意三项科学专业领域，计算机或图书馆，外语，母语，一项社交技能（魅惑、话术、恐吓、说服），侦查。</t>
    <phoneticPr fontId="2" type="noConversion"/>
  </si>
  <si>
    <t>20-40</t>
    <phoneticPr fontId="2" type="noConversion"/>
  </si>
  <si>
    <t>会计，两项社交技能（魅惑、话术、恐吓、说服），电气维修，聆听，机械维修，心理学，侦查。</t>
    <phoneticPr fontId="2" type="noConversion"/>
  </si>
  <si>
    <t>20-60</t>
    <phoneticPr fontId="2" type="noConversion"/>
  </si>
  <si>
    <t>技艺（表演）或乔装，射击，聆听，外语，一项社交技能（魅惑、话术、恐吓、说服），心理学，妙手，潜行。</t>
    <phoneticPr fontId="2" type="noConversion"/>
  </si>
  <si>
    <t>5-10</t>
    <phoneticPr fontId="2" type="noConversion"/>
  </si>
  <si>
    <t>10-50</t>
    <phoneticPr fontId="2" type="noConversion"/>
  </si>
  <si>
    <t>0-15</t>
    <phoneticPr fontId="2" type="noConversion"/>
  </si>
  <si>
    <t>会计，汽车驾驶，一项社交技能（魅惑、话术、恐吓、说服），历史，神秘学，心理学，科学（生物学，化学）。</t>
    <phoneticPr fontId="2" type="noConversion"/>
  </si>
  <si>
    <t>5-50</t>
    <phoneticPr fontId="2" type="noConversion"/>
  </si>
  <si>
    <t>9-20</t>
    <phoneticPr fontId="2" type="noConversion"/>
  </si>
  <si>
    <t>教育×2＋外貌或敏捷×2</t>
    <phoneticPr fontId="2" type="noConversion"/>
  </si>
  <si>
    <t>会计，技艺（任一），闪避，聆听，两项社交技能（魅惑、话术、恐吓、说服），心理学，任意一项其他个人或时代特长。</t>
    <phoneticPr fontId="2" type="noConversion"/>
  </si>
  <si>
    <t>0-30</t>
    <phoneticPr fontId="2" type="noConversion"/>
  </si>
  <si>
    <t>汽车驾驶</t>
    <phoneticPr fontId="2" type="noConversion"/>
  </si>
  <si>
    <t>电气维修</t>
    <phoneticPr fontId="2" type="noConversion"/>
  </si>
  <si>
    <t>格斗①</t>
    <phoneticPr fontId="2" type="noConversion"/>
  </si>
  <si>
    <t>急救</t>
    <phoneticPr fontId="2" type="noConversion"/>
  </si>
  <si>
    <t>机械维修</t>
    <phoneticPr fontId="2" type="noConversion"/>
  </si>
  <si>
    <t>操作重型机械</t>
    <phoneticPr fontId="2" type="noConversion"/>
  </si>
  <si>
    <t>投掷</t>
    <phoneticPr fontId="2" type="noConversion"/>
  </si>
  <si>
    <t>任意特长</t>
    <phoneticPr fontId="2" type="noConversion"/>
  </si>
  <si>
    <t>无</t>
    <phoneticPr fontId="2" type="noConversion"/>
  </si>
  <si>
    <t>9-40</t>
    <phoneticPr fontId="2" type="noConversion"/>
  </si>
  <si>
    <t>教育×2＋外貌×2</t>
    <phoneticPr fontId="2" type="noConversion"/>
  </si>
  <si>
    <t>技艺（表演），乔装，格斗，历史，两项社交技能（魅惑、话术、恐吓、说服），心理学，任意一项其他个人或时代特长。</t>
    <phoneticPr fontId="2" type="noConversion"/>
  </si>
  <si>
    <t>20-90</t>
    <phoneticPr fontId="2" type="noConversion"/>
  </si>
  <si>
    <t>教育×2＋外貌×2</t>
    <phoneticPr fontId="2" type="noConversion"/>
  </si>
  <si>
    <t>技艺（表演），乔装，汽车驾驶，两项社交技能（魅惑、话术、恐吓、说服），心理学，任意两项其他个人或时代特长（如骑乘或格斗）。</t>
    <phoneticPr fontId="2" type="noConversion"/>
  </si>
  <si>
    <t>20-45</t>
    <phoneticPr fontId="2" type="noConversion"/>
  </si>
  <si>
    <t>教育×2＋力量或敏捷×2</t>
    <phoneticPr fontId="2" type="noConversion"/>
  </si>
  <si>
    <t>一项社交技能（魅惑、话术、恐吓、说服），格斗（斗殴），射击，法律，图书馆，心理学，潜行，追踪。</t>
    <phoneticPr fontId="2" type="noConversion"/>
  </si>
  <si>
    <t>10-60</t>
    <phoneticPr fontId="2" type="noConversion"/>
  </si>
  <si>
    <t>法律，聆听，医学，外语，精神分析，心理学，科学（生物学，化学）。</t>
    <phoneticPr fontId="2" type="noConversion"/>
  </si>
  <si>
    <t>10-40</t>
    <phoneticPr fontId="2" type="noConversion"/>
  </si>
  <si>
    <t>教育×2＋外貌或意志×2</t>
    <phoneticPr fontId="2" type="noConversion"/>
  </si>
  <si>
    <t>跳跃，聆听，自然，心理学，科学（动物学），潜行，追踪，任意一项其他个人或时代特长。</t>
    <phoneticPr fontId="2" type="noConversion"/>
  </si>
  <si>
    <t>30-70</t>
    <phoneticPr fontId="2" type="noConversion"/>
  </si>
  <si>
    <t>估价，技艺（任一），历史，图书馆，外语，一项社交技能（魅惑、话术、恐吓、说服），侦查，任意一项其他个人或时代特长。</t>
    <phoneticPr fontId="2" type="noConversion"/>
  </si>
  <si>
    <t>30-50</t>
    <phoneticPr fontId="2" type="noConversion"/>
  </si>
  <si>
    <t>教育×4</t>
    <phoneticPr fontId="2" type="noConversion"/>
  </si>
  <si>
    <t>会计，估价，汽车驾驶，两项社交技能（魅惑、话术、恐吓、说服），历史，图书馆，导航。</t>
    <phoneticPr fontId="2" type="noConversion"/>
  </si>
  <si>
    <t>估价，考古，历史，外语，图书馆，侦查，机械维修，导航或科学（任一：如化学、物理、地理等）。</t>
    <phoneticPr fontId="2" type="noConversion"/>
  </si>
  <si>
    <t>30-70</t>
    <phoneticPr fontId="2" type="noConversion"/>
  </si>
  <si>
    <t>会计，技艺（技术制图），法律，母语，计算机或图书馆，说服，心理学，科学（数学）。</t>
    <phoneticPr fontId="2" type="noConversion"/>
  </si>
  <si>
    <t>9-50</t>
    <phoneticPr fontId="2" type="noConversion"/>
  </si>
  <si>
    <t>教育×2＋敏捷或意志×2</t>
    <phoneticPr fontId="2" type="noConversion"/>
  </si>
  <si>
    <t>技艺（任一），历史或自然，一项社交技能（魅惑、话术、恐吓、说服），外语，心理学，侦查，任意两项其他个人或时代特长。</t>
    <phoneticPr fontId="2" type="noConversion"/>
  </si>
  <si>
    <t>8-20</t>
    <phoneticPr fontId="2" type="noConversion"/>
  </si>
  <si>
    <t>闪避，格斗（斗殴），急救，两项社交技能（魅惑、话术、恐吓、说服），聆听，心理学，潜行。</t>
    <phoneticPr fontId="2" type="noConversion"/>
  </si>
  <si>
    <t>9-70</t>
    <phoneticPr fontId="2" type="noConversion"/>
  </si>
  <si>
    <t>攀爬，跳跃，格斗（斗殴），骑乘，一项社交技能（魅惑、话术、恐吓、说服），游泳，投掷，任意一项其他个人或时代特长。</t>
    <phoneticPr fontId="2" type="noConversion"/>
  </si>
  <si>
    <t>技艺（文学），历史，图书馆，自然或神秘学，外语，母语，心理学，任意一项其他个人或时代特长。</t>
    <phoneticPr fontId="2" type="noConversion"/>
  </si>
  <si>
    <t>8-25</t>
    <phoneticPr fontId="2" type="noConversion"/>
  </si>
  <si>
    <t>会计，两项社交技能（魅惑、话术、恐吓、说服），格斗（斗殴），聆听，心理学，侦查，任意一项其他个人或时代特长。</t>
    <phoneticPr fontId="2" type="noConversion"/>
  </si>
  <si>
    <t>射击，聆听或侦查，自然，导航，外语或生存（任一），科学（生物学或植物学），潜行，追踪。</t>
    <phoneticPr fontId="2" type="noConversion"/>
  </si>
  <si>
    <t>会计，估价，汽车驾驶，历史，图书馆，母语，外语，一项社交技能（魅惑、话术、恐吓、说服）。</t>
    <phoneticPr fontId="2" type="noConversion"/>
  </si>
  <si>
    <t>汽车驾驶，电子学或电气维修，格斗或射击，一项社交技能（魅惑、话术、恐吓、说服），法律，心理学，追踪，潜行。</t>
    <phoneticPr fontId="2" type="noConversion"/>
  </si>
  <si>
    <t>9-60</t>
    <phoneticPr fontId="2" type="noConversion"/>
  </si>
  <si>
    <t>教育×2＋力量×2</t>
    <phoneticPr fontId="2" type="noConversion"/>
  </si>
  <si>
    <t>闪避，格斗（斗殴），恐吓，跳跃，心理学，侦查，任意两项其他个人或时代特长。</t>
    <phoneticPr fontId="2" type="noConversion"/>
  </si>
  <si>
    <t>会计或估价，技艺（任一：如烹饪、裁缝、理发），急救，聆听，外语，心理学，侦查，任意一项其他个人或时代特长。</t>
    <phoneticPr fontId="2" type="noConversion"/>
  </si>
  <si>
    <t>会计，历史，图书馆，聆听，外语，一项社交技能（魅惑、话术、恐吓、说服），心理学，任意一项其他技能。</t>
    <phoneticPr fontId="2" type="noConversion"/>
  </si>
  <si>
    <t>10-70</t>
    <phoneticPr fontId="2" type="noConversion"/>
  </si>
  <si>
    <t>计算机，电气维修，电子学、图书馆，科学（数学），侦查，任意两项其他个人或时代特长。</t>
    <phoneticPr fontId="2" type="noConversion"/>
  </si>
  <si>
    <t>计算机，电气维修，电子学，图书馆，侦查，一项社交技能（魅惑、话术、恐吓、说服），任意两项其他技能。</t>
    <phoneticPr fontId="2" type="noConversion"/>
  </si>
  <si>
    <t>闪避，格斗或射击，急救或自然，跳跃，骑乘，生存（任一），投掷，追踪。</t>
    <phoneticPr fontId="2" type="noConversion"/>
  </si>
  <si>
    <t>会计，技艺（任二），机械维修，自然，侦查，任意两项其他个人或时代特长。</t>
    <phoneticPr fontId="2" type="noConversion"/>
  </si>
  <si>
    <t>乔装，电气维修，格斗，射击，锁匠，机械维修，潜行，心理学。</t>
    <phoneticPr fontId="2" type="noConversion"/>
  </si>
  <si>
    <t>5-75</t>
    <phoneticPr fontId="2" type="noConversion"/>
  </si>
  <si>
    <t>汽车驾驶，电气维修或机械维修，格斗，射击，恐吓，锁匠，操作重型机械，任意一项其他个人或时代特长。</t>
    <phoneticPr fontId="2" type="noConversion"/>
  </si>
  <si>
    <t>5-30</t>
    <phoneticPr fontId="2" type="noConversion"/>
  </si>
  <si>
    <t>汽车驾驶，格斗，射击，两项社交技能（魅惑、话术、恐吓、说服），心理学，潜行，侦查。</t>
    <phoneticPr fontId="2" type="noConversion"/>
  </si>
  <si>
    <t>5-40</t>
    <phoneticPr fontId="2" type="noConversion"/>
  </si>
  <si>
    <t>估价，攀爬，电气维修或机械维修，聆听，锁匠，妙手，潜行，侦查。</t>
    <phoneticPr fontId="2" type="noConversion"/>
  </si>
  <si>
    <t>10-65</t>
    <phoneticPr fontId="2" type="noConversion"/>
  </si>
  <si>
    <t>估价，技艺（表演），法律或外语，聆听，两项社交技能（魅惑、话术、恐吓、说服），心理学，妙手。</t>
    <phoneticPr fontId="2" type="noConversion"/>
  </si>
  <si>
    <t>5-65</t>
    <phoneticPr fontId="2" type="noConversion"/>
  </si>
  <si>
    <t>技艺（表演）或乔装，估价，一项社交技能（魅惑、话术、恐吓、说服），格斗或射击，锁匠或机械维修，潜行，心理学，侦查。</t>
    <phoneticPr fontId="2" type="noConversion"/>
  </si>
  <si>
    <t>10-80</t>
    <phoneticPr fontId="2" type="noConversion"/>
  </si>
  <si>
    <t>技艺（任意），两项社交技能（魅惑、话术、恐吓、说服），格斗（斗殴）或射击（手枪），汽车驾驶，聆听，潜行，任意一项其他个人或时代特长。</t>
    <phoneticPr fontId="2" type="noConversion"/>
  </si>
  <si>
    <t>会计，估价，技艺（伪造），历史，一项社交技能（魅惑、话术、恐吓、说服），图书馆，侦查，任意一项其他技能。</t>
    <phoneticPr fontId="2" type="noConversion"/>
  </si>
  <si>
    <t>会计，估价，技艺（伪造），历史，图书馆，侦查，妙手，任意一项其他个人或时代特长（如计算机）。</t>
    <phoneticPr fontId="2" type="noConversion"/>
  </si>
  <si>
    <t>射击，聆听，导航，一项社交技能（魅惑、话术、恐吓、说服），汽车驾驶或驾驶（飞行器或船），心理学，妙手，侦查。</t>
    <phoneticPr fontId="2" type="noConversion"/>
  </si>
  <si>
    <t>3-10</t>
    <phoneticPr fontId="2" type="noConversion"/>
  </si>
  <si>
    <t>攀爬，一项社交技能（魅惑、话术、恐吓、说服），格斗，射击，跳跃，妙手，潜行，投掷。</t>
    <phoneticPr fontId="2" type="noConversion"/>
  </si>
  <si>
    <t>会计，两项社交技能（魅惑、话术、恐吓、说服），神秘学，心理学，侦查，任意其他两项其他个人特长。</t>
    <phoneticPr fontId="2" type="noConversion"/>
  </si>
  <si>
    <t>两项社交技能（魅惑、话术、恐吓、说服），汽车驾驶，格斗（斗殴）或射击，历史，神秘学，心理学，潜行。※经KP允许 可用催眠替换其中一项。</t>
    <phoneticPr fontId="2" type="noConversion"/>
  </si>
  <si>
    <t>会计，技艺（摄影），技艺（任一），计算机或图书馆，机械维修，心理学，侦查，任意一项其他个人特长。</t>
    <phoneticPr fontId="2" type="noConversion"/>
  </si>
  <si>
    <t>50-99</t>
    <phoneticPr fontId="2" type="noConversion"/>
  </si>
  <si>
    <t>技艺（任一），射击，外语，骑乘，一项社交技能（魅惑、话术、恐吓、说服），任意三项其他个人或时代特长。</t>
    <phoneticPr fontId="2" type="noConversion"/>
  </si>
  <si>
    <t>潜水，急救，机械维修，驾驶（船），科学（生物），侦查，游泳，任意一项其他个人或时代特长。</t>
    <phoneticPr fontId="2" type="noConversion"/>
  </si>
  <si>
    <t>30-80</t>
    <phoneticPr fontId="2" type="noConversion"/>
  </si>
  <si>
    <t>急救、医学、外语（拉丁文）、心理学、科学（生物学，制药），任两种其他学术或个人特长。</t>
    <phoneticPr fontId="2" type="noConversion"/>
  </si>
  <si>
    <t>0-5</t>
    <phoneticPr fontId="2" type="noConversion"/>
  </si>
  <si>
    <t>教育×2＋外貌或敏捷或力量×2</t>
    <phoneticPr fontId="2" type="noConversion"/>
  </si>
  <si>
    <t>攀爬，跳跃，聆听，导航，一项社交技能（魅惑、话术、恐吓、说服），潜行，任意两项其他个人或时代特长。</t>
    <phoneticPr fontId="2" type="noConversion"/>
  </si>
  <si>
    <t>汽车驾驶，两项社交技能（魅惑、话术、恐吓、说服），聆听，机械维修，导航，侦查，任意一项其他个人或时代特长。</t>
    <phoneticPr fontId="2" type="noConversion"/>
  </si>
  <si>
    <t>会计，汽车驾驶，聆听，一项社交技能（魅惑、话术、恐吓、说服），机械维修，导航，心理学，任意一项其他个人或时代特长。</t>
    <phoneticPr fontId="2" type="noConversion"/>
  </si>
  <si>
    <t>会计，汽车驾驶，电气维修，话术，机械维修，导航，侦查，任意一项其他个人或时代特长。</t>
    <phoneticPr fontId="2" type="noConversion"/>
  </si>
  <si>
    <t>会计，历史，母语，两项社交技能（魅惑、话术、恐吓、说服），心理学，侦查，任意一项其他个人或时代特长。</t>
    <phoneticPr fontId="2" type="noConversion"/>
  </si>
  <si>
    <t>50-90</t>
    <phoneticPr fontId="2" type="noConversion"/>
  </si>
  <si>
    <t>魅惑，历史，恐吓，话术，聆听，母语，说服，心理学。</t>
    <phoneticPr fontId="2" type="noConversion"/>
  </si>
  <si>
    <t>技艺（技术制图），电气维修，图书馆，机械维修，操作重型机械，科学（工程学，物理），任意一项其他个人或时代特长。</t>
    <phoneticPr fontId="2" type="noConversion"/>
  </si>
  <si>
    <t>技艺（表演类，如表演、演唱、喜剧等），乔装，两项社交技能（魅惑、话术、恐吓、说服），聆听，心理学，任意两项其他个人或时代特长。</t>
    <phoneticPr fontId="2" type="noConversion"/>
  </si>
  <si>
    <t>55-80</t>
    <phoneticPr fontId="2" type="noConversion"/>
  </si>
  <si>
    <t>教育×2＋外貌或敏捷或力量×2</t>
    <phoneticPr fontId="2" type="noConversion"/>
  </si>
  <si>
    <t>攀爬或游泳，射击，历史，跳跃，自然，导航，外语，生存。</t>
    <phoneticPr fontId="2" type="noConversion"/>
  </si>
  <si>
    <t>9-30</t>
    <phoneticPr fontId="2" type="noConversion"/>
  </si>
  <si>
    <t>教育×2＋敏捷或力量×2</t>
    <phoneticPr fontId="2" type="noConversion"/>
  </si>
  <si>
    <t>技艺（耕作），汽车驾驶（或运货马车），一项社交技能（魅惑、话术、恐吓、说服），机械维修，自然，操作重型机械，追踪，任意一项其他个人或时代特长</t>
    <phoneticPr fontId="2" type="noConversion"/>
  </si>
  <si>
    <t>20-40</t>
    <phoneticPr fontId="2" type="noConversion"/>
  </si>
  <si>
    <t>教育×4</t>
    <phoneticPr fontId="2" type="noConversion"/>
  </si>
  <si>
    <t>汽车驾驶，格斗（斗殴），射击，法律，说服，潜行，侦查，任意一项其他个人或时代特长。</t>
    <phoneticPr fontId="2" type="noConversion"/>
  </si>
  <si>
    <t>攀爬，闪避，汽车驾驶，急救，跳跃，机械维修，操作重型机械，投掷。</t>
    <phoneticPr fontId="2" type="noConversion"/>
  </si>
  <si>
    <t>10-40</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</si>
  <si>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</si>
  <si>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</si>
  <si>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</si>
  <si>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会计，技艺（表演），两项社交技能（魅惑、话术、恐吓、说服），聆听，心理学，妙手，侦查。</t>
    <phoneticPr fontId="2" type="noConversion"/>
  </si>
  <si>
    <t>60-95</t>
    <phoneticPr fontId="2" type="noConversion"/>
  </si>
  <si>
    <t>格斗，射击，法律，聆听，两项社交技能（魅惑、话术、恐吓、说服），心理学，侦查。</t>
    <phoneticPr fontId="2" type="noConversion"/>
  </si>
  <si>
    <t>汽车驾驶，格斗，射击，两项社交技能（魅惑、话术、恐吓、说服），心理学，任意两项其他个人或时代特长。</t>
    <phoneticPr fontId="2" type="noConversion"/>
  </si>
  <si>
    <t>40-90</t>
    <phoneticPr fontId="2" type="noConversion"/>
  </si>
  <si>
    <t>技艺（任一），两项社交技能（魅惑、话术、恐吓、说服），射击（步枪/霰弹枪），历史，外语（任一），导航，骑乘。</t>
    <phoneticPr fontId="2" type="noConversion"/>
  </si>
  <si>
    <t>技艺（任一），攀爬，跳跃，聆听，锁匠或妙手，导航，潜行，任意一项其他个人或时代特长。</t>
    <phoneticPr fontId="2" type="noConversion"/>
  </si>
  <si>
    <t>6-15</t>
    <phoneticPr fontId="2" type="noConversion"/>
  </si>
  <si>
    <t>电气维修，一项社交技能（魅惑、话术、恐吓、说服），格斗（斗殴），急救，聆听，机械维修，心理学，潜行。</t>
    <phoneticPr fontId="2" type="noConversion"/>
  </si>
  <si>
    <t>技艺（艺术或摄影），一项社交技能（魅惑、话术、恐吓、说服），历史，图书馆，母语，心理学，任意两项其他个人或时代特长。</t>
    <phoneticPr fontId="2" type="noConversion"/>
  </si>
  <si>
    <t>技艺（表演），历史，聆听，母语，一项社交技能（魅惑、话术、恐吓、说服），心理学，潜行，侦查。</t>
    <phoneticPr fontId="2" type="noConversion"/>
  </si>
  <si>
    <t>50-80</t>
    <phoneticPr fontId="2" type="noConversion"/>
  </si>
  <si>
    <t>历史，恐吓，法律，图书馆，聆听，母语，说服，心理学。</t>
    <phoneticPr fontId="2" type="noConversion"/>
  </si>
  <si>
    <t>计算机或图书馆，电气维修，外语，科学（化学和任意两项），侦查，任意一项其他个人特长。</t>
    <phoneticPr fontId="2" type="noConversion"/>
  </si>
  <si>
    <t>汽车驾驶，电气维修，格斗，急救，机械维修，操作重型机械，投掷，任意一项其他个人或时代特长。</t>
    <phoneticPr fontId="2" type="noConversion"/>
  </si>
  <si>
    <t>攀爬，闪避，格斗（链锯），急救，跳跃，机械维修，自然或科学（生物学或植物学），投掷。</t>
    <phoneticPr fontId="2" type="noConversion"/>
  </si>
  <si>
    <t>攀爬，科学（地质），跳跃，机械维修，操作重型机械，潜行，侦查，任意一项其他个人或时代特长。</t>
    <phoneticPr fontId="2" type="noConversion"/>
  </si>
  <si>
    <t>会计，法律，图书馆，两项社交技能（魅惑、话术、恐吓、说服），心理学，两项其他技能。</t>
    <phoneticPr fontId="2" type="noConversion"/>
  </si>
  <si>
    <t>9-35</t>
    <phoneticPr fontId="2" type="noConversion"/>
  </si>
  <si>
    <t>技艺（木工、焊接、管道工等），攀爬，汽车驾驶，电气维修，机械维修，操作重型机械，任意两项其他个人或时代或技术特长。</t>
    <phoneticPr fontId="2" type="noConversion"/>
  </si>
  <si>
    <t>技艺（任一），急救，机械维修，医学，自然，一项社交技能（魅惑、话术、恐吓、说服），任意两项其他个人或时代特长。</t>
    <phoneticPr fontId="2" type="noConversion"/>
  </si>
  <si>
    <t>会计，估价，考古，历史，图书馆，神秘学，外语，侦查。</t>
    <phoneticPr fontId="2" type="noConversion"/>
  </si>
  <si>
    <t>急救，聆听，医学，一项社交技能（魅惑、话术、恐吓、说服），心理学，科学（生物学，化学），侦查。</t>
    <phoneticPr fontId="2" type="noConversion"/>
  </si>
  <si>
    <t>射击，急救，聆听，自然，导航，侦查，生存（任一），追踪。</t>
    <phoneticPr fontId="2" type="noConversion"/>
  </si>
  <si>
    <t>会计，急救，外语（拉丁文），图书馆，一项社交技能（魅惑、话术、恐吓、说服），心理学，科学（制药，化学）。</t>
    <phoneticPr fontId="2" type="noConversion"/>
  </si>
  <si>
    <t>技艺（摄影），攀爬，一项社交技能（魅惑、话术、恐吓、说服），外语，心理学，科学（化学），任意两项其他个人或时代特长。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</si>
  <si>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</si>
  <si>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</si>
  <si>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技艺（表演）或乔装，射击，法律，聆听，一项社交技能（魅惑、话术、恐吓、说服），心理学，侦查，一项其他技能。</t>
    <phoneticPr fontId="2" type="noConversion"/>
  </si>
  <si>
    <t>格斗（斗殴），射击，急救，一项社交技能（魅惑、话术、恐吓、说服），法律，心理学，侦查和下面的一种个人特长：汽车驾驶或骑乘。</t>
    <phoneticPr fontId="2" type="noConversion"/>
  </si>
  <si>
    <t>技艺（摄影），乔装，法律，图书馆，一项社交技能（魅惑、话术、恐吓、说服），心理学，侦查，一项其他个人或时代特长（如计算机、锁匠、格斗、射击）。</t>
    <phoneticPr fontId="2" type="noConversion"/>
  </si>
  <si>
    <t>图书馆，外语，母语，心理学，任意四项其他学术、时代或个人特长。</t>
    <phoneticPr fontId="2" type="noConversion"/>
  </si>
  <si>
    <t>0-10</t>
    <phoneticPr fontId="2" type="noConversion"/>
  </si>
  <si>
    <t>技艺（任一），两项社交技能（魅惑、话术、恐吓、说服），闪避，心理学，妙手，潜行，任意一项其他个人或时代特长。</t>
    <phoneticPr fontId="2" type="noConversion"/>
  </si>
  <si>
    <t>外语，聆听，医学，说服，精神分析，心理学，科学（生物学，化学）。</t>
    <phoneticPr fontId="2" type="noConversion"/>
  </si>
  <si>
    <t>会计，图书馆，聆听，说服，精神分析，心理学，任意两项其他学术、个人或时代特长。</t>
    <phoneticPr fontId="2" type="noConversion"/>
  </si>
  <si>
    <t>电工或机械维修，格斗，射击，急救，导航，驾驶（船），生存（海上），游泳。</t>
    <phoneticPr fontId="2" type="noConversion"/>
  </si>
  <si>
    <t>会计，两项社交技能（魅惑、话术、恐吓、说服），汽车驾驶，聆听，心理学，潜行或妙手，一项其他技能。</t>
    <phoneticPr fontId="2" type="noConversion"/>
  </si>
  <si>
    <t>会计，技艺（打字或速记），两项社交技能（魅惑、话术、恐吓、说服），母语，图书馆或计算机，心理学，任意一项其他个人或时代特长。</t>
    <phoneticPr fontId="2" type="noConversion"/>
  </si>
  <si>
    <t>攀爬或游泳，闪避，格斗，射击，潜行，生存，下面任选两项：急救、机械维修、外语。</t>
    <phoneticPr fontId="2" type="noConversion"/>
  </si>
  <si>
    <t>语言（母语或外语），图书馆，聆听，三个学习的专业，任意两项其他个人或时代特长。</t>
    <phoneticPr fontId="2" type="noConversion"/>
  </si>
  <si>
    <t>攀爬，格斗或投掷，聆听，自然，神秘学，侦查，游泳，生存（任一）。</t>
    <phoneticPr fontId="2" type="noConversion"/>
  </si>
  <si>
    <t>会计，两项社交技能（魅惑、话术、恐吓、说服），格斗（斗殴），法律，聆听，操作重型机械，心理学。</t>
    <phoneticPr fontId="2" type="noConversion"/>
  </si>
  <si>
    <t>会计，语言，法律，图书馆或计算机，聆听，一项社交技能（魅惑、话术、恐吓、说服），任意两项其他个人或时代特长。</t>
    <phoneticPr fontId="2" type="noConversion"/>
  </si>
  <si>
    <t>20-80</t>
    <phoneticPr fontId="2" type="noConversion"/>
  </si>
  <si>
    <t>会计，外语，法律，两项社交技能（魅惑、话术、恐吓、说服），心理学，任意两项其他个人或时代特长。</t>
    <phoneticPr fontId="2" type="noConversion"/>
  </si>
  <si>
    <t>0-30</t>
    <phoneticPr fontId="2" type="noConversion"/>
  </si>
  <si>
    <t>教育×2＋外貌或意志×2</t>
    <phoneticPr fontId="2" type="noConversion"/>
  </si>
  <si>
    <t>历史，两项社交技能（魅惑、话术、恐吓、说服），心理学，潜行，任意三项其他个人或时代特长。</t>
    <phoneticPr fontId="2" type="noConversion"/>
  </si>
  <si>
    <t>9-40</t>
    <phoneticPr fontId="2" type="noConversion"/>
  </si>
  <si>
    <t>驯兽，会计，闪避，急救，自然，医学，科学（制药，动物学）。</t>
    <phoneticPr fontId="2" type="noConversion"/>
  </si>
  <si>
    <t>人类学，历史，图书馆，一项社交技能（魅惑、话术、恐吓、说服），神秘学，外语，科学（天文），任意一项其他个人或时代特长 ※经KP允许 可以包含克苏鲁神话</t>
    <phoneticPr fontId="2" type="noConversion"/>
  </si>
  <si>
    <t>自定义职业本职技能</t>
    <phoneticPr fontId="2" type="noConversion"/>
  </si>
  <si>
    <t>无</t>
    <phoneticPr fontId="2" type="noConversion"/>
  </si>
  <si>
    <t>武器列表</t>
    <phoneticPr fontId="2" type="noConversion"/>
  </si>
  <si>
    <t>其他武器技能</t>
    <phoneticPr fontId="2" type="noConversion"/>
  </si>
  <si>
    <t>绞具</t>
    <phoneticPr fontId="2" type="noConversion"/>
  </si>
  <si>
    <t>基于1.6.1原版开始更新
添加信誉参照表，信用评级去除兴趣点加点</t>
    <phoneticPr fontId="2" type="noConversion"/>
  </si>
  <si>
    <t>演员-戏剧演员</t>
    <phoneticPr fontId="2" type="noConversion"/>
  </si>
  <si>
    <t>演员-电影演员</t>
    <phoneticPr fontId="2" type="noConversion"/>
  </si>
  <si>
    <t>事务所侦探、保安</t>
    <phoneticPr fontId="2" type="noConversion"/>
  </si>
  <si>
    <t>精神病医生（古典）</t>
    <phoneticPr fontId="2" type="noConversion"/>
  </si>
  <si>
    <t>动物训练师</t>
    <phoneticPr fontId="2" type="noConversion"/>
  </si>
  <si>
    <t>文物学家（原作向）</t>
    <phoneticPr fontId="2" type="noConversion"/>
  </si>
  <si>
    <t>古董商</t>
    <phoneticPr fontId="2" type="noConversion"/>
  </si>
  <si>
    <t>考古学家（原作向）</t>
    <phoneticPr fontId="2" type="noConversion"/>
  </si>
  <si>
    <t>建筑师</t>
    <phoneticPr fontId="2" type="noConversion"/>
  </si>
  <si>
    <t>艺术家</t>
    <phoneticPr fontId="2" type="noConversion"/>
  </si>
  <si>
    <t>精神病院看护</t>
    <phoneticPr fontId="2" type="noConversion"/>
  </si>
  <si>
    <t>运动员</t>
    <phoneticPr fontId="2" type="noConversion"/>
  </si>
  <si>
    <t>作家（原作向）</t>
    <phoneticPr fontId="2" type="noConversion"/>
  </si>
  <si>
    <t>酒保</t>
    <phoneticPr fontId="2" type="noConversion"/>
  </si>
  <si>
    <t>猎人</t>
    <phoneticPr fontId="2" type="noConversion"/>
  </si>
  <si>
    <t>书商</t>
    <phoneticPr fontId="2" type="noConversion"/>
  </si>
  <si>
    <t>赏金猎人</t>
    <phoneticPr fontId="2" type="noConversion"/>
  </si>
  <si>
    <t>拳击手、摔跤手</t>
    <phoneticPr fontId="2" type="noConversion"/>
  </si>
  <si>
    <t>管家、男仆、女仆</t>
    <phoneticPr fontId="2" type="noConversion"/>
  </si>
  <si>
    <t>神职人员</t>
    <phoneticPr fontId="2" type="noConversion"/>
  </si>
  <si>
    <t>程序员、电子工程师（现代）</t>
    <phoneticPr fontId="2" type="noConversion"/>
  </si>
  <si>
    <t>黑客/骇客（现代）</t>
    <phoneticPr fontId="2" type="noConversion"/>
  </si>
  <si>
    <t>牛仔</t>
    <phoneticPr fontId="2" type="noConversion"/>
  </si>
  <si>
    <t>工匠</t>
    <phoneticPr fontId="2" type="noConversion"/>
  </si>
  <si>
    <t>罪犯-刺客</t>
    <phoneticPr fontId="2" type="noConversion"/>
  </si>
  <si>
    <t>罪犯-银行劫匪</t>
    <phoneticPr fontId="2" type="noConversion"/>
  </si>
  <si>
    <t>罪犯-打手、暴徒</t>
    <phoneticPr fontId="2" type="noConversion"/>
  </si>
  <si>
    <t>罪犯-窃贼</t>
    <phoneticPr fontId="2" type="noConversion"/>
  </si>
  <si>
    <t>罪犯-欺诈师</t>
    <phoneticPr fontId="2" type="noConversion"/>
  </si>
  <si>
    <t>罪犯-独行罪犯</t>
    <phoneticPr fontId="2" type="noConversion"/>
  </si>
  <si>
    <t>罪犯-女飞贼（古典）</t>
    <phoneticPr fontId="2" type="noConversion"/>
  </si>
  <si>
    <t>罪犯-赃物贩子</t>
    <phoneticPr fontId="2" type="noConversion"/>
  </si>
  <si>
    <t>罪犯-赝造者</t>
    <phoneticPr fontId="2" type="noConversion"/>
  </si>
  <si>
    <t>罪犯-走私者</t>
    <phoneticPr fontId="2" type="noConversion"/>
  </si>
  <si>
    <t>罪犯-混混</t>
    <phoneticPr fontId="2" type="noConversion"/>
  </si>
  <si>
    <t>教团首领</t>
    <phoneticPr fontId="2" type="noConversion"/>
  </si>
  <si>
    <t>除魅师（现代）</t>
    <phoneticPr fontId="2" type="noConversion"/>
  </si>
  <si>
    <t>设计师</t>
    <phoneticPr fontId="2" type="noConversion"/>
  </si>
  <si>
    <t>业余艺术爱好者（原作向）</t>
    <phoneticPr fontId="2" type="noConversion"/>
  </si>
  <si>
    <t>潜水员</t>
    <phoneticPr fontId="2" type="noConversion"/>
  </si>
  <si>
    <t>医生（原作向）</t>
    <phoneticPr fontId="2" type="noConversion"/>
  </si>
  <si>
    <t>流浪者</t>
    <phoneticPr fontId="2" type="noConversion"/>
  </si>
  <si>
    <t>司机-私人司机</t>
    <phoneticPr fontId="2" type="noConversion"/>
  </si>
  <si>
    <t>司机-司机</t>
    <phoneticPr fontId="2" type="noConversion"/>
  </si>
  <si>
    <t>司机-出租车司机</t>
    <phoneticPr fontId="2" type="noConversion"/>
  </si>
  <si>
    <t>编辑</t>
    <phoneticPr fontId="2" type="noConversion"/>
  </si>
  <si>
    <t>政府官员</t>
    <phoneticPr fontId="2" type="noConversion"/>
  </si>
  <si>
    <t>工程师</t>
    <phoneticPr fontId="2" type="noConversion"/>
  </si>
  <si>
    <t>艺人</t>
    <phoneticPr fontId="2" type="noConversion"/>
  </si>
  <si>
    <t>探险家（古典）</t>
    <phoneticPr fontId="2" type="noConversion"/>
  </si>
  <si>
    <t>农民</t>
    <phoneticPr fontId="2" type="noConversion"/>
  </si>
  <si>
    <t>联邦探员</t>
    <phoneticPr fontId="2" type="noConversion"/>
  </si>
  <si>
    <t>消防员</t>
    <phoneticPr fontId="2" type="noConversion"/>
  </si>
  <si>
    <t>驻外记者</t>
    <phoneticPr fontId="2" type="noConversion"/>
  </si>
  <si>
    <t>法医</t>
    <phoneticPr fontId="2" type="noConversion"/>
  </si>
  <si>
    <t>赌徒</t>
    <phoneticPr fontId="2" type="noConversion"/>
  </si>
  <si>
    <t>黑帮-黑帮老大</t>
    <phoneticPr fontId="2" type="noConversion"/>
  </si>
  <si>
    <t>黑帮-马仔</t>
    <phoneticPr fontId="2" type="noConversion"/>
  </si>
  <si>
    <t>绅士、淑女</t>
    <phoneticPr fontId="2" type="noConversion"/>
  </si>
  <si>
    <t>游民</t>
    <phoneticPr fontId="2" type="noConversion"/>
  </si>
  <si>
    <t>勤杂护工</t>
    <phoneticPr fontId="2" type="noConversion"/>
  </si>
  <si>
    <t>记者(原作向)-调查记者</t>
    <phoneticPr fontId="2" type="noConversion"/>
  </si>
  <si>
    <t>记者(原作向)-通讯记者</t>
    <phoneticPr fontId="2" type="noConversion"/>
  </si>
  <si>
    <t>法官</t>
    <phoneticPr fontId="2" type="noConversion"/>
  </si>
  <si>
    <t>实验室助理</t>
    <phoneticPr fontId="2" type="noConversion"/>
  </si>
  <si>
    <t>工人-非熟练工人</t>
    <phoneticPr fontId="2" type="noConversion"/>
  </si>
  <si>
    <t>工人-伐木工</t>
    <phoneticPr fontId="2" type="noConversion"/>
  </si>
  <si>
    <t>工人-矿工</t>
    <phoneticPr fontId="2" type="noConversion"/>
  </si>
  <si>
    <t>律师</t>
    <phoneticPr fontId="2" type="noConversion"/>
  </si>
  <si>
    <t>图书馆管理员（原作向）</t>
    <phoneticPr fontId="2" type="noConversion"/>
  </si>
  <si>
    <t>技师</t>
    <phoneticPr fontId="2" type="noConversion"/>
  </si>
  <si>
    <t>军官</t>
    <phoneticPr fontId="2" type="noConversion"/>
  </si>
  <si>
    <t>传教士</t>
    <phoneticPr fontId="2" type="noConversion"/>
  </si>
  <si>
    <t>登山家</t>
    <phoneticPr fontId="2" type="noConversion"/>
  </si>
  <si>
    <t>博物馆管理员</t>
    <phoneticPr fontId="2" type="noConversion"/>
  </si>
  <si>
    <t>音乐家</t>
    <phoneticPr fontId="2" type="noConversion"/>
  </si>
  <si>
    <t>护士</t>
    <phoneticPr fontId="2" type="noConversion"/>
  </si>
  <si>
    <t>神秘学家</t>
    <phoneticPr fontId="2" type="noConversion"/>
  </si>
  <si>
    <t>旅行家</t>
    <phoneticPr fontId="2" type="noConversion"/>
  </si>
  <si>
    <t>超心理学家</t>
    <phoneticPr fontId="2" type="noConversion"/>
  </si>
  <si>
    <t>药剂师</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</si>
  <si>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</si>
  <si>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</si>
  <si>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</si>
  <si>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</si>
  <si>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警方(原作向)-巡警</t>
    <phoneticPr fontId="2" type="noConversion"/>
  </si>
  <si>
    <t>私家侦探</t>
    <phoneticPr fontId="2" type="noConversion"/>
  </si>
  <si>
    <t>教授（原作向）</t>
    <phoneticPr fontId="2" type="noConversion"/>
  </si>
  <si>
    <t>淘金客</t>
    <phoneticPr fontId="2" type="noConversion"/>
  </si>
  <si>
    <t>性工作者</t>
    <phoneticPr fontId="2" type="noConversion"/>
  </si>
  <si>
    <t>精神病学家</t>
    <phoneticPr fontId="2" type="noConversion"/>
  </si>
  <si>
    <t>心理学家、精神分析学家</t>
    <phoneticPr fontId="2" type="noConversion"/>
  </si>
  <si>
    <t>研究员</t>
    <phoneticPr fontId="2" type="noConversion"/>
  </si>
  <si>
    <t>海员-军舰海员</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</si>
  <si>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</si>
  <si>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</si>
  <si>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</si>
  <si>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</si>
  <si>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</si>
  <si>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</si>
  <si>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间谍</t>
    <phoneticPr fontId="2" type="noConversion"/>
  </si>
  <si>
    <t>学生、实习生</t>
    <phoneticPr fontId="2" type="noConversion"/>
  </si>
  <si>
    <t>替身演员</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</si>
  <si>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</si>
  <si>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</si>
  <si>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</si>
  <si>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</si>
  <si>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</si>
  <si>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</si>
  <si>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狂热者</t>
    <phoneticPr fontId="2" type="noConversion"/>
  </si>
  <si>
    <t>饲养员</t>
    <phoneticPr fontId="2" type="noConversion"/>
  </si>
  <si>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phoneticPr fontId="2" type="noConversion"/>
  </si>
  <si>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phoneticPr fontId="2" type="noConversion"/>
  </si>
  <si>
    <t>最终结果</t>
    <phoneticPr fontId="2" type="noConversion"/>
  </si>
  <si>
    <t>判断结果</t>
    <phoneticPr fontId="2" type="noConversion"/>
  </si>
  <si>
    <t>潜水</t>
    <phoneticPr fontId="2" type="noConversion"/>
  </si>
  <si>
    <t>爆破</t>
    <phoneticPr fontId="2" type="noConversion"/>
  </si>
  <si>
    <t>读唇</t>
    <phoneticPr fontId="2" type="noConversion"/>
  </si>
  <si>
    <t>催眠</t>
    <phoneticPr fontId="2" type="noConversion"/>
  </si>
  <si>
    <t>炮术</t>
    <phoneticPr fontId="2" type="noConversion"/>
  </si>
  <si>
    <t>外语②</t>
    <phoneticPr fontId="2" type="noConversion"/>
  </si>
  <si>
    <t>母语</t>
    <phoneticPr fontId="2" type="noConversion"/>
  </si>
  <si>
    <t>追踪</t>
    <phoneticPr fontId="2" type="noConversion"/>
  </si>
  <si>
    <t>美术</t>
    <phoneticPr fontId="2" type="noConversion"/>
  </si>
  <si>
    <t>歌剧歌唱</t>
    <phoneticPr fontId="2" type="noConversion"/>
  </si>
  <si>
    <t>理发</t>
    <phoneticPr fontId="2" type="noConversion"/>
  </si>
  <si>
    <t>木匠</t>
    <phoneticPr fontId="2" type="noConversion"/>
  </si>
  <si>
    <t>写作</t>
    <phoneticPr fontId="2" type="noConversion"/>
  </si>
  <si>
    <t>莫里斯舞</t>
    <phoneticPr fontId="2" type="noConversion"/>
  </si>
  <si>
    <t>粉刷匠与油漆工</t>
    <phoneticPr fontId="2" type="noConversion"/>
  </si>
  <si>
    <t>舞蹈</t>
    <phoneticPr fontId="2" type="noConversion"/>
  </si>
  <si>
    <t>伪造</t>
    <phoneticPr fontId="2" type="noConversion"/>
  </si>
  <si>
    <t>技术制图</t>
    <phoneticPr fontId="2" type="noConversion"/>
  </si>
  <si>
    <t>打字</t>
    <phoneticPr fontId="2" type="noConversion"/>
  </si>
  <si>
    <t>速记</t>
    <phoneticPr fontId="2" type="noConversion"/>
  </si>
  <si>
    <t>规则书及本职提及技能</t>
    <phoneticPr fontId="2" type="noConversion"/>
  </si>
  <si>
    <t>自设技能</t>
    <phoneticPr fontId="2" type="noConversion"/>
  </si>
  <si>
    <t>1.8.2</t>
    <phoneticPr fontId="2" type="noConversion"/>
  </si>
  <si>
    <t>1.8.3</t>
    <phoneticPr fontId="2" type="noConversion"/>
  </si>
  <si>
    <t>1.增加4个可自设技能。设置自设技能提示标记，优化自设技能成功率函数。
2.分支技艺技能优化
3.大失败添加规则说明及房规说法
4.神话相关划分单元格</t>
    <phoneticPr fontId="2" type="noConversion"/>
  </si>
  <si>
    <t>100/96+</t>
    <phoneticPr fontId="2" type="noConversion"/>
  </si>
  <si>
    <t>快速参考规则</t>
    <phoneticPr fontId="2" type="noConversion"/>
  </si>
  <si>
    <t>1.8.4</t>
    <phoneticPr fontId="2" type="noConversion"/>
  </si>
  <si>
    <t>技能</t>
    <phoneticPr fontId="2" type="noConversion"/>
  </si>
  <si>
    <t>右侧下拉框选择自定义职业技能（excel2007及以下不适用）不使用时请修改回“无”</t>
    <phoneticPr fontId="2" type="noConversion"/>
  </si>
  <si>
    <t>1.8.1最终版（理论上，仍有建议请联系QQ：2753342070）</t>
    <phoneticPr fontId="2" type="noConversion"/>
  </si>
  <si>
    <t>战斗</t>
    <phoneticPr fontId="2" type="noConversion"/>
  </si>
  <si>
    <t>知识</t>
    <phoneticPr fontId="2" type="noConversion"/>
  </si>
  <si>
    <t>交流</t>
    <phoneticPr fontId="2" type="noConversion"/>
  </si>
  <si>
    <t>技能</t>
    <phoneticPr fontId="2" type="noConversion"/>
  </si>
  <si>
    <t>医疗</t>
    <phoneticPr fontId="2" type="noConversion"/>
  </si>
  <si>
    <t>探索</t>
    <phoneticPr fontId="2" type="noConversion"/>
  </si>
  <si>
    <t>维度</t>
    <phoneticPr fontId="2" type="noConversion"/>
  </si>
  <si>
    <t>点数</t>
    <phoneticPr fontId="2" type="noConversion"/>
  </si>
  <si>
    <t>技能栏</t>
    <phoneticPr fontId="2" type="noConversion"/>
  </si>
  <si>
    <t>名称</t>
    <phoneticPr fontId="2" type="noConversion"/>
  </si>
  <si>
    <t>值</t>
    <phoneticPr fontId="2" type="noConversion"/>
  </si>
  <si>
    <t>合计</t>
    <phoneticPr fontId="2" type="noConversion"/>
  </si>
  <si>
    <t>暂无</t>
    <phoneticPr fontId="2" type="noConversion"/>
  </si>
  <si>
    <t>思想/信念</t>
    <phoneticPr fontId="2" type="noConversion"/>
  </si>
  <si>
    <t>特点</t>
    <phoneticPr fontId="2" type="noConversion"/>
  </si>
  <si>
    <t>恐惧症/狂躁症</t>
    <phoneticPr fontId="2" type="noConversion"/>
  </si>
  <si>
    <t>伤口/疤痕</t>
    <phoneticPr fontId="2" type="noConversion"/>
  </si>
  <si>
    <t>无</t>
    <phoneticPr fontId="2" type="noConversion"/>
  </si>
  <si>
    <t>技能数</t>
    <phoneticPr fontId="2" type="noConversion"/>
  </si>
  <si>
    <t>自设</t>
    <phoneticPr fontId="2" type="noConversion"/>
  </si>
  <si>
    <t>姓名</t>
    <phoneticPr fontId="2" type="noConversion"/>
  </si>
  <si>
    <t>移动力</t>
    <phoneticPr fontId="2" type="noConversion"/>
  </si>
  <si>
    <t>体力</t>
    <phoneticPr fontId="2" type="noConversion"/>
  </si>
  <si>
    <t>魔法</t>
    <phoneticPr fontId="2" type="noConversion"/>
  </si>
  <si>
    <t>技能列表</t>
    <phoneticPr fontId="2" type="noConversion"/>
  </si>
  <si>
    <t>物品栏</t>
    <phoneticPr fontId="2" type="noConversion"/>
  </si>
  <si>
    <t>武器</t>
    <phoneticPr fontId="2" type="noConversion"/>
  </si>
  <si>
    <t>种类</t>
    <phoneticPr fontId="2" type="noConversion"/>
  </si>
  <si>
    <t>故障率</t>
    <phoneticPr fontId="2" type="noConversion"/>
  </si>
  <si>
    <t>1.修正投掷、追踪技能不消耗技能点的问题</t>
    <phoneticPr fontId="2" type="noConversion"/>
  </si>
  <si>
    <t>1.8.5</t>
    <phoneticPr fontId="2" type="noConversion"/>
  </si>
  <si>
    <t>技艺②</t>
    <phoneticPr fontId="2" type="noConversion"/>
  </si>
  <si>
    <t>乔装</t>
    <phoneticPr fontId="2" type="noConversion"/>
  </si>
  <si>
    <t>警方(原作向)-警探</t>
    <phoneticPr fontId="2" type="noConversion"/>
  </si>
  <si>
    <t>克苏鲁神话</t>
    <phoneticPr fontId="2" type="noConversion"/>
  </si>
  <si>
    <t>第三类接触</t>
    <phoneticPr fontId="2" type="noConversion"/>
  </si>
  <si>
    <t>身体状态</t>
    <phoneticPr fontId="2" type="noConversion"/>
  </si>
  <si>
    <t>精神状态</t>
    <phoneticPr fontId="2" type="noConversion"/>
  </si>
  <si>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phoneticPr fontId="2" type="noConversion"/>
  </si>
  <si>
    <t>无</t>
    <phoneticPr fontId="2" type="noConversion"/>
  </si>
  <si>
    <t>技艺</t>
    <phoneticPr fontId="2" type="noConversion"/>
  </si>
  <si>
    <t>1.8.6</t>
    <phoneticPr fontId="2" type="noConversion"/>
  </si>
  <si>
    <t>★</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</si>
  <si>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phoneticPr fontId="2" type="noConversion"/>
  </si>
  <si>
    <t>格斗：</t>
    <phoneticPr fontId="2" type="noConversion"/>
  </si>
  <si>
    <t>生物学</t>
  </si>
  <si>
    <t>吹制玻璃管</t>
    <phoneticPr fontId="2" type="noConversion"/>
  </si>
  <si>
    <t>必须以本职技能点加至范围下限才可以分配兴趣技能点。</t>
    <phoneticPr fontId="2" type="noConversion"/>
  </si>
  <si>
    <t>古籍、魔法相关</t>
    <phoneticPr fontId="2" type="noConversion"/>
  </si>
  <si>
    <t>体型
SIZ</t>
    <phoneticPr fontId="2" type="noConversion"/>
  </si>
  <si>
    <t>外貌
APP</t>
    <phoneticPr fontId="2" type="noConversion"/>
  </si>
  <si>
    <t>体质
CON</t>
    <phoneticPr fontId="2" type="noConversion"/>
  </si>
  <si>
    <t>意志
POW</t>
    <phoneticPr fontId="2" type="noConversion"/>
  </si>
  <si>
    <t>敏捷
DEX</t>
    <phoneticPr fontId="2" type="noConversion"/>
  </si>
  <si>
    <t>力量
STR</t>
    <phoneticPr fontId="2" type="noConversion"/>
  </si>
  <si>
    <t>页码以规则书左下角为准，邮件确认部分爱信不信，事实如此。有其他争议内容请留言</t>
    <phoneticPr fontId="2" type="noConversion"/>
  </si>
  <si>
    <t>学问：</t>
    <phoneticPr fontId="2" type="noConversion"/>
  </si>
  <si>
    <t>按[F9]刷新（或按[Fn+F9]）。移动设备WPS选择[菜单]-[数据]-[全部重算]。</t>
    <phoneticPr fontId="2" type="noConversion"/>
  </si>
  <si>
    <t>外语（拉丁文），图书馆，医学，说服，科学（生物学，司法科学，制药），侦查。</t>
    <phoneticPr fontId="2" type="noConversion"/>
  </si>
  <si>
    <t>推荐使用excel2010及以后版本打开本卡（07及以前版本无法使用全部下拉框，手机wps点击[审阅]-[保护工作表]方可使用下拉框）</t>
    <phoneticPr fontId="2" type="noConversion"/>
  </si>
  <si>
    <t>科学②</t>
    <phoneticPr fontId="2" type="noConversion"/>
  </si>
  <si>
    <t>科学③</t>
    <phoneticPr fontId="2" type="noConversion"/>
  </si>
  <si>
    <t>1.8.7</t>
    <phoneticPr fontId="2" type="noConversion"/>
  </si>
  <si>
    <t>无论疯狂是处于临时性还是不定性中，它们都将经过游戏中的三个阶段:
1.疯狂发作(战斗时发作选择即时症状，远离同伴发作选择总结症状)
2.潜在疯狂
3.恢复与治疗</t>
    <phoneticPr fontId="2" type="noConversion"/>
  </si>
  <si>
    <t>1.8.8</t>
    <phoneticPr fontId="2" type="noConversion"/>
  </si>
  <si>
    <t>快速车卡教程（误）</t>
    <phoneticPr fontId="2" type="noConversion"/>
  </si>
  <si>
    <t>备注</t>
    <phoneticPr fontId="2" type="noConversion"/>
  </si>
  <si>
    <t>建议</t>
    <phoneticPr fontId="2" type="noConversion"/>
  </si>
  <si>
    <t>备忘录（以后再说）</t>
    <phoneticPr fontId="2" type="noConversion"/>
  </si>
  <si>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phoneticPr fontId="2" type="noConversion"/>
  </si>
  <si>
    <t xml:space="preserve">1.邮件作者确认
2.邮件作者确认
3.邮件作者确认
</t>
    <phoneticPr fontId="2" type="noConversion"/>
  </si>
  <si>
    <t>1.规则书第82页
2.规则书第140页与第125页
3.规则书第2页
4.规则书第150页</t>
    <phoneticPr fontId="2" type="noConversion"/>
  </si>
  <si>
    <t>整理FAQ</t>
    <phoneticPr fontId="2" type="noConversion"/>
  </si>
  <si>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phoneticPr fontId="2" type="noConversion"/>
  </si>
  <si>
    <t>1.更接近社会人类学/民俗学
2.比如roll点
3.宰鸽宰鹉
4.美图秀秀和素颜的区别，因KP而异
5.玩家应该理性看待自身角色所遭受的境地
6.脱离：找kp商量退团</t>
    <phoneticPr fontId="2" type="noConversion"/>
  </si>
  <si>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phoneticPr fontId="2" type="noConversion"/>
  </si>
  <si>
    <t>教育×4</t>
    <phoneticPr fontId="2" type="noConversion"/>
  </si>
  <si>
    <t>教育×2＋敏捷×2</t>
    <phoneticPr fontId="2" type="noConversion"/>
  </si>
  <si>
    <t>教育×2＋力量或敏捷×2</t>
    <phoneticPr fontId="2" type="noConversion"/>
  </si>
  <si>
    <t>教育×2+敏捷或力量×2</t>
    <phoneticPr fontId="2" type="noConversion"/>
  </si>
  <si>
    <t>教育×2＋敏捷或力量×2</t>
    <phoneticPr fontId="2" type="noConversion"/>
  </si>
  <si>
    <t>教育×2＋力量×2</t>
    <phoneticPr fontId="2" type="noConversion"/>
  </si>
  <si>
    <t>教育×2＋外貌×2</t>
    <phoneticPr fontId="2" type="noConversion"/>
  </si>
  <si>
    <t>教育×2＋敏捷或外貌×2</t>
    <phoneticPr fontId="2" type="noConversion"/>
  </si>
  <si>
    <t>教育×2＋外貌或敏捷×2</t>
    <phoneticPr fontId="2" type="noConversion"/>
  </si>
  <si>
    <t>裁缝</t>
    <phoneticPr fontId="2" type="noConversion"/>
  </si>
  <si>
    <t>酿酒</t>
    <phoneticPr fontId="2" type="noConversion"/>
  </si>
  <si>
    <t>捕鱼</t>
    <phoneticPr fontId="2" type="noConversion"/>
  </si>
  <si>
    <t>雕塑</t>
    <phoneticPr fontId="2" type="noConversion"/>
  </si>
  <si>
    <t>杂技</t>
    <phoneticPr fontId="2" type="noConversion"/>
  </si>
  <si>
    <t>[技艺]自设技能部分属于额外添加，本意是为了更好的扮演而服务，可联系QQ:2753342070或在爱桌游网bbs.lovezhuoyou.com跑团小组回复留言添加技艺自设技能及说明。</t>
    <phoneticPr fontId="2" type="noConversion"/>
  </si>
  <si>
    <t>爱桌游网bbs.lovezhuoyou.com</t>
    <phoneticPr fontId="2" type="noConversion"/>
  </si>
  <si>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9084444715716"/>
        <rFont val="黑体"/>
        <family val="3"/>
        <charset val="134"/>
      </rPr>
      <t>1.人物卡幸运计入[合计]
2.修正15-19岁教育鉴定说明内容</t>
    </r>
    <phoneticPr fontId="2" type="noConversion"/>
  </si>
  <si>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phoneticPr fontId="2" type="noConversion"/>
  </si>
  <si>
    <t>1.8.9</t>
    <phoneticPr fontId="2" type="noConversion"/>
  </si>
  <si>
    <t>规则书细节</t>
    <phoneticPr fontId="2" type="noConversion"/>
  </si>
  <si>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phoneticPr fontId="2" type="noConversion"/>
  </si>
  <si>
    <t>攀爬，闪避，电气维修或机械维修，格斗，急救，跳跃，游泳，下面任选一项：潜水、汽车驾驶、驾驶（任一）、骑乘。</t>
    <phoneticPr fontId="2" type="noConversion"/>
  </si>
  <si>
    <t>生存：</t>
    <phoneticPr fontId="2" type="noConversion"/>
  </si>
  <si>
    <t>2018年</t>
    <phoneticPr fontId="2" type="noConversion"/>
  </si>
  <si>
    <t>2017年</t>
    <phoneticPr fontId="2" type="noConversion"/>
  </si>
  <si>
    <t xml:space="preserve">1.可插入头像
2.删除txt导出
3.添加初始理智值,当填写意志属性值后，初始理智值会随之变动
4.添加输入自定义武器名称栏
5.原武器栏变更为类型栏，可进行选择
</t>
    <phoneticPr fontId="2" type="noConversion"/>
  </si>
  <si>
    <r>
      <rPr>
        <b/>
        <sz val="11"/>
        <color theme="2" tint="-0.89999084444715716"/>
        <rFont val="黑体"/>
        <family val="3"/>
        <charset val="134"/>
      </rPr>
      <t>人物卡变更</t>
    </r>
    <r>
      <rPr>
        <sz val="11"/>
        <color theme="2" tint="-0.89999084444715716"/>
        <rFont val="黑体"/>
        <family val="3"/>
        <charset val="134"/>
      </rPr>
      <t xml:space="preserve">
1.新增</t>
    </r>
    <r>
      <rPr>
        <sz val="11"/>
        <color rgb="FFFF0000"/>
        <rFont val="黑体"/>
        <family val="3"/>
        <charset val="134"/>
      </rPr>
      <t>.st指令复制区</t>
    </r>
    <r>
      <rPr>
        <sz val="11"/>
        <color theme="2" tint="-0.89999084444715716"/>
        <rFont val="黑体"/>
        <family val="3"/>
        <charset val="134"/>
      </rPr>
      <t>，用于骰娘导入数据
  备注：因为特殊原因，该功能</t>
    </r>
    <r>
      <rPr>
        <sz val="11"/>
        <color rgb="FF7030A0"/>
        <rFont val="黑体"/>
        <family val="3"/>
        <charset val="134"/>
      </rPr>
      <t>在电脑端建议使用xlsm格式，在手机端仅能使用xlsx格式</t>
    </r>
    <r>
      <rPr>
        <sz val="11"/>
        <color theme="2" tint="-0.89999084444715716"/>
        <rFont val="黑体"/>
        <family val="3"/>
        <charset val="134"/>
      </rPr>
      <t xml:space="preserve">
2.新增任意特长的</t>
    </r>
    <r>
      <rPr>
        <sz val="11"/>
        <color rgb="FFFF0000"/>
        <rFont val="黑体"/>
        <family val="3"/>
        <charset val="134"/>
      </rPr>
      <t>本职技能选择区</t>
    </r>
    <r>
      <rPr>
        <sz val="11"/>
        <color theme="2" tint="-0.89999084444715716"/>
        <rFont val="黑体"/>
        <family val="3"/>
        <charset val="134"/>
      </rPr>
      <t xml:space="preserve">，用于添加本职标记
</t>
    </r>
    <r>
      <rPr>
        <b/>
        <sz val="11"/>
        <color theme="2" tint="-0.89999084444715716"/>
        <rFont val="黑体"/>
        <family val="3"/>
        <charset val="134"/>
      </rPr>
      <t>分支技能变更</t>
    </r>
    <r>
      <rPr>
        <sz val="11"/>
        <color theme="2" tint="-0.89999084444715716"/>
        <rFont val="黑体"/>
        <family val="3"/>
        <charset val="134"/>
      </rPr>
      <t xml:space="preserve">
1.删除分支技能-自设技能：</t>
    </r>
    <r>
      <rPr>
        <sz val="11"/>
        <color rgb="FFFF0000"/>
        <rFont val="黑体"/>
        <family val="3"/>
        <charset val="134"/>
      </rPr>
      <t>歌唱、建筑、风水</t>
    </r>
    <r>
      <rPr>
        <sz val="11"/>
        <color theme="2" tint="-0.89999084444715716"/>
        <rFont val="黑体"/>
        <family val="3"/>
        <charset val="134"/>
      </rPr>
      <t xml:space="preserve">三项
</t>
    </r>
    <r>
      <rPr>
        <b/>
        <sz val="11"/>
        <color theme="2" tint="-0.89999084444715716"/>
        <rFont val="黑体"/>
        <family val="3"/>
        <charset val="134"/>
      </rPr>
      <t>其他</t>
    </r>
    <r>
      <rPr>
        <sz val="11"/>
        <color theme="2" tint="-0.89999084444715716"/>
        <rFont val="黑体"/>
        <family val="3"/>
        <charset val="134"/>
      </rPr>
      <t xml:space="preserve">
</t>
    </r>
    <r>
      <rPr>
        <sz val="11"/>
        <color rgb="FFFF0000"/>
        <rFont val="黑体"/>
        <family val="3"/>
        <charset val="134"/>
      </rPr>
      <t>爱桌游网</t>
    </r>
    <r>
      <rPr>
        <sz val="11"/>
        <color theme="2" tint="-0.89999084444715716"/>
        <rFont val="黑体"/>
        <family val="3"/>
        <charset val="134"/>
      </rPr>
      <t xml:space="preserve">添加超链接，点击可直接跳转页面
修正一处文字描述
</t>
    </r>
    <r>
      <rPr>
        <b/>
        <sz val="11"/>
        <color rgb="FF7030A0"/>
        <rFont val="黑体"/>
        <family val="3"/>
        <charset val="134"/>
      </rPr>
      <t>2018/9/16更新</t>
    </r>
    <r>
      <rPr>
        <sz val="11"/>
        <color theme="2" tint="-0.89999084444715716"/>
        <rFont val="黑体"/>
        <family val="3"/>
        <charset val="134"/>
      </rPr>
      <t xml:space="preserve">
1.修复年龄低于40时mov的问题
2.修复调整值数值不准的问题</t>
    </r>
    <phoneticPr fontId="2" type="noConversion"/>
  </si>
  <si>
    <r>
      <t>人物卡修正</t>
    </r>
    <r>
      <rPr>
        <sz val="11"/>
        <rFont val="黑体"/>
        <family val="3"/>
        <charset val="134"/>
      </rPr>
      <t xml:space="preserve">
1.53号职业：探险家的</t>
    </r>
    <r>
      <rPr>
        <sz val="11"/>
        <color rgb="FFFF0000"/>
        <rFont val="黑体"/>
        <family val="3"/>
        <charset val="134"/>
      </rPr>
      <t>生存技能</t>
    </r>
    <r>
      <rPr>
        <sz val="11"/>
        <rFont val="黑体"/>
        <family val="3"/>
        <charset val="134"/>
      </rPr>
      <t>无本职标记的问题已修复。
2.107号职业：替身演员的</t>
    </r>
    <r>
      <rPr>
        <sz val="11"/>
        <color rgb="FFFF0000"/>
        <rFont val="黑体"/>
        <family val="3"/>
        <charset val="134"/>
      </rPr>
      <t>三选一</t>
    </r>
    <r>
      <rPr>
        <sz val="11"/>
        <rFont val="黑体"/>
        <family val="3"/>
        <charset val="134"/>
      </rPr>
      <t xml:space="preserve">技能更正为四选一。（以英文手册为准）
</t>
    </r>
    <r>
      <rPr>
        <b/>
        <sz val="11"/>
        <rFont val="黑体"/>
        <family val="3"/>
        <charset val="134"/>
      </rPr>
      <t>人物卡变更</t>
    </r>
    <r>
      <rPr>
        <sz val="11"/>
        <rFont val="黑体"/>
        <family val="3"/>
        <charset val="134"/>
      </rPr>
      <t xml:space="preserve">
1.删除</t>
    </r>
    <r>
      <rPr>
        <sz val="11"/>
        <color rgb="FFFF0000"/>
        <rFont val="黑体"/>
        <family val="3"/>
        <charset val="134"/>
      </rPr>
      <t>克苏鲁神话</t>
    </r>
    <r>
      <rPr>
        <sz val="11"/>
        <rFont val="黑体"/>
        <family val="3"/>
        <charset val="134"/>
      </rPr>
      <t xml:space="preserve">职业点横杠标记。
</t>
    </r>
    <r>
      <rPr>
        <b/>
        <sz val="11"/>
        <rFont val="黑体"/>
        <family val="3"/>
        <charset val="134"/>
      </rPr>
      <t>更新说明变更</t>
    </r>
    <r>
      <rPr>
        <sz val="11"/>
        <rFont val="黑体"/>
        <family val="3"/>
        <charset val="134"/>
      </rPr>
      <t xml:space="preserve">
1.往年</t>
    </r>
    <r>
      <rPr>
        <sz val="11"/>
        <color rgb="FFFF0000"/>
        <rFont val="黑体"/>
        <family val="3"/>
        <charset val="134"/>
      </rPr>
      <t>更新说明</t>
    </r>
    <r>
      <rPr>
        <sz val="11"/>
        <rFont val="黑体"/>
        <family val="3"/>
        <charset val="134"/>
      </rPr>
      <t>横向放置。</t>
    </r>
    <phoneticPr fontId="2" type="noConversion"/>
  </si>
  <si>
    <t>序号</t>
    <phoneticPr fontId="2" type="noConversion"/>
  </si>
  <si>
    <t>经历包名称</t>
    <phoneticPr fontId="2" type="noConversion"/>
  </si>
  <si>
    <t>战场经历包（普通士兵）</t>
    <phoneticPr fontId="2" type="noConversion"/>
  </si>
  <si>
    <t>战场经历包（军官）</t>
    <phoneticPr fontId="2" type="noConversion"/>
  </si>
  <si>
    <t>攀爬，格斗（斗殴），射击（手枪），急救，聆听，导航、魅惑、说服、恐吓中一项，潜行，投掷，侦查</t>
    <phoneticPr fontId="2" type="noConversion"/>
  </si>
  <si>
    <t>对目击尸体和重伤员造成的理智损失免疫。</t>
    <phoneticPr fontId="2" type="noConversion"/>
  </si>
  <si>
    <t>自行调整</t>
    <phoneticPr fontId="2" type="noConversion"/>
  </si>
  <si>
    <t>对目击尸体和重伤员造成的理智损失免疫。</t>
    <phoneticPr fontId="2" type="noConversion"/>
  </si>
  <si>
    <t>弓术</t>
  </si>
  <si>
    <t>伪造</t>
  </si>
  <si>
    <t>可自设</t>
    <phoneticPr fontId="2" type="noConversion"/>
  </si>
  <si>
    <t>12号霰弹枪(双管)</t>
    <phoneticPr fontId="2" type="noConversion"/>
  </si>
  <si>
    <t>无</t>
  </si>
  <si>
    <t>1.excel2016 格斗：剑 技能初始成功率无法正确显示</t>
    <phoneticPr fontId="2" type="noConversion"/>
  </si>
  <si>
    <t>无</t>
    <phoneticPr fontId="2" type="noConversion"/>
  </si>
  <si>
    <t>0-99</t>
    <phoneticPr fontId="2" type="noConversion"/>
  </si>
  <si>
    <t>标记</t>
    <phoneticPr fontId="2" type="noConversion"/>
  </si>
  <si>
    <t>信用评级</t>
    <phoneticPr fontId="2" type="noConversion"/>
  </si>
  <si>
    <t>个人特质</t>
    <phoneticPr fontId="2" type="noConversion"/>
  </si>
  <si>
    <t>具体描述</t>
    <phoneticPr fontId="2" type="noConversion"/>
  </si>
  <si>
    <t>描述</t>
    <phoneticPr fontId="2" type="noConversion"/>
  </si>
  <si>
    <t>故事详述</t>
    <phoneticPr fontId="2" type="noConversion"/>
  </si>
  <si>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phoneticPr fontId="2" type="noConversion"/>
  </si>
  <si>
    <r>
      <t xml:space="preserve">敏捷
</t>
    </r>
    <r>
      <rPr>
        <sz val="8"/>
        <color theme="1"/>
        <rFont val="微软雅黑"/>
        <family val="2"/>
        <charset val="134"/>
      </rPr>
      <t>DEX</t>
    </r>
    <phoneticPr fontId="2" type="noConversion"/>
  </si>
  <si>
    <r>
      <t xml:space="preserve">意志
</t>
    </r>
    <r>
      <rPr>
        <sz val="8"/>
        <color theme="1"/>
        <rFont val="微软雅黑"/>
        <family val="2"/>
        <charset val="134"/>
      </rPr>
      <t>POW</t>
    </r>
    <phoneticPr fontId="2" type="noConversion"/>
  </si>
  <si>
    <r>
      <t xml:space="preserve">体质
</t>
    </r>
    <r>
      <rPr>
        <sz val="8"/>
        <color theme="1"/>
        <rFont val="微软雅黑"/>
        <family val="2"/>
        <charset val="134"/>
      </rPr>
      <t>CON</t>
    </r>
    <phoneticPr fontId="2" type="noConversion"/>
  </si>
  <si>
    <r>
      <t xml:space="preserve">外貌
</t>
    </r>
    <r>
      <rPr>
        <sz val="8"/>
        <color theme="1"/>
        <rFont val="微软雅黑"/>
        <family val="2"/>
        <charset val="134"/>
      </rPr>
      <t>APP</t>
    </r>
    <phoneticPr fontId="2" type="noConversion"/>
  </si>
  <si>
    <r>
      <t xml:space="preserve">教育
</t>
    </r>
    <r>
      <rPr>
        <sz val="8"/>
        <color theme="1"/>
        <rFont val="微软雅黑"/>
        <family val="2"/>
        <charset val="134"/>
      </rPr>
      <t>EDU</t>
    </r>
    <phoneticPr fontId="2" type="noConversion"/>
  </si>
  <si>
    <r>
      <t xml:space="preserve">体型
</t>
    </r>
    <r>
      <rPr>
        <sz val="8"/>
        <color theme="1"/>
        <rFont val="微软雅黑"/>
        <family val="2"/>
        <charset val="134"/>
      </rPr>
      <t>SIZ</t>
    </r>
    <phoneticPr fontId="2" type="noConversion"/>
  </si>
  <si>
    <r>
      <t xml:space="preserve">智力
</t>
    </r>
    <r>
      <rPr>
        <sz val="8"/>
        <color theme="1"/>
        <rFont val="微软雅黑"/>
        <family val="2"/>
        <charset val="134"/>
      </rPr>
      <t>INT</t>
    </r>
    <phoneticPr fontId="2" type="noConversion"/>
  </si>
  <si>
    <r>
      <t xml:space="preserve">移动力
</t>
    </r>
    <r>
      <rPr>
        <sz val="8"/>
        <color theme="1"/>
        <rFont val="微软雅黑"/>
        <family val="2"/>
        <charset val="134"/>
      </rPr>
      <t>MOV</t>
    </r>
    <phoneticPr fontId="2" type="noConversion"/>
  </si>
  <si>
    <r>
      <t xml:space="preserve">伤害加值
</t>
    </r>
    <r>
      <rPr>
        <sz val="7"/>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</si>
  <si>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</si>
  <si>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闪避
</t>
    </r>
    <r>
      <rPr>
        <sz val="8"/>
        <color theme="1"/>
        <rFont val="微软雅黑"/>
        <family val="2"/>
        <charset val="134"/>
      </rPr>
      <t>Dodge</t>
    </r>
    <phoneticPr fontId="2" type="noConversion"/>
  </si>
  <si>
    <r>
      <t xml:space="preserve">护甲 </t>
    </r>
    <r>
      <rPr>
        <sz val="8"/>
        <color theme="1"/>
        <rFont val="微软雅黑"/>
        <family val="2"/>
        <charset val="134"/>
      </rPr>
      <t>Armor</t>
    </r>
    <phoneticPr fontId="2" type="noConversion"/>
  </si>
  <si>
    <t>.st指令（仅溯洄版骰娘可用，Dice!官方群：624807593）仅电脑端启用宏后可直接复制</t>
    <phoneticPr fontId="2" type="noConversion"/>
  </si>
  <si>
    <t>住所</t>
    <phoneticPr fontId="2" type="noConversion"/>
  </si>
  <si>
    <t>旅行</t>
    <phoneticPr fontId="2" type="noConversion"/>
  </si>
  <si>
    <t>是否使用经历包？</t>
    <phoneticPr fontId="2" type="noConversion"/>
  </si>
  <si>
    <t>序号</t>
    <phoneticPr fontId="2" type="noConversion"/>
  </si>
  <si>
    <t>自定义</t>
    <phoneticPr fontId="2" type="noConversion"/>
  </si>
  <si>
    <t>攀爬，格斗（斗殴），射击（步霰），急救，恐吓，聆听，潜行，投掷，妙手，侦查，生存：</t>
    <phoneticPr fontId="2" type="noConversion"/>
  </si>
  <si>
    <t>初始年龄</t>
    <phoneticPr fontId="2" type="noConversion"/>
  </si>
  <si>
    <t>理智减少</t>
    <phoneticPr fontId="2" type="noConversion"/>
  </si>
  <si>
    <t>背景增加</t>
    <phoneticPr fontId="2" type="noConversion"/>
  </si>
  <si>
    <t>技能增长</t>
    <phoneticPr fontId="2" type="noConversion"/>
  </si>
  <si>
    <t>可分配技能</t>
    <phoneticPr fontId="2" type="noConversion"/>
  </si>
  <si>
    <t>备注</t>
    <phoneticPr fontId="2" type="noConversion"/>
  </si>
  <si>
    <t>战争相关的伤疤/疤痕或恐惧症/躁狂症</t>
    <phoneticPr fontId="2" type="noConversion"/>
  </si>
  <si>
    <t xml:space="preserve"> </t>
    <phoneticPr fontId="2" type="noConversion"/>
  </si>
  <si>
    <t>1D10+5</t>
    <phoneticPr fontId="2" type="noConversion"/>
  </si>
  <si>
    <t>1D10+5</t>
    <phoneticPr fontId="2" type="noConversion"/>
  </si>
  <si>
    <t>累计</t>
    <phoneticPr fontId="2" type="noConversion"/>
  </si>
  <si>
    <t>次数</t>
    <phoneticPr fontId="2" type="noConversion"/>
  </si>
  <si>
    <t>示例：索菲特·皮金[咕咕]</t>
    <phoneticPr fontId="2" type="noConversion"/>
  </si>
  <si>
    <t>性别</t>
    <phoneticPr fontId="2" type="noConversion"/>
  </si>
  <si>
    <t>年代</t>
    <phoneticPr fontId="2" type="noConversion"/>
  </si>
  <si>
    <t>示例：经历模组[XX]，-5san，+3侦查，-X现金</t>
    <phoneticPr fontId="2" type="noConversion"/>
  </si>
  <si>
    <t>原卡由秋叶EXODUS制作，此卡为咕咕修改结果，随意使用。</t>
    <phoneticPr fontId="2" type="noConversion"/>
  </si>
  <si>
    <t>可在此描述资产。</t>
    <phoneticPr fontId="2" type="noConversion"/>
  </si>
  <si>
    <t>请在此编写背景故事。</t>
    <phoneticPr fontId="2" type="noConversion"/>
  </si>
  <si>
    <t>经历包（可选规则：有故事的调查员）</t>
    <phoneticPr fontId="2" type="noConversion"/>
  </si>
  <si>
    <t>警务经历包</t>
    <phoneticPr fontId="2" type="noConversion"/>
  </si>
  <si>
    <t>1D10</t>
    <phoneticPr fontId="2" type="noConversion"/>
  </si>
  <si>
    <t>&gt;=25</t>
    <phoneticPr fontId="2" type="noConversion"/>
  </si>
  <si>
    <t>警察工作相关的伤疤/疤痕或恐惧症/躁狂症</t>
    <phoneticPr fontId="2" type="noConversion"/>
  </si>
  <si>
    <t>攀爬，汽车驾驶，格斗（斗殴），射击（手枪或步霰），急救，法律，聆听，外语，两项社交技能（魅惑、话术、说服、恐吓），追踪</t>
    <phoneticPr fontId="2" type="noConversion"/>
  </si>
  <si>
    <t>对目击尸体造成的理智损失免疫。</t>
    <phoneticPr fontId="2" type="noConversion"/>
  </si>
  <si>
    <t>罪犯经历包</t>
    <phoneticPr fontId="2" type="noConversion"/>
  </si>
  <si>
    <t>&gt;=20</t>
    <phoneticPr fontId="2" type="noConversion"/>
  </si>
  <si>
    <t>犯罪历史相关的伤疤/疤痕或恐惧症/躁狂症</t>
    <phoneticPr fontId="2" type="noConversion"/>
  </si>
  <si>
    <t>攀爬，汽车驾驶，格斗（任一），射击（任一），一项社交技能（魅惑、话术、说服、恐吓），法律，聆听，锁匠，心理学，追踪</t>
    <phoneticPr fontId="2" type="noConversion"/>
  </si>
  <si>
    <t>对目击尸体、目击或亲自谋杀、目击对人类的暴力残害造成的理智损失免疫。</t>
    <phoneticPr fontId="2" type="noConversion"/>
  </si>
  <si>
    <t>医务经历包</t>
    <phoneticPr fontId="2" type="noConversion"/>
  </si>
  <si>
    <t>&gt;=30</t>
    <phoneticPr fontId="2" type="noConversion"/>
  </si>
  <si>
    <t>个人背景相关的伤疤/疤痕或恐惧症/躁狂症</t>
    <phoneticPr fontId="2" type="noConversion"/>
  </si>
  <si>
    <t>急救，法律，聆听，医学，心理学，侦查，科学（任二）</t>
    <phoneticPr fontId="2" type="noConversion"/>
  </si>
  <si>
    <t>对目击尸体和重伤员造成的理智损失免疫。</t>
    <phoneticPr fontId="2" type="noConversion"/>
  </si>
  <si>
    <t>神话经历包</t>
    <phoneticPr fontId="2" type="noConversion"/>
  </si>
  <si>
    <t>CM</t>
    <phoneticPr fontId="2" type="noConversion"/>
  </si>
  <si>
    <t>自行调整</t>
    <phoneticPr fontId="2" type="noConversion"/>
  </si>
  <si>
    <t>与神话经理相关的伤疤/疤痕或恐惧症/躁狂症、遭遇的怪异存在</t>
    <phoneticPr fontId="2" type="noConversion"/>
  </si>
  <si>
    <t>克苏鲁神话</t>
    <phoneticPr fontId="2" type="noConversion"/>
  </si>
  <si>
    <t>经过KP同意“相信者”可以习得法术。KP 应当决定调查员可以习得哪种法术,“相信者”详见“相信神话”</t>
    <phoneticPr fontId="2" type="noConversion"/>
  </si>
  <si>
    <t xml:space="preserve"> </t>
    <phoneticPr fontId="2" type="noConversion"/>
  </si>
  <si>
    <t>身无分文</t>
    <phoneticPr fontId="2" type="noConversion"/>
  </si>
  <si>
    <t>连贫穷都够不上的人才能够叫做身无分文。
住所：大概只有睡大街。
旅行：步行，扒车或逃票上火车轮船。</t>
    <phoneticPr fontId="2" type="noConversion"/>
  </si>
  <si>
    <t>贫穷</t>
    <phoneticPr fontId="2" type="noConversion"/>
  </si>
  <si>
    <t>刚好买得起最廉价的屋顶，每天能够吃到一餐廉价食物
住所：最最最廉价的出租屋或睡袋旅馆。
旅行：最便宜的公众运输方式。反正只要赶便宜就对了，与之相伴的是不可靠。</t>
    <phoneticPr fontId="2" type="noConversion"/>
  </si>
  <si>
    <t>标准</t>
    <phoneticPr fontId="2" type="noConversion"/>
  </si>
  <si>
    <t>舒适的生活水平，一日三餐，偶尔下馆子。
住所：普通的家或公寓，并关租赁还是自购。外出住普通的旅馆。
旅行：会使用普通的旅行方式，不会用最高级。在现代来看，大概会有一辆自己的小车。</t>
    <phoneticPr fontId="2" type="noConversion"/>
  </si>
  <si>
    <t>小康</t>
    <phoneticPr fontId="2" type="noConversion"/>
  </si>
  <si>
    <t>小康级别已经可以享受奢侈品的舒适了。
住所：真材实料的住地，也许会有一些仆人（管家，主妇，清洁工，园丁，等等）。乡下估计还有小别墅。会住昂贵的宾馆。
旅行：头等舱。会买高档车或同等的交通工具。</t>
    <phoneticPr fontId="2" type="noConversion"/>
  </si>
  <si>
    <t>富裕</t>
    <phoneticPr fontId="2" type="noConversion"/>
  </si>
  <si>
    <t>豪富</t>
    <phoneticPr fontId="2" type="noConversion"/>
  </si>
  <si>
    <t>与富裕差不多，但钱已经只是一个代号了。你将是世
界上最富有的人。</t>
    <phoneticPr fontId="2" type="noConversion"/>
  </si>
  <si>
    <t>富裕级别就是享受超级奢侈品的时候了。
住所：豪华住所和有着大量仆人的庭院（管家，女仆，洗妇，园丁等等）。乡下和别处有着别墅是定番。
住总统套房。
旅行：头等舱。现代社会估摸还会有很多豪车。</t>
    <phoneticPr fontId="2" type="noConversion"/>
  </si>
  <si>
    <t>停更</t>
    <phoneticPr fontId="2" type="noConversion"/>
  </si>
  <si>
    <t>自定义经历包</t>
    <phoneticPr fontId="2" type="noConversion"/>
  </si>
  <si>
    <t>否</t>
  </si>
  <si>
    <t>10-49</t>
    <phoneticPr fontId="2" type="noConversion"/>
  </si>
  <si>
    <t>10-49</t>
    <phoneticPr fontId="2" type="noConversion"/>
  </si>
  <si>
    <t>1-9</t>
    <phoneticPr fontId="2" type="noConversion"/>
  </si>
  <si>
    <t xml:space="preserve">0 或更低  </t>
    <phoneticPr fontId="2" type="noConversion"/>
  </si>
  <si>
    <t>自定义现金和其他资产</t>
    <phoneticPr fontId="2" type="noConversion"/>
  </si>
  <si>
    <t>1920S 现金和其他资产</t>
    <phoneticPr fontId="2" type="noConversion"/>
  </si>
  <si>
    <t>现代</t>
  </si>
  <si>
    <t>生活水平</t>
    <phoneticPr fontId="2" type="noConversion"/>
  </si>
  <si>
    <t>信用评级</t>
    <phoneticPr fontId="2" type="noConversion"/>
  </si>
  <si>
    <t>现金</t>
    <phoneticPr fontId="2" type="noConversion"/>
  </si>
  <si>
    <t>其他资产</t>
    <phoneticPr fontId="2" type="noConversion"/>
  </si>
  <si>
    <t>消费水平</t>
    <phoneticPr fontId="2" type="noConversion"/>
  </si>
  <si>
    <t>现代 现金和其他资产</t>
    <phoneticPr fontId="2" type="noConversion"/>
  </si>
  <si>
    <t>$1-9
CR x 1</t>
    <phoneticPr fontId="2" type="noConversion"/>
  </si>
  <si>
    <t>$180000-196000
CR × 2000</t>
    <phoneticPr fontId="2" type="noConversion"/>
  </si>
  <si>
    <t>$1800-1960
CR × 20</t>
    <phoneticPr fontId="2" type="noConversion"/>
  </si>
  <si>
    <t>$3.6M-3.92M
CR × 40000</t>
    <phoneticPr fontId="2" type="noConversion"/>
  </si>
  <si>
    <t>$36000-39200
CR × 400</t>
    <phoneticPr fontId="2" type="noConversion"/>
  </si>
  <si>
    <t>咕咕改：1.9.5未校验</t>
    <phoneticPr fontId="2" type="noConversion"/>
  </si>
  <si>
    <t>[插入]-[图片]，手动调整图片大小</t>
    <phoneticPr fontId="2" type="noConversion"/>
  </si>
  <si>
    <t>自定义现金和其他资产</t>
    <phoneticPr fontId="2" type="noConversion"/>
  </si>
  <si>
    <t>金钱单位：</t>
    <phoneticPr fontId="2" type="noConversion"/>
  </si>
  <si>
    <t>在此输入单位</t>
    <phoneticPr fontId="2" type="noConversion"/>
  </si>
  <si>
    <t>例：1</t>
  </si>
  <si>
    <t>例：1</t>
    <phoneticPr fontId="2" type="noConversion"/>
  </si>
  <si>
    <t>例：1</t>
    <phoneticPr fontId="2" type="noConversion"/>
  </si>
  <si>
    <t>红字部分自行编辑，输入数字</t>
    <phoneticPr fontId="2" type="noConversion"/>
  </si>
  <si>
    <r>
      <t xml:space="preserve">新增：
</t>
    </r>
    <r>
      <rPr>
        <sz val="11"/>
        <rFont val="黑体"/>
        <family val="3"/>
        <charset val="134"/>
      </rPr>
      <t xml:space="preserve">1.添加背景故事关键连接标记。
2.变更排版。
3.添加经历包选择。
4.去除保护工作簿密码。
5.添加自定义信誉参照表，优化资产函数。
</t>
    </r>
    <r>
      <rPr>
        <sz val="11"/>
        <color rgb="FFC00000"/>
        <rFont val="黑体"/>
        <family val="3"/>
        <charset val="134"/>
      </rPr>
      <t>备注：停更，自信继续个人定制化更新，请继续维护个人更新说明，谢谢。</t>
    </r>
    <phoneticPr fontId="2" type="noConversion"/>
  </si>
  <si>
    <t>1.9.5版</t>
    <phoneticPr fontId="2" type="noConversion"/>
  </si>
  <si>
    <t>1.9.5</t>
    <phoneticPr fontId="2" type="noConversion"/>
  </si>
  <si>
    <t>1.9.3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</si>
</sst>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24" formatCode="\$#,##0_);[Red]\(\$#,##0\)"/>
    <numFmt numFmtId="26" formatCode="\$#,##0.00_);[Red]\(\$#,##0.00\)"/>
    <numFmt numFmtId="176" formatCode="0_);[Red]\(0\)"/>
    <numFmt numFmtId="177" formatCode="\+0;\-0;\±0"/>
    <numFmt numFmtId="178" formatCode="\/0_ "/>
    <numFmt numFmtId="179" formatCode="0.00_ "/>
  </numFmts>
  <fonts count="71"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1"/>
      <color theme="0"/>
      <name val="微软雅黑 Light"/>
      <family val="2"/>
      <charset val="134"/>
    </font>
    <font>
      <sz val="10"/>
      <name val="微软雅黑"/>
      <family val="2"/>
      <charset val="134"/>
    </font>
    <font>
      <sz val="10"/>
      <color theme="0"/>
      <name val="微软雅黑"/>
      <family val="2"/>
      <charset val="134"/>
    </font>
    <font>
      <sz val="12"/>
      <color theme="0"/>
      <name val="微软雅黑 Light"/>
      <family val="2"/>
      <charset val="134"/>
    </font>
    <font>
      <sz val="12"/>
      <color theme="1"/>
      <name val="微软雅黑 Light"/>
      <family val="2"/>
      <charset val="134"/>
    </font>
    <font>
      <sz val="11"/>
      <name val="等线"/>
      <family val="3"/>
      <charset val="134"/>
    </font>
    <font>
      <sz val="11"/>
      <color rgb="FFFFFFFF"/>
      <name val="微软雅黑"/>
      <family val="2"/>
      <charset val="134"/>
    </font>
    <font>
      <sz val="11"/>
      <color rgb="FF000000"/>
      <name val="微软雅黑"/>
      <family val="2"/>
      <charset val="134"/>
    </font>
    <font>
      <sz val="11"/>
      <color theme="1"/>
      <name val="等线"/>
      <family val="2"/>
      <charset val="134"/>
      <scheme val="minor"/>
    </font>
    <font>
      <b/>
      <sz val="12"/>
      <color rgb="FF000000"/>
      <name val="微软雅黑 Light"/>
      <family val="2"/>
      <charset val="134"/>
    </font>
    <font>
      <sz val="11"/>
      <color rgb="FF000000"/>
      <name val="微软雅黑 Light"/>
      <family val="2"/>
      <charset val="134"/>
    </font>
    <font>
      <sz val="11"/>
      <color theme="0"/>
      <name val="微软雅黑 Light"/>
      <family val="2"/>
      <charset val="134"/>
    </font>
    <font>
      <sz val="10"/>
      <name val="等线"/>
      <family val="3"/>
      <charset val="134"/>
    </font>
    <font>
      <sz val="11"/>
      <color theme="3"/>
      <name val="等线"/>
      <family val="2"/>
      <charset val="134"/>
      <scheme val="minor"/>
    </font>
    <font>
      <sz val="11"/>
      <color indexed="8"/>
      <name val="Calibri"/>
      <family val="2"/>
    </font>
    <font>
      <sz val="11"/>
      <color indexed="60"/>
      <name val="Calibri"/>
      <family val="2"/>
    </font>
    <font>
      <sz val="11"/>
      <color indexed="17"/>
      <name val="Calibri"/>
      <family val="2"/>
    </font>
    <font>
      <b/>
      <sz val="11"/>
      <color indexed="63"/>
      <name val="Calibri"/>
      <family val="2"/>
    </font>
    <font>
      <sz val="9"/>
      <color theme="1"/>
      <name val="微软雅黑"/>
      <family val="2"/>
      <charset val="134"/>
    </font>
    <font>
      <sz val="11"/>
      <color theme="0"/>
      <name val="等线"/>
      <family val="2"/>
      <charset val="134"/>
      <scheme val="minor"/>
    </font>
    <font>
      <sz val="10"/>
      <color theme="1"/>
      <name val="等线"/>
      <family val="3"/>
      <charset val="134"/>
      <scheme val="minor"/>
    </font>
    <font>
      <sz val="10"/>
      <color theme="0"/>
      <name val="宋体"/>
      <family val="3"/>
      <charset val="134"/>
    </font>
    <font>
      <sz val="10"/>
      <color theme="1"/>
      <name val="宋体"/>
      <family val="3"/>
      <charset val="134"/>
    </font>
    <font>
      <sz val="9"/>
      <color indexed="81"/>
      <name val="宋体"/>
      <family val="3"/>
      <charset val="134"/>
    </font>
    <font>
      <b/>
      <sz val="9"/>
      <color indexed="81"/>
      <name val="宋体"/>
      <family val="3"/>
      <charset val="134"/>
    </font>
    <font>
      <sz val="7"/>
      <color theme="1"/>
      <name val="微软雅黑"/>
      <family val="2"/>
      <charset val="134"/>
    </font>
    <font>
      <b/>
      <sz val="11"/>
      <color rgb="FFFF0000"/>
      <name val="Calibri"/>
      <family val="2"/>
    </font>
    <font>
      <b/>
      <sz val="11"/>
      <color rgb="FFFFC000"/>
      <name val="Calibri"/>
      <family val="2"/>
    </font>
    <font>
      <sz val="11"/>
      <color rgb="FFFF0000"/>
      <name val="微软雅黑"/>
      <family val="2"/>
      <charset val="134"/>
    </font>
    <font>
      <sz val="11"/>
      <color theme="0"/>
      <name val="华文彩云"/>
      <family val="3"/>
      <charset val="134"/>
    </font>
    <font>
      <b/>
      <sz val="11"/>
      <color theme="1"/>
      <name val="黑体"/>
      <family val="3"/>
      <charset val="134"/>
    </font>
    <font>
      <sz val="10"/>
      <color rgb="FFFF0000"/>
      <name val="微软雅黑 Light"/>
      <family val="2"/>
      <charset val="134"/>
    </font>
    <font>
      <sz val="11"/>
      <color theme="1"/>
      <name val="黑体"/>
      <family val="3"/>
      <charset val="134"/>
    </font>
    <font>
      <sz val="11"/>
      <color theme="0"/>
      <name val="黑体"/>
      <family val="3"/>
      <charset val="134"/>
    </font>
    <font>
      <b/>
      <sz val="11"/>
      <color indexed="63"/>
      <name val="黑体"/>
      <family val="3"/>
      <charset val="134"/>
    </font>
    <font>
      <sz val="11"/>
      <color rgb="FFFF0000"/>
      <name val="黑体"/>
      <family val="3"/>
      <charset val="134"/>
    </font>
    <font>
      <sz val="11"/>
      <color theme="5"/>
      <name val="黑体"/>
      <family val="3"/>
      <charset val="134"/>
    </font>
    <font>
      <sz val="10"/>
      <color theme="0"/>
      <name val="微软雅黑 Light"/>
      <family val="2"/>
      <charset val="134"/>
    </font>
    <font>
      <sz val="11"/>
      <name val="黑体"/>
      <family val="3"/>
      <charset val="134"/>
    </font>
    <font>
      <b/>
      <sz val="11"/>
      <name val="黑体"/>
      <family val="3"/>
      <charset val="134"/>
    </font>
    <font>
      <b/>
      <sz val="11"/>
      <color rgb="FFFF0000"/>
      <name val="等线"/>
      <family val="3"/>
      <charset val="134"/>
      <scheme val="minor"/>
    </font>
    <font>
      <sz val="11"/>
      <color theme="0"/>
      <name val="等线"/>
      <family val="3"/>
      <charset val="134"/>
      <scheme val="minor"/>
    </font>
    <font>
      <sz val="11"/>
      <color theme="1"/>
      <name val="等线"/>
      <family val="3"/>
      <charset val="134"/>
      <scheme val="minor"/>
    </font>
    <font>
      <u/>
      <sz val="11"/>
      <color theme="10"/>
      <name val="等线"/>
      <family val="2"/>
      <charset val="134"/>
      <scheme val="minor"/>
    </font>
    <font>
      <sz val="11"/>
      <color indexed="17"/>
      <name val="宋体"/>
      <family val="3"/>
      <charset val="134"/>
    </font>
    <font>
      <sz val="10"/>
      <color theme="1"/>
      <name val="微软雅黑 Light"/>
      <family val="2"/>
      <charset val="134"/>
    </font>
    <font>
      <sz val="10"/>
      <color rgb="FFC00000"/>
      <name val="微软雅黑 Light"/>
      <family val="2"/>
      <charset val="134"/>
    </font>
    <font>
      <sz val="10"/>
      <color theme="0"/>
      <name val="等线"/>
      <family val="2"/>
      <charset val="134"/>
      <scheme val="minor"/>
    </font>
    <font>
      <b/>
      <sz val="11"/>
      <color rgb="FFFF0000"/>
      <name val="等线"/>
      <family val="3"/>
      <charset val="134"/>
      <scheme val="minor"/>
    </font>
    <font>
      <sz val="11"/>
      <color theme="2" tint="-0.89999084444715716"/>
      <name val="黑体"/>
      <family val="3"/>
      <charset val="134"/>
    </font>
    <font>
      <b/>
      <sz val="11"/>
      <color theme="2" tint="-0.89999084444715716"/>
      <name val="黑体"/>
      <family val="3"/>
      <charset val="134"/>
    </font>
    <font>
      <sz val="11"/>
      <color rgb="FF7030A0"/>
      <name val="黑体"/>
      <family val="3"/>
      <charset val="134"/>
    </font>
    <font>
      <b/>
      <sz val="11"/>
      <color rgb="FF7030A0"/>
      <name val="黑体"/>
      <family val="3"/>
      <charset val="134"/>
    </font>
    <font>
      <sz val="22"/>
      <color rgb="FFFF0000"/>
      <name val="微软雅黑 Light"/>
      <family val="2"/>
      <charset val="134"/>
    </font>
    <font>
      <b/>
      <sz val="10"/>
      <color theme="1"/>
      <name val="微软雅黑"/>
      <family val="2"/>
      <charset val="134"/>
    </font>
    <font>
      <u/>
      <sz val="11"/>
      <color theme="1"/>
      <name val="等线"/>
      <family val="2"/>
      <charset val="134"/>
      <scheme val="minor"/>
    </font>
    <font>
      <sz val="10"/>
      <color rgb="FFC00000"/>
      <name val="微软雅黑"/>
      <family val="2"/>
      <charset val="134"/>
    </font>
    <font>
      <b/>
      <sz val="9"/>
      <color theme="9" tint="-0.249977111117893"/>
      <name val="微软雅黑"/>
      <family val="2"/>
      <charset val="134"/>
    </font>
    <font>
      <sz val="10"/>
      <color theme="8"/>
      <name val="微软雅黑"/>
      <family val="2"/>
      <charset val="134"/>
    </font>
    <font>
      <sz val="9"/>
      <color theme="8"/>
      <name val="微软雅黑"/>
      <family val="2"/>
      <charset val="134"/>
    </font>
    <font>
      <sz val="11"/>
      <color rgb="FFC00000"/>
      <name val="黑体"/>
      <family val="3"/>
      <charset val="134"/>
    </font>
    <font>
      <b/>
      <sz val="11"/>
      <color theme="1"/>
      <name val="微软雅黑"/>
      <family val="2"/>
      <charset val="134"/>
    </font>
    <font>
      <b/>
      <sz val="11"/>
      <color rgb="FFC00000"/>
      <name val="微软雅黑"/>
      <family val="2"/>
      <charset val="134"/>
    </font>
    <font>
      <b/>
      <sz val="12"/>
      <color rgb="FFC00000"/>
      <name val="方正姚体"/>
      <family val="3"/>
      <charset val="134"/>
    </font>
  </fonts>
  <fills count="20">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theme="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theme="4"/>
      </patternFill>
    </fill>
    <fill>
      <patternFill patternType="solid">
        <fgColor theme="8"/>
      </patternFill>
    </fill>
    <fill>
      <patternFill patternType="solid">
        <fgColor rgb="FFFFFF00"/>
        <bgColor indexed="64"/>
      </patternFill>
    </fill>
    <fill>
      <patternFill patternType="solid">
        <fgColor theme="8"/>
        <bgColor indexed="64"/>
      </patternFill>
    </fill>
    <fill>
      <patternFill patternType="solid">
        <fgColor theme="4" tint="0.59996337778862885"/>
        <bgColor indexed="64"/>
      </patternFill>
    </fill>
  </fills>
  <borders count="2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medium">
        <color indexed="64"/>
      </right>
      <top style="thin">
        <color theme="0" tint="-0.249977111117893"/>
      </top>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theme="4"/>
      </top>
      <bottom style="medium">
        <color indexed="64"/>
      </bottom>
      <diagonal/>
    </border>
    <border>
      <left/>
      <right style="thin">
        <color theme="0" tint="-0.249977111117893"/>
      </right>
      <top/>
      <bottom style="thin">
        <color theme="0" tint="-0.249977111117893"/>
      </bottom>
      <diagonal/>
    </border>
    <border>
      <left style="thin">
        <color indexed="63"/>
      </left>
      <right style="thin">
        <color indexed="63"/>
      </right>
      <top style="thin">
        <color indexed="63"/>
      </top>
      <bottom style="thin">
        <color indexed="63"/>
      </bottom>
      <diagonal/>
    </border>
    <border>
      <left style="thin">
        <color theme="0" tint="-0.249977111117893"/>
      </left>
      <right style="thin">
        <color theme="0" tint="-0.249977111117893"/>
      </right>
      <top/>
      <bottom style="thin">
        <color theme="0" tint="-0.249977111117893"/>
      </bottom>
      <diagonal/>
    </border>
    <border>
      <left style="medium">
        <color indexed="64"/>
      </left>
      <right style="medium">
        <color indexed="64"/>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right style="thin">
        <color theme="0"/>
      </right>
      <top/>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style="dotted">
        <color indexed="64"/>
      </left>
      <right style="dotted">
        <color indexed="64"/>
      </right>
      <top style="dotted">
        <color indexed="64"/>
      </top>
      <bottom style="dotted">
        <color indexed="64"/>
      </bottom>
      <diagonal/>
    </border>
    <border>
      <left style="medium">
        <color theme="1"/>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theme="1"/>
      </left>
      <right/>
      <top/>
      <bottom style="thin">
        <color theme="0" tint="-0.249977111117893"/>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right style="thin">
        <color theme="0" tint="-0.249977111117893"/>
      </right>
      <top style="thin">
        <color theme="0" tint="-0.249977111117893"/>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top style="medium">
        <color theme="1"/>
      </top>
      <bottom style="thin">
        <color theme="1"/>
      </bottom>
      <diagonal/>
    </border>
    <border>
      <left style="thin">
        <color theme="0" tint="-0.249977111117893"/>
      </left>
      <right/>
      <top style="thin">
        <color theme="0" tint="-0.249977111117893"/>
      </top>
      <bottom style="medium">
        <color theme="1"/>
      </bottom>
      <diagonal/>
    </border>
    <border>
      <left/>
      <right style="medium">
        <color theme="1"/>
      </right>
      <top style="medium">
        <color theme="1"/>
      </top>
      <bottom style="thin">
        <color theme="1"/>
      </bottom>
      <diagonal/>
    </border>
    <border>
      <left/>
      <right style="medium">
        <color theme="1"/>
      </right>
      <top/>
      <bottom style="thin">
        <color theme="0" tint="-0.249977111117893"/>
      </bottom>
      <diagonal/>
    </border>
    <border>
      <left/>
      <right style="medium">
        <color theme="1"/>
      </right>
      <top style="thin">
        <color theme="0" tint="-0.249977111117893"/>
      </top>
      <bottom style="medium">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theme="0"/>
      </right>
      <top/>
      <bottom style="thin">
        <color theme="0"/>
      </bottom>
      <diagonal/>
    </border>
    <border>
      <left/>
      <right style="thin">
        <color theme="0"/>
      </right>
      <top style="thin">
        <color indexed="64"/>
      </top>
      <bottom style="thin">
        <color indexed="64"/>
      </bottom>
      <diagonal/>
    </border>
    <border>
      <left/>
      <right/>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6" tint="0.59999389629810485"/>
      </left>
      <right style="thin">
        <color theme="6" tint="0.59999389629810485"/>
      </right>
      <top style="thin">
        <color theme="6" tint="0.59999389629810485"/>
      </top>
      <bottom style="thin">
        <color theme="6" tint="0.59999389629810485"/>
      </bottom>
      <diagonal/>
    </border>
    <border>
      <left style="thin">
        <color theme="6" tint="0.59999389629810485"/>
      </left>
      <right/>
      <top style="thin">
        <color theme="6" tint="0.59999389629810485"/>
      </top>
      <bottom/>
      <diagonal/>
    </border>
    <border>
      <left/>
      <right style="thin">
        <color theme="6" tint="0.59999389629810485"/>
      </right>
      <top style="thin">
        <color theme="6" tint="0.59999389629810485"/>
      </top>
      <bottom/>
      <diagonal/>
    </border>
    <border>
      <left style="thin">
        <color theme="6" tint="0.59999389629810485"/>
      </left>
      <right/>
      <top/>
      <bottom style="thin">
        <color theme="6" tint="0.59999389629810485"/>
      </bottom>
      <diagonal/>
    </border>
    <border>
      <left/>
      <right style="thin">
        <color theme="6" tint="0.59999389629810485"/>
      </right>
      <top/>
      <bottom style="thin">
        <color theme="6" tint="0.59999389629810485"/>
      </bottom>
      <diagonal/>
    </border>
    <border>
      <left/>
      <right/>
      <top style="thin">
        <color theme="6" tint="0.59999389629810485"/>
      </top>
      <bottom/>
      <diagonal/>
    </border>
    <border>
      <left/>
      <right/>
      <top/>
      <bottom style="thin">
        <color theme="6" tint="0.59999389629810485"/>
      </bottom>
      <diagonal/>
    </border>
    <border>
      <left/>
      <right style="thin">
        <color theme="6" tint="0.59999389629810485"/>
      </right>
      <top style="thin">
        <color theme="6" tint="0.59999389629810485"/>
      </top>
      <bottom style="thin">
        <color theme="6" tint="0.59999389629810485"/>
      </bottom>
      <diagonal/>
    </border>
    <border>
      <left/>
      <right/>
      <top style="thin">
        <color theme="6" tint="0.59999389629810485"/>
      </top>
      <bottom style="thin">
        <color theme="6" tint="0.59999389629810485"/>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style="thin">
        <color theme="2" tint="-9.9978637043366805E-2"/>
      </right>
      <top style="thin">
        <color theme="2" tint="-9.9978637043366805E-2"/>
      </top>
      <bottom/>
      <diagonal/>
    </border>
    <border>
      <left/>
      <right style="thin">
        <color theme="2" tint="-9.9978637043366805E-2"/>
      </right>
      <top/>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medium">
        <color indexed="64"/>
      </left>
      <right style="thin">
        <color theme="6" tint="0.59999389629810485"/>
      </right>
      <top style="medium">
        <color indexed="64"/>
      </top>
      <bottom style="thin">
        <color theme="6" tint="0.59999389629810485"/>
      </bottom>
      <diagonal/>
    </border>
    <border>
      <left style="thin">
        <color theme="6" tint="0.59999389629810485"/>
      </left>
      <right style="thin">
        <color theme="6" tint="0.59999389629810485"/>
      </right>
      <top style="medium">
        <color indexed="64"/>
      </top>
      <bottom style="thin">
        <color theme="6" tint="0.59999389629810485"/>
      </bottom>
      <diagonal/>
    </border>
    <border>
      <left style="thin">
        <color theme="6" tint="0.59999389629810485"/>
      </left>
      <right style="medium">
        <color indexed="64"/>
      </right>
      <top style="medium">
        <color indexed="64"/>
      </top>
      <bottom style="thin">
        <color theme="6" tint="0.59999389629810485"/>
      </bottom>
      <diagonal/>
    </border>
    <border>
      <left style="medium">
        <color indexed="64"/>
      </left>
      <right style="thin">
        <color theme="6" tint="0.59999389629810485"/>
      </right>
      <top style="thin">
        <color theme="6" tint="0.59999389629810485"/>
      </top>
      <bottom style="thin">
        <color theme="6" tint="0.59999389629810485"/>
      </bottom>
      <diagonal/>
    </border>
    <border>
      <left style="thin">
        <color theme="6" tint="0.59999389629810485"/>
      </left>
      <right style="medium">
        <color indexed="64"/>
      </right>
      <top style="thin">
        <color theme="6" tint="0.59999389629810485"/>
      </top>
      <bottom style="thin">
        <color theme="6" tint="0.59999389629810485"/>
      </bottom>
      <diagonal/>
    </border>
    <border>
      <left style="medium">
        <color indexed="64"/>
      </left>
      <right style="thin">
        <color theme="6" tint="0.59999389629810485"/>
      </right>
      <top style="thin">
        <color theme="6" tint="0.59999389629810485"/>
      </top>
      <bottom style="medium">
        <color indexed="64"/>
      </bottom>
      <diagonal/>
    </border>
    <border>
      <left style="thin">
        <color theme="6" tint="0.59999389629810485"/>
      </left>
      <right style="thin">
        <color theme="6" tint="0.59999389629810485"/>
      </right>
      <top style="thin">
        <color theme="6" tint="0.59999389629810485"/>
      </top>
      <bottom style="medium">
        <color indexed="64"/>
      </bottom>
      <diagonal/>
    </border>
    <border>
      <left style="thin">
        <color theme="6" tint="0.59999389629810485"/>
      </left>
      <right style="medium">
        <color indexed="64"/>
      </right>
      <top style="thin">
        <color theme="6" tint="0.59999389629810485"/>
      </top>
      <bottom style="medium">
        <color indexed="64"/>
      </bottom>
      <diagonal/>
    </border>
    <border>
      <left style="medium">
        <color indexed="64"/>
      </left>
      <right/>
      <top style="medium">
        <color indexed="64"/>
      </top>
      <bottom style="thin">
        <color theme="6" tint="0.59999389629810485"/>
      </bottom>
      <diagonal/>
    </border>
    <border>
      <left/>
      <right/>
      <top style="medium">
        <color indexed="64"/>
      </top>
      <bottom style="thin">
        <color theme="6" tint="0.59999389629810485"/>
      </bottom>
      <diagonal/>
    </border>
    <border>
      <left/>
      <right style="medium">
        <color indexed="64"/>
      </right>
      <top style="medium">
        <color indexed="64"/>
      </top>
      <bottom style="thin">
        <color theme="6" tint="0.59999389629810485"/>
      </bottom>
      <diagonal/>
    </border>
    <border>
      <left style="medium">
        <color indexed="64"/>
      </left>
      <right/>
      <top style="thin">
        <color theme="6" tint="0.59999389629810485"/>
      </top>
      <bottom style="thin">
        <color theme="6" tint="0.59999389629810485"/>
      </bottom>
      <diagonal/>
    </border>
    <border>
      <left/>
      <right style="medium">
        <color indexed="64"/>
      </right>
      <top style="thin">
        <color theme="6" tint="0.59999389629810485"/>
      </top>
      <bottom style="thin">
        <color theme="6" tint="0.59999389629810485"/>
      </bottom>
      <diagonal/>
    </border>
    <border>
      <left style="medium">
        <color indexed="64"/>
      </left>
      <right/>
      <top style="thin">
        <color theme="6" tint="0.59999389629810485"/>
      </top>
      <bottom/>
      <diagonal/>
    </border>
    <border>
      <left/>
      <right style="medium">
        <color indexed="64"/>
      </right>
      <top style="thin">
        <color theme="6" tint="0.59999389629810485"/>
      </top>
      <bottom/>
      <diagonal/>
    </border>
    <border>
      <left style="medium">
        <color indexed="64"/>
      </left>
      <right/>
      <top/>
      <bottom style="thin">
        <color theme="6" tint="0.59999389629810485"/>
      </bottom>
      <diagonal/>
    </border>
    <border>
      <left/>
      <right style="medium">
        <color indexed="64"/>
      </right>
      <top/>
      <bottom style="thin">
        <color theme="6" tint="0.59999389629810485"/>
      </bottom>
      <diagonal/>
    </border>
    <border>
      <left style="medium">
        <color indexed="64"/>
      </left>
      <right/>
      <top style="thin">
        <color theme="2" tint="-9.9978637043366805E-2"/>
      </top>
      <bottom/>
      <diagonal/>
    </border>
    <border>
      <left/>
      <right style="medium">
        <color indexed="64"/>
      </right>
      <top style="thin">
        <color theme="2" tint="-9.9978637043366805E-2"/>
      </top>
      <bottom/>
      <diagonal/>
    </border>
    <border>
      <left style="medium">
        <color indexed="64"/>
      </left>
      <right/>
      <top style="thin">
        <color theme="6" tint="0.59999389629810485"/>
      </top>
      <bottom style="medium">
        <color indexed="64"/>
      </bottom>
      <diagonal/>
    </border>
    <border>
      <left/>
      <right/>
      <top style="thin">
        <color theme="6" tint="0.59999389629810485"/>
      </top>
      <bottom style="medium">
        <color indexed="64"/>
      </bottom>
      <diagonal/>
    </border>
    <border>
      <left/>
      <right style="medium">
        <color indexed="64"/>
      </right>
      <top style="thin">
        <color theme="6" tint="0.59999389629810485"/>
      </top>
      <bottom style="medium">
        <color indexed="64"/>
      </bottom>
      <diagonal/>
    </border>
    <border>
      <left style="medium">
        <color indexed="64"/>
      </left>
      <right style="thin">
        <color theme="2" tint="-9.9978637043366805E-2"/>
      </right>
      <top style="medium">
        <color indexed="64"/>
      </top>
      <bottom style="thin">
        <color theme="2" tint="-9.9978637043366805E-2"/>
      </bottom>
      <diagonal/>
    </border>
    <border>
      <left style="thin">
        <color theme="2" tint="-9.9978637043366805E-2"/>
      </left>
      <right style="thin">
        <color theme="2" tint="-9.9978637043366805E-2"/>
      </right>
      <top style="medium">
        <color indexed="64"/>
      </top>
      <bottom style="thin">
        <color theme="2" tint="-9.9978637043366805E-2"/>
      </bottom>
      <diagonal/>
    </border>
    <border>
      <left style="thin">
        <color theme="2" tint="-9.9978637043366805E-2"/>
      </left>
      <right style="medium">
        <color indexed="64"/>
      </right>
      <top style="medium">
        <color indexed="64"/>
      </top>
      <bottom style="thin">
        <color theme="2" tint="-9.9978637043366805E-2"/>
      </bottom>
      <diagonal/>
    </border>
    <border>
      <left style="medium">
        <color indexed="64"/>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indexed="64"/>
      </right>
      <top style="thin">
        <color theme="2" tint="-9.9978637043366805E-2"/>
      </top>
      <bottom style="thin">
        <color theme="2" tint="-9.9978637043366805E-2"/>
      </bottom>
      <diagonal/>
    </border>
    <border>
      <left style="medium">
        <color indexed="64"/>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medium">
        <color indexed="64"/>
      </right>
      <top style="thin">
        <color theme="2" tint="-9.9978637043366805E-2"/>
      </top>
      <bottom style="medium">
        <color indexed="64"/>
      </bottom>
      <diagonal/>
    </border>
    <border>
      <left style="medium">
        <color indexed="64"/>
      </left>
      <right/>
      <top style="medium">
        <color indexed="64"/>
      </top>
      <bottom style="thin">
        <color theme="2" tint="-9.9978637043366805E-2"/>
      </bottom>
      <diagonal/>
    </border>
    <border>
      <left/>
      <right/>
      <top style="medium">
        <color indexed="64"/>
      </top>
      <bottom style="thin">
        <color theme="2" tint="-9.9978637043366805E-2"/>
      </bottom>
      <diagonal/>
    </border>
    <border>
      <left/>
      <right style="medium">
        <color indexed="64"/>
      </right>
      <top style="medium">
        <color indexed="64"/>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top style="thin">
        <color theme="2" tint="-9.9978637043366805E-2"/>
      </top>
      <bottom style="thin">
        <color theme="2" tint="-9.9978637043366805E-2"/>
      </bottom>
      <diagonal/>
    </border>
    <border>
      <left style="medium">
        <color indexed="64"/>
      </left>
      <right/>
      <top style="thin">
        <color theme="2" tint="-9.9978637043366805E-2"/>
      </top>
      <bottom style="thin">
        <color theme="2" tint="-9.9978637043366805E-2"/>
      </bottom>
      <diagonal/>
    </border>
    <border>
      <left style="medium">
        <color indexed="64"/>
      </left>
      <right/>
      <top style="thin">
        <color theme="2" tint="-9.9978637043366805E-2"/>
      </top>
      <bottom style="medium">
        <color indexed="64"/>
      </bottom>
      <diagonal/>
    </border>
    <border>
      <left/>
      <right style="thin">
        <color theme="2" tint="-9.9978637043366805E-2"/>
      </right>
      <top style="thin">
        <color theme="2" tint="-9.9978637043366805E-2"/>
      </top>
      <bottom style="medium">
        <color indexed="64"/>
      </bottom>
      <diagonal/>
    </border>
    <border>
      <left style="thin">
        <color theme="2" tint="-9.9978637043366805E-2"/>
      </left>
      <right/>
      <top style="thin">
        <color theme="2" tint="-9.9978637043366805E-2"/>
      </top>
      <bottom style="medium">
        <color indexed="64"/>
      </bottom>
      <diagonal/>
    </border>
    <border>
      <left/>
      <right/>
      <top style="thin">
        <color theme="2" tint="-9.9978637043366805E-2"/>
      </top>
      <bottom style="medium">
        <color indexed="64"/>
      </bottom>
      <diagonal/>
    </border>
    <border>
      <left/>
      <right style="medium">
        <color indexed="64"/>
      </right>
      <top style="thin">
        <color theme="2" tint="-9.9978637043366805E-2"/>
      </top>
      <bottom style="thin">
        <color theme="2" tint="-9.9978637043366805E-2"/>
      </bottom>
      <diagonal/>
    </border>
    <border>
      <left/>
      <right style="medium">
        <color indexed="64"/>
      </right>
      <top style="thin">
        <color theme="2" tint="-9.9978637043366805E-2"/>
      </top>
      <bottom style="medium">
        <color indexed="64"/>
      </bottom>
      <diagonal/>
    </border>
    <border>
      <left style="medium">
        <color indexed="64"/>
      </left>
      <right/>
      <top/>
      <bottom style="thin">
        <color theme="2" tint="-9.9978637043366805E-2"/>
      </bottom>
      <diagonal/>
    </border>
    <border>
      <left/>
      <right style="medium">
        <color indexed="64"/>
      </right>
      <top/>
      <bottom style="thin">
        <color theme="2" tint="-9.9978637043366805E-2"/>
      </bottom>
      <diagonal/>
    </border>
    <border>
      <left/>
      <right style="thin">
        <color theme="2" tint="-9.9978637043366805E-2"/>
      </right>
      <top/>
      <bottom style="medium">
        <color indexed="64"/>
      </bottom>
      <diagonal/>
    </border>
    <border>
      <left/>
      <right style="thin">
        <color theme="6" tint="0.59999389629810485"/>
      </right>
      <top style="medium">
        <color indexed="64"/>
      </top>
      <bottom style="thin">
        <color theme="6" tint="0.59999389629810485"/>
      </bottom>
      <diagonal/>
    </border>
    <border>
      <left/>
      <right style="thin">
        <color theme="6" tint="0.59999389629810485"/>
      </right>
      <top style="thin">
        <color theme="6" tint="0.59999389629810485"/>
      </top>
      <bottom style="medium">
        <color indexed="64"/>
      </bottom>
      <diagonal/>
    </border>
    <border>
      <left/>
      <right style="double">
        <color theme="1" tint="0.499984740745262"/>
      </right>
      <top style="medium">
        <color indexed="64"/>
      </top>
      <bottom/>
      <diagonal/>
    </border>
    <border>
      <left/>
      <right style="double">
        <color theme="1" tint="0.499984740745262"/>
      </right>
      <top/>
      <bottom style="medium">
        <color indexed="64"/>
      </bottom>
      <diagonal/>
    </border>
    <border>
      <left style="thin">
        <color theme="6" tint="0.59999389629810485"/>
      </left>
      <right style="double">
        <color theme="1" tint="0.499984740745262"/>
      </right>
      <top style="thin">
        <color theme="6" tint="0.59999389629810485"/>
      </top>
      <bottom style="medium">
        <color indexed="64"/>
      </bottom>
      <diagonal/>
    </border>
    <border>
      <left style="thin">
        <color theme="6" tint="0.59999389629810485"/>
      </left>
      <right style="double">
        <color theme="1" tint="0.499984740745262"/>
      </right>
      <top style="thin">
        <color theme="6" tint="0.59999389629810485"/>
      </top>
      <bottom style="thin">
        <color theme="6" tint="0.59999389629810485"/>
      </bottom>
      <diagonal/>
    </border>
    <border>
      <left style="medium">
        <color indexed="64"/>
      </left>
      <right style="thin">
        <color theme="6" tint="0.59999389629810485"/>
      </right>
      <top/>
      <bottom style="thin">
        <color theme="6" tint="0.59999389629810485"/>
      </bottom>
      <diagonal/>
    </border>
    <border>
      <left style="thin">
        <color theme="6" tint="0.59999389629810485"/>
      </left>
      <right style="thin">
        <color theme="6" tint="0.59999389629810485"/>
      </right>
      <top/>
      <bottom style="thin">
        <color theme="6" tint="0.59999389629810485"/>
      </bottom>
      <diagonal/>
    </border>
    <border>
      <left style="thin">
        <color theme="6" tint="0.59999389629810485"/>
      </left>
      <right style="medium">
        <color indexed="64"/>
      </right>
      <top/>
      <bottom style="thin">
        <color theme="6" tint="0.59999389629810485"/>
      </bottom>
      <diagonal/>
    </border>
    <border>
      <left/>
      <right style="double">
        <color theme="1" tint="0.499984740745262"/>
      </right>
      <top style="thin">
        <color theme="2" tint="-9.9978637043366805E-2"/>
      </top>
      <bottom style="thin">
        <color theme="2" tint="-9.9978637043366805E-2"/>
      </bottom>
      <diagonal/>
    </border>
    <border>
      <left/>
      <right style="double">
        <color theme="1" tint="0.499984740745262"/>
      </right>
      <top style="thin">
        <color theme="2" tint="-9.9978637043366805E-2"/>
      </top>
      <bottom style="medium">
        <color indexed="64"/>
      </bottom>
      <diagonal/>
    </border>
    <border>
      <left style="thin">
        <color theme="2" tint="-9.9978637043366805E-2"/>
      </left>
      <right style="double">
        <color theme="1" tint="0.499984740745262"/>
      </right>
      <top style="thin">
        <color theme="2" tint="-9.9978637043366805E-2"/>
      </top>
      <bottom style="thin">
        <color theme="2" tint="-9.9978637043366805E-2"/>
      </bottom>
      <diagonal/>
    </border>
    <border>
      <left style="medium">
        <color indexed="64"/>
      </left>
      <right style="thin">
        <color theme="6" tint="0.59999389629810485"/>
      </right>
      <top style="medium">
        <color indexed="64"/>
      </top>
      <bottom style="thin">
        <color theme="2" tint="-9.9978637043366805E-2"/>
      </bottom>
      <diagonal/>
    </border>
    <border>
      <left style="thin">
        <color theme="6" tint="0.59999389629810485"/>
      </left>
      <right style="thin">
        <color theme="6" tint="0.59999389629810485"/>
      </right>
      <top style="medium">
        <color indexed="64"/>
      </top>
      <bottom style="thin">
        <color theme="2" tint="-9.9978637043366805E-2"/>
      </bottom>
      <diagonal/>
    </border>
    <border>
      <left style="thin">
        <color theme="6" tint="0.59999389629810485"/>
      </left>
      <right style="medium">
        <color indexed="64"/>
      </right>
      <top style="medium">
        <color indexed="64"/>
      </top>
      <bottom style="thin">
        <color theme="2" tint="-9.9978637043366805E-2"/>
      </bottom>
      <diagonal/>
    </border>
    <border>
      <left style="medium">
        <color indexed="64"/>
      </left>
      <right style="thin">
        <color theme="2" tint="-9.9978637043366805E-2"/>
      </right>
      <top style="thin">
        <color theme="6" tint="0.59999389629810485"/>
      </top>
      <bottom style="medium">
        <color indexed="64"/>
      </bottom>
      <diagonal/>
    </border>
    <border>
      <left style="medium">
        <color indexed="64"/>
      </left>
      <right style="thin">
        <color theme="2" tint="-9.9978637043366805E-2"/>
      </right>
      <top style="thin">
        <color theme="6" tint="0.59999389629810485"/>
      </top>
      <bottom style="thin">
        <color theme="6" tint="0.59999389629810485"/>
      </bottom>
      <diagonal/>
    </border>
    <border>
      <left style="thin">
        <color theme="2" tint="-9.9978637043366805E-2"/>
      </left>
      <right style="double">
        <color theme="1" tint="0.499984740745262"/>
      </right>
      <top style="thin">
        <color theme="6" tint="0.59999389629810485"/>
      </top>
      <bottom style="thin">
        <color theme="6" tint="0.59999389629810485"/>
      </bottom>
      <diagonal/>
    </border>
    <border>
      <left/>
      <right style="double">
        <color theme="1" tint="0.499984740745262"/>
      </right>
      <top style="thin">
        <color theme="6" tint="0.59999389629810485"/>
      </top>
      <bottom style="thin">
        <color theme="6" tint="0.59999389629810485"/>
      </bottom>
      <diagonal/>
    </border>
    <border>
      <left/>
      <right style="double">
        <color theme="1" tint="0.499984740745262"/>
      </right>
      <top style="thin">
        <color theme="6" tint="0.59999389629810485"/>
      </top>
      <bottom style="medium">
        <color indexed="64"/>
      </bottom>
      <diagonal/>
    </border>
    <border>
      <left style="double">
        <color theme="1" tint="0.499984740745262"/>
      </left>
      <right style="thin">
        <color theme="2" tint="-9.9978637043366805E-2"/>
      </right>
      <top style="thin">
        <color theme="6" tint="0.59999389629810485"/>
      </top>
      <bottom style="medium">
        <color indexed="64"/>
      </bottom>
      <diagonal/>
    </border>
    <border>
      <left/>
      <right style="thin">
        <color theme="2" tint="-9.9978637043366805E-2"/>
      </right>
      <top style="thin">
        <color theme="6" tint="0.59999389629810485"/>
      </top>
      <bottom style="thin">
        <color theme="6" tint="0.59999389629810485"/>
      </bottom>
      <diagonal/>
    </border>
    <border>
      <left/>
      <right style="thin">
        <color theme="2" tint="-9.9978637043366805E-2"/>
      </right>
      <top style="thin">
        <color theme="6" tint="0.59999389629810485"/>
      </top>
      <bottom style="medium">
        <color indexed="64"/>
      </bottom>
      <diagonal/>
    </border>
    <border>
      <left style="double">
        <color theme="1" tint="0.499984740745262"/>
      </left>
      <right style="thin">
        <color theme="2" tint="-9.9978637043366805E-2"/>
      </right>
      <top style="thin">
        <color theme="6" tint="0.59999389629810485"/>
      </top>
      <bottom style="thin">
        <color theme="6" tint="0.59999389629810485"/>
      </bottom>
      <diagonal/>
    </border>
    <border>
      <left style="thin">
        <color theme="2" tint="-9.9978637043366805E-2"/>
      </left>
      <right style="medium">
        <color indexed="64"/>
      </right>
      <top style="thin">
        <color theme="6" tint="0.59999389629810485"/>
      </top>
      <bottom style="medium">
        <color indexed="64"/>
      </bottom>
      <diagonal/>
    </border>
    <border>
      <left style="thin">
        <color theme="2" tint="-9.9978637043366805E-2"/>
      </left>
      <right style="medium">
        <color indexed="64"/>
      </right>
      <top style="thin">
        <color theme="6" tint="0.59999389629810485"/>
      </top>
      <bottom style="thin">
        <color theme="6" tint="0.59999389629810485"/>
      </bottom>
      <diagonal/>
    </border>
    <border>
      <left style="thin">
        <color theme="2" tint="-9.9978637043366805E-2"/>
      </left>
      <right style="thin">
        <color theme="2" tint="-9.9978637043366805E-2"/>
      </right>
      <top style="thin">
        <color theme="6" tint="0.59999389629810485"/>
      </top>
      <bottom style="thin">
        <color theme="6" tint="0.59999389629810485"/>
      </bottom>
      <diagonal/>
    </border>
    <border>
      <left/>
      <right style="thin">
        <color theme="6" tint="0.59999389629810485"/>
      </right>
      <top/>
      <bottom style="thin">
        <color theme="2" tint="-9.9978637043366805E-2"/>
      </bottom>
      <diagonal/>
    </border>
    <border>
      <left style="thin">
        <color theme="6" tint="0.59999389629810485"/>
      </left>
      <right/>
      <top/>
      <bottom style="thin">
        <color theme="2" tint="-9.9978637043366805E-2"/>
      </bottom>
      <diagonal/>
    </border>
    <border>
      <left style="double">
        <color theme="1" tint="0.499984740745262"/>
      </left>
      <right/>
      <top style="thin">
        <color theme="2" tint="-9.9978637043366805E-2"/>
      </top>
      <bottom/>
      <diagonal/>
    </border>
    <border>
      <left style="double">
        <color theme="1" tint="0.499984740745262"/>
      </left>
      <right/>
      <top/>
      <bottom/>
      <diagonal/>
    </border>
    <border>
      <left style="double">
        <color theme="1" tint="0.499984740745262"/>
      </left>
      <right/>
      <top/>
      <bottom style="medium">
        <color indexed="64"/>
      </bottom>
      <diagonal/>
    </border>
    <border>
      <left style="dotted">
        <color indexed="64"/>
      </left>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theme="6" tint="0.59999389629810485"/>
      </left>
      <right/>
      <top style="thin">
        <color theme="2" tint="-9.9978637043366805E-2"/>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style="thin">
        <color theme="1"/>
      </bottom>
      <diagonal/>
    </border>
  </borders>
  <cellStyleXfs count="9">
    <xf numFmtId="0" fontId="0" fillId="0" borderId="0">
      <alignment vertical="center"/>
    </xf>
    <xf numFmtId="0" fontId="12" fillId="0" borderId="0">
      <alignment vertical="center"/>
    </xf>
    <xf numFmtId="0" fontId="21" fillId="0" borderId="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42" applyNumberFormat="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50" fillId="0" borderId="0" applyNumberFormat="0" applyFill="0" applyBorder="0" applyAlignment="0" applyProtection="0">
      <alignment vertical="center"/>
    </xf>
  </cellStyleXfs>
  <cellXfs count="941">
    <xf numFmtId="0" fontId="0" fillId="0" borderId="0" xfId="0">
      <alignment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6" xfId="0" applyFont="1" applyFill="1" applyBorder="1" applyAlignment="1">
      <alignment horizontal="center" vertical="center"/>
    </xf>
    <xf numFmtId="0" fontId="3" fillId="0" borderId="0" xfId="0" applyFont="1" applyAlignment="1" applyProtection="1">
      <alignment horizontal="center" vertical="center"/>
    </xf>
    <xf numFmtId="0" fontId="6" fillId="0" borderId="0" xfId="0" applyFont="1" applyAlignment="1" applyProtection="1">
      <alignment horizontal="center" vertical="center"/>
      <protection locked="0"/>
    </xf>
    <xf numFmtId="0" fontId="10" fillId="0" borderId="0" xfId="0" applyFont="1" applyAlignment="1">
      <alignment horizontal="center" vertical="center"/>
    </xf>
    <xf numFmtId="0" fontId="11" fillId="0" borderId="0" xfId="0" applyFont="1" applyAlignment="1">
      <alignment horizontal="center" vertical="center"/>
    </xf>
    <xf numFmtId="49" fontId="11" fillId="0" borderId="0" xfId="0" applyNumberFormat="1" applyFont="1" applyAlignment="1">
      <alignment horizontal="center" vertical="center"/>
    </xf>
    <xf numFmtId="49" fontId="11" fillId="3" borderId="9" xfId="0" applyNumberFormat="1" applyFont="1" applyFill="1" applyBorder="1" applyAlignment="1" applyProtection="1">
      <alignment horizontal="center" vertical="center"/>
      <protection locked="0"/>
    </xf>
    <xf numFmtId="0" fontId="11" fillId="0" borderId="0" xfId="0" applyFont="1" applyAlignment="1">
      <alignment vertical="center"/>
    </xf>
    <xf numFmtId="0" fontId="11" fillId="3" borderId="9" xfId="0" applyFont="1" applyFill="1" applyBorder="1" applyAlignment="1" applyProtection="1">
      <alignment horizontal="center" vertical="center"/>
      <protection locked="0"/>
    </xf>
    <xf numFmtId="0" fontId="11" fillId="0" borderId="9" xfId="0" applyFont="1" applyBorder="1" applyAlignment="1" applyProtection="1">
      <alignment horizontal="center" vertical="center"/>
      <protection locked="0"/>
    </xf>
    <xf numFmtId="0" fontId="12" fillId="0" borderId="0" xfId="1">
      <alignment vertical="center"/>
    </xf>
    <xf numFmtId="0" fontId="1" fillId="0" borderId="0" xfId="0" applyFont="1" applyAlignment="1">
      <alignment horizontal="center" vertical="center"/>
    </xf>
    <xf numFmtId="0" fontId="1" fillId="0" borderId="0" xfId="0" applyFont="1" applyAlignment="1">
      <alignment horizontal="center" vertical="center"/>
    </xf>
    <xf numFmtId="24" fontId="1" fillId="0" borderId="0" xfId="0" applyNumberFormat="1" applyFont="1" applyAlignment="1">
      <alignment horizontal="center" vertical="center"/>
    </xf>
    <xf numFmtId="26" fontId="1" fillId="0" borderId="5" xfId="0" applyNumberFormat="1" applyFont="1" applyBorder="1" applyAlignment="1">
      <alignment horizontal="center" vertical="center"/>
    </xf>
    <xf numFmtId="24" fontId="1" fillId="0" borderId="5" xfId="0" applyNumberFormat="1" applyFont="1" applyBorder="1" applyAlignment="1">
      <alignment horizontal="center" vertical="center"/>
    </xf>
    <xf numFmtId="0" fontId="1" fillId="3" borderId="0" xfId="0" applyFont="1" applyFill="1" applyBorder="1" applyAlignment="1">
      <alignment horizontal="center" vertical="center"/>
    </xf>
    <xf numFmtId="24" fontId="1" fillId="3" borderId="5" xfId="0" applyNumberFormat="1" applyFont="1" applyFill="1" applyBorder="1" applyAlignment="1">
      <alignment horizontal="center" vertical="center"/>
    </xf>
    <xf numFmtId="24" fontId="1" fillId="3" borderId="8" xfId="0" applyNumberFormat="1" applyFont="1" applyFill="1" applyBorder="1" applyAlignment="1">
      <alignment horizontal="center" vertical="center"/>
    </xf>
    <xf numFmtId="0" fontId="0" fillId="0" borderId="0" xfId="0" applyAlignment="1">
      <alignment horizontal="left" vertical="center" wrapText="1"/>
    </xf>
    <xf numFmtId="49" fontId="16" fillId="7" borderId="30" xfId="1" applyNumberFormat="1" applyFont="1" applyFill="1" applyBorder="1" applyAlignment="1">
      <alignment horizontal="center" vertical="top" wrapText="1"/>
    </xf>
    <xf numFmtId="49" fontId="17" fillId="0" borderId="40" xfId="1" applyNumberFormat="1" applyFont="1" applyBorder="1" applyAlignment="1">
      <alignment horizontal="left" vertical="center" wrapText="1"/>
    </xf>
    <xf numFmtId="0" fontId="15"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5" fillId="0" borderId="0" xfId="0" applyFont="1" applyAlignment="1">
      <alignment horizontal="left" vertical="center" wrapText="1"/>
    </xf>
    <xf numFmtId="0" fontId="3"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0" fontId="10" fillId="0" borderId="0" xfId="0" applyFont="1" applyAlignment="1" applyProtection="1">
      <alignment horizontal="center" vertical="center"/>
    </xf>
    <xf numFmtId="0" fontId="0" fillId="0" borderId="0" xfId="0" applyProtection="1">
      <alignment vertical="center"/>
      <protection locked="0"/>
    </xf>
    <xf numFmtId="49" fontId="19" fillId="0" borderId="0" xfId="1" applyNumberFormat="1" applyFont="1">
      <alignment vertical="center"/>
    </xf>
    <xf numFmtId="0" fontId="19" fillId="0" borderId="0" xfId="1" applyFont="1">
      <alignment vertical="center"/>
    </xf>
    <xf numFmtId="0" fontId="11" fillId="0" borderId="0" xfId="0" applyFont="1" applyAlignment="1" applyProtection="1">
      <alignment horizontal="center" vertical="center"/>
      <protection locked="0"/>
    </xf>
    <xf numFmtId="0" fontId="0" fillId="0" borderId="0" xfId="0" applyAlignment="1" applyProtection="1">
      <alignment vertical="center" wrapText="1"/>
    </xf>
    <xf numFmtId="0" fontId="0" fillId="0" borderId="0" xfId="0" applyAlignment="1" applyProtection="1">
      <alignment vertical="center"/>
    </xf>
    <xf numFmtId="0" fontId="0" fillId="0" borderId="0" xfId="0" applyAlignment="1" applyProtection="1">
      <alignment vertical="top" wrapText="1"/>
    </xf>
    <xf numFmtId="0" fontId="3" fillId="0" borderId="0" xfId="0" applyFont="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12" fillId="0" borderId="0" xfId="1" applyFill="1">
      <alignment vertical="center"/>
    </xf>
    <xf numFmtId="0" fontId="19" fillId="0" borderId="0" xfId="1" applyFont="1" applyFill="1" applyAlignment="1">
      <alignment horizontal="center" vertical="top" wrapText="1"/>
    </xf>
    <xf numFmtId="49" fontId="28" fillId="2" borderId="1" xfId="0" applyNumberFormat="1" applyFont="1" applyFill="1" applyBorder="1" applyAlignment="1" applyProtection="1">
      <alignment horizontal="center" vertical="center"/>
    </xf>
    <xf numFmtId="49" fontId="28" fillId="2" borderId="2" xfId="0" applyNumberFormat="1" applyFont="1" applyFill="1" applyBorder="1" applyAlignment="1" applyProtection="1">
      <alignment horizontal="center" vertical="center"/>
    </xf>
    <xf numFmtId="49" fontId="28" fillId="2" borderId="3" xfId="0" applyNumberFormat="1" applyFont="1" applyFill="1" applyBorder="1" applyAlignment="1" applyProtection="1">
      <alignment horizontal="center" vertical="center"/>
    </xf>
    <xf numFmtId="0" fontId="29" fillId="3" borderId="4" xfId="0" applyFont="1" applyFill="1" applyBorder="1" applyAlignment="1" applyProtection="1">
      <alignment horizontal="left" vertical="center"/>
    </xf>
    <xf numFmtId="0" fontId="29" fillId="0" borderId="4" xfId="0" applyFont="1" applyBorder="1" applyAlignment="1" applyProtection="1">
      <alignment horizontal="left" vertical="center"/>
    </xf>
    <xf numFmtId="0" fontId="29" fillId="0" borderId="6" xfId="0" applyFont="1" applyBorder="1" applyAlignment="1" applyProtection="1">
      <alignment horizontal="left" vertical="center"/>
    </xf>
    <xf numFmtId="49" fontId="29" fillId="3" borderId="0" xfId="0" applyNumberFormat="1" applyFont="1" applyFill="1" applyBorder="1" applyAlignment="1" applyProtection="1">
      <alignment horizontal="center" vertical="center"/>
    </xf>
    <xf numFmtId="49" fontId="29" fillId="0" borderId="0" xfId="0" applyNumberFormat="1" applyFont="1" applyBorder="1" applyAlignment="1" applyProtection="1">
      <alignment horizontal="center" vertical="center"/>
    </xf>
    <xf numFmtId="49" fontId="29" fillId="0" borderId="7" xfId="0" applyNumberFormat="1" applyFont="1" applyBorder="1" applyAlignment="1" applyProtection="1">
      <alignment horizontal="center" vertical="center"/>
    </xf>
    <xf numFmtId="0" fontId="29" fillId="3" borderId="0" xfId="0" applyFont="1" applyFill="1" applyBorder="1" applyAlignment="1" applyProtection="1">
      <alignment horizontal="center" vertical="center"/>
    </xf>
    <xf numFmtId="0" fontId="29" fillId="3" borderId="5" xfId="0" applyFont="1" applyFill="1" applyBorder="1" applyAlignment="1" applyProtection="1">
      <alignment horizontal="center" vertical="center"/>
    </xf>
    <xf numFmtId="0" fontId="29" fillId="0" borderId="0" xfId="0" applyFont="1" applyBorder="1" applyAlignment="1" applyProtection="1">
      <alignment horizontal="center" vertical="center"/>
    </xf>
    <xf numFmtId="0" fontId="29" fillId="0" borderId="5" xfId="0" applyFont="1" applyBorder="1" applyAlignment="1" applyProtection="1">
      <alignment horizontal="center" vertical="center"/>
    </xf>
    <xf numFmtId="0" fontId="29" fillId="0" borderId="7" xfId="0" applyFont="1" applyBorder="1" applyAlignment="1" applyProtection="1">
      <alignment horizontal="center" vertical="center"/>
    </xf>
    <xf numFmtId="0" fontId="29" fillId="0" borderId="8" xfId="0" applyFont="1" applyBorder="1" applyAlignment="1" applyProtection="1">
      <alignment horizontal="center" vertical="center"/>
    </xf>
    <xf numFmtId="0" fontId="27" fillId="0" borderId="0" xfId="0" applyFont="1" applyFill="1" applyBorder="1" applyAlignment="1">
      <alignment horizontal="center" vertical="center"/>
    </xf>
    <xf numFmtId="0" fontId="0" fillId="0" borderId="0" xfId="0" applyBorder="1">
      <alignment vertical="center"/>
    </xf>
    <xf numFmtId="0" fontId="27" fillId="0" borderId="0" xfId="0" applyFont="1" applyFill="1" applyBorder="1" applyAlignment="1" applyProtection="1">
      <alignment horizontal="center" vertical="center"/>
    </xf>
    <xf numFmtId="0" fontId="27" fillId="0" borderId="0" xfId="0" applyFont="1" applyFill="1" applyBorder="1" applyAlignment="1" applyProtection="1">
      <alignment horizontal="center" vertical="center" wrapText="1"/>
    </xf>
    <xf numFmtId="0" fontId="27" fillId="0" borderId="0" xfId="0" applyFont="1" applyFill="1" applyBorder="1" applyAlignment="1" applyProtection="1">
      <alignment horizontal="center" vertical="center"/>
      <protection locked="0"/>
    </xf>
    <xf numFmtId="0" fontId="26" fillId="15" borderId="0" xfId="6" applyBorder="1" applyAlignment="1">
      <alignment horizontal="center" vertical="center"/>
    </xf>
    <xf numFmtId="0" fontId="26" fillId="15" borderId="0" xfId="6"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8" fillId="0" borderId="0" xfId="0" applyFont="1" applyBorder="1" applyAlignment="1" applyProtection="1">
      <alignment horizontal="center" vertical="center"/>
    </xf>
    <xf numFmtId="0" fontId="8" fillId="0" borderId="0" xfId="0" applyNumberFormat="1" applyFont="1" applyBorder="1" applyAlignment="1" applyProtection="1">
      <alignment horizontal="center" vertical="center"/>
    </xf>
    <xf numFmtId="49" fontId="27"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49" fontId="27" fillId="0" borderId="0" xfId="0" applyNumberFormat="1" applyFont="1" applyFill="1" applyBorder="1" applyAlignment="1" applyProtection="1">
      <alignment horizontal="center" vertical="center" wrapText="1"/>
    </xf>
    <xf numFmtId="49" fontId="27" fillId="0" borderId="0" xfId="0" applyNumberFormat="1"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49" fontId="3" fillId="0" borderId="0" xfId="0" applyNumberFormat="1" applyFont="1" applyBorder="1" applyAlignment="1" applyProtection="1">
      <alignment vertical="center"/>
      <protection locked="0"/>
    </xf>
    <xf numFmtId="0" fontId="7" fillId="0" borderId="0" xfId="0" applyFont="1" applyBorder="1" applyAlignment="1" applyProtection="1">
      <alignment horizontal="center" vertical="center"/>
      <protection locked="0"/>
    </xf>
    <xf numFmtId="0" fontId="0" fillId="0" borderId="45" xfId="0" applyBorder="1">
      <alignment vertical="center"/>
    </xf>
    <xf numFmtId="0" fontId="15" fillId="0" borderId="45" xfId="0" applyFont="1" applyBorder="1" applyAlignment="1">
      <alignment vertical="center" wrapText="1"/>
    </xf>
    <xf numFmtId="0" fontId="0" fillId="0" borderId="45" xfId="0" applyBorder="1" applyAlignment="1">
      <alignment vertical="center" wrapText="1"/>
    </xf>
    <xf numFmtId="0" fontId="0" fillId="0" borderId="45" xfId="0" applyBorder="1" applyAlignment="1">
      <alignment horizontal="center" vertical="center" wrapText="1"/>
    </xf>
    <xf numFmtId="0" fontId="15" fillId="0" borderId="45" xfId="0" applyFont="1" applyBorder="1" applyAlignment="1">
      <alignment horizontal="left" vertical="center" wrapText="1"/>
    </xf>
    <xf numFmtId="0" fontId="0" fillId="6" borderId="45" xfId="0" applyFill="1" applyBorder="1">
      <alignment vertical="center"/>
    </xf>
    <xf numFmtId="0" fontId="0" fillId="6" borderId="45" xfId="0" applyFill="1" applyBorder="1" applyAlignment="1">
      <alignment horizontal="left" vertical="center" wrapText="1"/>
    </xf>
    <xf numFmtId="0" fontId="0" fillId="6" borderId="45" xfId="0" applyFill="1" applyBorder="1" applyAlignment="1">
      <alignment horizontal="center" vertical="center" wrapText="1"/>
    </xf>
    <xf numFmtId="0" fontId="15" fillId="6" borderId="45" xfId="0" applyFont="1" applyFill="1" applyBorder="1" applyAlignment="1">
      <alignment horizontal="left" vertical="center" wrapText="1"/>
    </xf>
    <xf numFmtId="0" fontId="0" fillId="0" borderId="45" xfId="0" applyBorder="1" applyAlignment="1">
      <alignment horizontal="left" vertical="center" wrapText="1"/>
    </xf>
    <xf numFmtId="0" fontId="0" fillId="0" borderId="46" xfId="0" applyBorder="1">
      <alignment vertical="center"/>
    </xf>
    <xf numFmtId="0" fontId="0" fillId="0" borderId="47" xfId="0" applyBorder="1">
      <alignment vertical="center"/>
    </xf>
    <xf numFmtId="0" fontId="0" fillId="0" borderId="48" xfId="0" applyBorder="1" applyAlignment="1">
      <alignment vertical="center" wrapText="1"/>
    </xf>
    <xf numFmtId="0" fontId="0" fillId="0" borderId="48" xfId="0" applyBorder="1">
      <alignment vertical="center"/>
    </xf>
    <xf numFmtId="0" fontId="0" fillId="0" borderId="50" xfId="0" applyBorder="1" applyProtection="1">
      <alignment vertical="center"/>
      <protection locked="0"/>
    </xf>
    <xf numFmtId="0" fontId="0" fillId="0" borderId="50" xfId="0" applyBorder="1">
      <alignment vertical="center"/>
    </xf>
    <xf numFmtId="0" fontId="0" fillId="0" borderId="49" xfId="0" applyBorder="1" applyAlignment="1">
      <alignment vertical="center" wrapText="1"/>
    </xf>
    <xf numFmtId="0" fontId="1" fillId="5" borderId="53" xfId="0" applyFont="1" applyFill="1" applyBorder="1" applyAlignment="1" applyProtection="1">
      <alignment horizontal="center" vertical="center"/>
    </xf>
    <xf numFmtId="0" fontId="1" fillId="5" borderId="54" xfId="0" applyFont="1" applyFill="1" applyBorder="1" applyAlignment="1" applyProtection="1">
      <alignment horizontal="center" vertical="center" wrapText="1"/>
    </xf>
    <xf numFmtId="0" fontId="1" fillId="0" borderId="55" xfId="0" applyFont="1" applyBorder="1" applyAlignment="1" applyProtection="1">
      <alignment horizontal="center" vertical="center"/>
    </xf>
    <xf numFmtId="0" fontId="1" fillId="0" borderId="56" xfId="0" applyFont="1" applyBorder="1" applyAlignment="1" applyProtection="1">
      <alignment horizontal="left" vertical="center" wrapText="1"/>
    </xf>
    <xf numFmtId="0" fontId="1" fillId="3" borderId="53" xfId="0" applyFont="1" applyFill="1" applyBorder="1" applyAlignment="1" applyProtection="1">
      <alignment horizontal="center" vertical="center"/>
    </xf>
    <xf numFmtId="0" fontId="1" fillId="3" borderId="54" xfId="0" applyFont="1" applyFill="1" applyBorder="1" applyAlignment="1" applyProtection="1">
      <alignment horizontal="left" vertical="center" wrapText="1"/>
    </xf>
    <xf numFmtId="0" fontId="1" fillId="3" borderId="57" xfId="0" applyFont="1" applyFill="1" applyBorder="1" applyAlignment="1" applyProtection="1">
      <alignment horizontal="center" vertical="center"/>
    </xf>
    <xf numFmtId="0" fontId="1" fillId="3" borderId="58" xfId="0" applyFont="1" applyFill="1" applyBorder="1" applyAlignment="1" applyProtection="1">
      <alignment horizontal="left" vertical="center" wrapText="1"/>
    </xf>
    <xf numFmtId="0" fontId="1" fillId="5" borderId="53" xfId="0" applyFont="1" applyFill="1" applyBorder="1" applyAlignment="1" applyProtection="1">
      <alignment horizontal="center" vertical="center" wrapText="1"/>
    </xf>
    <xf numFmtId="0" fontId="1" fillId="0" borderId="55" xfId="0" applyFont="1" applyBorder="1" applyAlignment="1">
      <alignment horizontal="center" vertical="center"/>
    </xf>
    <xf numFmtId="0" fontId="1" fillId="0" borderId="56" xfId="0" applyFont="1" applyBorder="1" applyAlignment="1">
      <alignment horizontal="left" vertical="center" wrapText="1"/>
    </xf>
    <xf numFmtId="0" fontId="1" fillId="3" borderId="53" xfId="0" applyFont="1" applyFill="1" applyBorder="1" applyAlignment="1">
      <alignment horizontal="center" vertical="center"/>
    </xf>
    <xf numFmtId="0" fontId="1" fillId="3" borderId="54" xfId="0" applyFont="1" applyFill="1" applyBorder="1" applyAlignment="1">
      <alignment horizontal="left" vertical="center"/>
    </xf>
    <xf numFmtId="0" fontId="1" fillId="0" borderId="55" xfId="0" applyFont="1" applyBorder="1" applyAlignment="1" applyProtection="1">
      <alignment horizontal="center" vertical="center" wrapText="1"/>
    </xf>
    <xf numFmtId="0" fontId="1" fillId="3" borderId="53" xfId="0" applyFont="1" applyFill="1" applyBorder="1" applyAlignment="1" applyProtection="1">
      <alignment horizontal="center" vertical="center" wrapText="1"/>
    </xf>
    <xf numFmtId="0" fontId="1" fillId="3" borderId="57" xfId="0" applyFont="1" applyFill="1" applyBorder="1" applyAlignment="1" applyProtection="1">
      <alignment horizontal="center" vertical="center" wrapText="1"/>
    </xf>
    <xf numFmtId="0" fontId="0" fillId="0" borderId="59" xfId="0" applyBorder="1" applyAlignment="1" applyProtection="1">
      <alignment horizontal="center" vertical="center" wrapText="1"/>
      <protection hidden="1"/>
    </xf>
    <xf numFmtId="0" fontId="15" fillId="0" borderId="60" xfId="0" applyFont="1" applyBorder="1" applyAlignment="1" applyProtection="1">
      <alignment horizontal="left" vertical="center" wrapText="1"/>
      <protection hidden="1"/>
    </xf>
    <xf numFmtId="0" fontId="0" fillId="0" borderId="47" xfId="0" applyBorder="1" applyAlignment="1">
      <alignment horizontal="center" vertical="center" wrapText="1"/>
    </xf>
    <xf numFmtId="0" fontId="15" fillId="0" borderId="47" xfId="0" applyFont="1" applyBorder="1" applyAlignment="1">
      <alignment horizontal="left" vertical="center" wrapText="1"/>
    </xf>
    <xf numFmtId="0" fontId="1" fillId="5" borderId="53" xfId="0" applyFont="1" applyFill="1" applyBorder="1" applyAlignment="1" applyProtection="1">
      <alignment horizontal="center" vertical="center"/>
      <protection hidden="1"/>
    </xf>
    <xf numFmtId="0" fontId="1" fillId="5" borderId="54" xfId="0" applyFont="1" applyFill="1" applyBorder="1" applyAlignment="1" applyProtection="1">
      <alignment horizontal="center" vertical="center" wrapText="1"/>
      <protection hidden="1"/>
    </xf>
    <xf numFmtId="0" fontId="1" fillId="0" borderId="61" xfId="0" applyFont="1" applyBorder="1" applyAlignment="1" applyProtection="1">
      <alignment horizontal="center" vertical="center"/>
      <protection locked="0" hidden="1"/>
    </xf>
    <xf numFmtId="0" fontId="1" fillId="0" borderId="62" xfId="0" applyFont="1" applyBorder="1" applyAlignment="1" applyProtection="1">
      <alignment horizontal="left" vertical="center" wrapText="1"/>
      <protection hidden="1"/>
    </xf>
    <xf numFmtId="0" fontId="15" fillId="0" borderId="63" xfId="0" applyFont="1" applyBorder="1" applyAlignment="1">
      <alignment vertical="center" wrapText="1"/>
    </xf>
    <xf numFmtId="0" fontId="0" fillId="0" borderId="60" xfId="0" applyBorder="1" applyAlignment="1">
      <alignment vertical="center" wrapText="1"/>
    </xf>
    <xf numFmtId="0" fontId="15" fillId="0" borderId="47" xfId="0" applyFont="1" applyBorder="1" applyAlignment="1">
      <alignment vertical="center" wrapText="1"/>
    </xf>
    <xf numFmtId="0" fontId="6" fillId="0" borderId="0"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39" fillId="0" borderId="0" xfId="0" applyFont="1" applyAlignment="1" applyProtection="1">
      <alignment vertical="center"/>
    </xf>
    <xf numFmtId="0" fontId="39" fillId="0" borderId="0" xfId="0" applyFont="1" applyAlignment="1" applyProtection="1">
      <alignment vertical="center" wrapText="1"/>
    </xf>
    <xf numFmtId="0" fontId="3"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pplyProtection="1">
      <alignment horizontal="center" vertical="center"/>
    </xf>
    <xf numFmtId="0" fontId="3" fillId="5" borderId="4" xfId="0" applyFont="1" applyFill="1" applyBorder="1" applyAlignment="1" applyProtection="1">
      <alignment horizontal="center" vertical="center"/>
    </xf>
    <xf numFmtId="0" fontId="3" fillId="5" borderId="5" xfId="0" applyFont="1" applyFill="1" applyBorder="1" applyAlignment="1" applyProtection="1">
      <alignment horizontal="center" vertical="center"/>
    </xf>
    <xf numFmtId="0" fontId="3" fillId="0" borderId="4" xfId="0" applyFont="1" applyBorder="1" applyAlignment="1" applyProtection="1">
      <alignment horizontal="center" vertical="center"/>
      <protection locked="0" hidden="1"/>
    </xf>
    <xf numFmtId="0" fontId="3" fillId="0" borderId="5"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3" borderId="4" xfId="0" applyFont="1" applyFill="1" applyBorder="1" applyAlignment="1" applyProtection="1">
      <alignment horizontal="center" vertical="center"/>
      <protection locked="0" hidden="1"/>
    </xf>
    <xf numFmtId="0" fontId="3" fillId="3" borderId="5" xfId="0" applyFont="1" applyFill="1" applyBorder="1" applyAlignment="1" applyProtection="1">
      <alignment horizontal="center" vertical="center"/>
    </xf>
    <xf numFmtId="0" fontId="3" fillId="0" borderId="6" xfId="0" applyFont="1" applyBorder="1" applyAlignment="1" applyProtection="1">
      <alignment horizontal="center" vertical="center"/>
      <protection locked="0" hidden="1"/>
    </xf>
    <xf numFmtId="0" fontId="3" fillId="0" borderId="8" xfId="0" applyFont="1" applyBorder="1" applyAlignment="1" applyProtection="1">
      <alignment horizontal="center" vertical="center"/>
    </xf>
    <xf numFmtId="0" fontId="3" fillId="3" borderId="6" xfId="0" applyFont="1" applyFill="1" applyBorder="1" applyAlignment="1" applyProtection="1">
      <alignment horizontal="center" vertical="center"/>
      <protection locked="0" hidden="1"/>
    </xf>
    <xf numFmtId="0" fontId="3" fillId="3" borderId="8" xfId="0" applyFont="1" applyFill="1" applyBorder="1" applyAlignment="1" applyProtection="1">
      <alignment horizontal="center" vertical="center"/>
    </xf>
    <xf numFmtId="0" fontId="3" fillId="3" borderId="64" xfId="0" applyFont="1" applyFill="1" applyBorder="1" applyAlignment="1" applyProtection="1">
      <alignment horizontal="center" vertical="center"/>
      <protection locked="0" hidden="1"/>
    </xf>
    <xf numFmtId="0" fontId="3" fillId="3" borderId="65" xfId="0" applyFont="1" applyFill="1" applyBorder="1" applyAlignment="1" applyProtection="1">
      <alignment horizontal="center" vertical="center"/>
    </xf>
    <xf numFmtId="0" fontId="0" fillId="0" borderId="0" xfId="0" applyAlignment="1">
      <alignment horizontal="left" vertical="center"/>
    </xf>
    <xf numFmtId="0" fontId="38" fillId="3" borderId="68" xfId="0" applyFont="1" applyFill="1" applyBorder="1" applyAlignment="1" applyProtection="1">
      <alignment horizontal="center" vertical="center" wrapText="1"/>
      <protection locked="0"/>
    </xf>
    <xf numFmtId="0" fontId="3" fillId="0" borderId="0" xfId="0" applyFont="1" applyBorder="1" applyAlignment="1" applyProtection="1">
      <alignment horizontal="center" vertical="center"/>
    </xf>
    <xf numFmtId="0" fontId="10" fillId="2" borderId="21" xfId="0" applyFont="1" applyFill="1" applyBorder="1" applyAlignment="1" applyProtection="1">
      <alignment horizontal="center" vertical="center"/>
      <protection locked="0"/>
    </xf>
    <xf numFmtId="0" fontId="10" fillId="2" borderId="23" xfId="0" applyFont="1" applyFill="1" applyBorder="1" applyAlignment="1" applyProtection="1">
      <alignment horizontal="center" vertical="center"/>
      <protection locked="0"/>
    </xf>
    <xf numFmtId="0" fontId="11" fillId="3" borderId="17" xfId="0" applyFont="1" applyFill="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11" fillId="0" borderId="18" xfId="0" applyFont="1" applyBorder="1" applyAlignment="1" applyProtection="1">
      <alignment horizontal="center" vertical="center"/>
      <protection locked="0"/>
    </xf>
    <xf numFmtId="0" fontId="11" fillId="3" borderId="19" xfId="0" applyFont="1" applyFill="1" applyBorder="1" applyAlignment="1" applyProtection="1">
      <alignment horizontal="center" vertical="center"/>
      <protection locked="0"/>
    </xf>
    <xf numFmtId="49" fontId="11" fillId="3" borderId="17" xfId="0" applyNumberFormat="1" applyFont="1" applyFill="1" applyBorder="1" applyAlignment="1" applyProtection="1">
      <alignment horizontal="center" vertical="center"/>
      <protection locked="0"/>
    </xf>
    <xf numFmtId="0" fontId="11" fillId="3" borderId="18" xfId="0" applyFont="1" applyFill="1" applyBorder="1" applyAlignment="1" applyProtection="1">
      <alignment horizontal="center" vertical="center"/>
      <protection locked="0"/>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0" fillId="2" borderId="22" xfId="0" applyFont="1" applyFill="1" applyBorder="1" applyAlignment="1" applyProtection="1">
      <alignment horizontal="center" vertical="center"/>
      <protection locked="0"/>
    </xf>
    <xf numFmtId="49" fontId="11" fillId="3" borderId="20" xfId="0" applyNumberFormat="1" applyFont="1" applyFill="1" applyBorder="1" applyAlignment="1" applyProtection="1">
      <alignment horizontal="center" vertical="center"/>
      <protection locked="0"/>
    </xf>
    <xf numFmtId="0" fontId="11" fillId="3" borderId="24" xfId="0" applyFont="1" applyFill="1" applyBorder="1" applyAlignment="1" applyProtection="1">
      <alignment horizontal="center" vertical="center"/>
      <protection locked="0"/>
    </xf>
    <xf numFmtId="0" fontId="11" fillId="3" borderId="19" xfId="0" applyNumberFormat="1" applyFont="1" applyFill="1" applyBorder="1" applyAlignment="1" applyProtection="1">
      <alignment horizontal="center" vertical="center"/>
      <protection locked="0"/>
    </xf>
    <xf numFmtId="0" fontId="11" fillId="0" borderId="13" xfId="0" applyFont="1" applyBorder="1" applyAlignment="1" applyProtection="1">
      <alignment horizontal="center" vertical="center"/>
      <protection locked="0"/>
    </xf>
    <xf numFmtId="0" fontId="11" fillId="3" borderId="13" xfId="0" applyFont="1" applyFill="1" applyBorder="1" applyAlignment="1" applyProtection="1">
      <alignment horizontal="center" vertical="center"/>
      <protection locked="0"/>
    </xf>
    <xf numFmtId="0" fontId="7" fillId="0" borderId="0" xfId="0" applyFont="1" applyAlignment="1" applyProtection="1">
      <alignment horizontal="center" vertical="center"/>
      <protection locked="0"/>
    </xf>
    <xf numFmtId="1" fontId="0" fillId="0" borderId="0" xfId="0" applyNumberFormat="1">
      <alignment vertical="center"/>
    </xf>
    <xf numFmtId="49" fontId="0" fillId="0" borderId="0" xfId="0" applyNumberFormat="1" applyBorder="1">
      <alignment vertical="center"/>
    </xf>
    <xf numFmtId="0" fontId="0" fillId="0" borderId="0" xfId="0" applyNumberFormat="1" applyBorder="1">
      <alignment vertical="center"/>
    </xf>
    <xf numFmtId="0" fontId="0" fillId="0" borderId="0" xfId="0" applyNumberFormat="1">
      <alignment vertical="center"/>
    </xf>
    <xf numFmtId="0" fontId="0" fillId="17" borderId="0" xfId="0" applyFill="1">
      <alignment vertical="center"/>
    </xf>
    <xf numFmtId="0" fontId="10" fillId="2" borderId="71" xfId="0" applyFont="1" applyFill="1" applyBorder="1" applyAlignment="1" applyProtection="1">
      <alignment horizontal="center" vertical="center"/>
      <protection locked="0"/>
    </xf>
    <xf numFmtId="0" fontId="10" fillId="2" borderId="72" xfId="0" applyFont="1" applyFill="1" applyBorder="1" applyAlignment="1" applyProtection="1">
      <alignment horizontal="center" vertical="center"/>
      <protection locked="0"/>
    </xf>
    <xf numFmtId="49" fontId="11" fillId="3" borderId="74" xfId="0" applyNumberFormat="1" applyFont="1" applyFill="1" applyBorder="1" applyAlignment="1" applyProtection="1">
      <alignment horizontal="center" vertical="center"/>
      <protection locked="0"/>
    </xf>
    <xf numFmtId="0" fontId="11" fillId="0" borderId="74" xfId="0" applyFont="1" applyBorder="1" applyAlignment="1" applyProtection="1">
      <alignment horizontal="center" vertical="center"/>
      <protection locked="0"/>
    </xf>
    <xf numFmtId="0" fontId="11" fillId="3" borderId="74" xfId="0" applyNumberFormat="1" applyFont="1" applyFill="1" applyBorder="1" applyAlignment="1" applyProtection="1">
      <alignment horizontal="center" vertical="center"/>
      <protection locked="0"/>
    </xf>
    <xf numFmtId="0" fontId="11" fillId="0" borderId="76" xfId="0" applyFont="1" applyBorder="1" applyAlignment="1" applyProtection="1">
      <alignment horizontal="center" vertical="center"/>
      <protection locked="0"/>
    </xf>
    <xf numFmtId="0" fontId="11" fillId="0" borderId="69" xfId="0" applyFont="1" applyBorder="1" applyAlignment="1" applyProtection="1">
      <alignment horizontal="center" vertical="center"/>
      <protection locked="0"/>
    </xf>
    <xf numFmtId="0" fontId="11" fillId="3" borderId="69" xfId="0" applyFont="1" applyFill="1" applyBorder="1" applyAlignment="1" applyProtection="1">
      <alignment horizontal="center" vertical="center"/>
      <protection locked="0"/>
    </xf>
    <xf numFmtId="0" fontId="11" fillId="0" borderId="77" xfId="0" applyFont="1" applyBorder="1" applyAlignment="1" applyProtection="1">
      <alignment horizontal="center" vertical="center"/>
      <protection locked="0"/>
    </xf>
    <xf numFmtId="0" fontId="11" fillId="0" borderId="78" xfId="0" applyFont="1" applyBorder="1" applyAlignment="1" applyProtection="1">
      <alignment horizontal="center" vertical="center"/>
      <protection locked="0"/>
    </xf>
    <xf numFmtId="0" fontId="11" fillId="3" borderId="79" xfId="0" applyFont="1" applyFill="1" applyBorder="1" applyAlignment="1" applyProtection="1">
      <alignment horizontal="center" vertical="center"/>
      <protection locked="0"/>
    </xf>
    <xf numFmtId="0" fontId="11" fillId="3" borderId="43" xfId="0" applyFont="1" applyFill="1" applyBorder="1" applyAlignment="1" applyProtection="1">
      <alignment horizontal="center" vertical="center"/>
      <protection locked="0"/>
    </xf>
    <xf numFmtId="0" fontId="10" fillId="2" borderId="80" xfId="0" applyFont="1" applyFill="1" applyBorder="1" applyAlignment="1" applyProtection="1">
      <alignment horizontal="center" vertical="center"/>
      <protection locked="0"/>
    </xf>
    <xf numFmtId="0" fontId="10" fillId="2" borderId="81" xfId="0" applyFont="1" applyFill="1" applyBorder="1" applyAlignment="1" applyProtection="1">
      <alignment horizontal="center" vertical="center"/>
      <protection locked="0"/>
    </xf>
    <xf numFmtId="0" fontId="11" fillId="3" borderId="41" xfId="0" applyFont="1" applyFill="1" applyBorder="1" applyAlignment="1" applyProtection="1">
      <alignment horizontal="center" vertical="center"/>
      <protection locked="0"/>
    </xf>
    <xf numFmtId="0" fontId="11" fillId="0" borderId="14" xfId="0" applyFont="1" applyBorder="1" applyAlignment="1" applyProtection="1">
      <alignment horizontal="center" vertical="center"/>
      <protection locked="0"/>
    </xf>
    <xf numFmtId="0" fontId="11" fillId="3" borderId="14" xfId="0" applyFont="1" applyFill="1" applyBorder="1" applyAlignment="1" applyProtection="1">
      <alignment horizontal="center" vertical="center"/>
      <protection locked="0"/>
    </xf>
    <xf numFmtId="0" fontId="11" fillId="0" borderId="82" xfId="0" applyFont="1" applyBorder="1" applyAlignment="1" applyProtection="1">
      <alignment horizontal="center" vertical="center"/>
      <protection locked="0"/>
    </xf>
    <xf numFmtId="0" fontId="11" fillId="3" borderId="83" xfId="0" applyFont="1" applyFill="1" applyBorder="1" applyAlignment="1" applyProtection="1">
      <alignment horizontal="center" vertical="center"/>
      <protection locked="0"/>
    </xf>
    <xf numFmtId="0" fontId="11" fillId="0" borderId="84" xfId="0" applyFont="1" applyBorder="1" applyAlignment="1" applyProtection="1">
      <alignment horizontal="center" vertical="center"/>
      <protection locked="0"/>
    </xf>
    <xf numFmtId="0" fontId="11" fillId="3" borderId="84" xfId="0" applyFont="1" applyFill="1" applyBorder="1" applyAlignment="1" applyProtection="1">
      <alignment horizontal="center" vertical="center"/>
      <protection locked="0"/>
    </xf>
    <xf numFmtId="0" fontId="11" fillId="3" borderId="12" xfId="0" applyFont="1" applyFill="1" applyBorder="1" applyAlignment="1" applyProtection="1">
      <alignment horizontal="center" vertical="center"/>
      <protection locked="0"/>
    </xf>
    <xf numFmtId="0" fontId="11" fillId="0" borderId="86" xfId="0" applyFont="1" applyBorder="1" applyAlignment="1" applyProtection="1">
      <alignment horizontal="center" vertical="center"/>
      <protection locked="0"/>
    </xf>
    <xf numFmtId="0" fontId="10" fillId="2" borderId="87" xfId="0" applyFont="1" applyFill="1" applyBorder="1" applyAlignment="1" applyProtection="1">
      <alignment horizontal="center" vertical="center"/>
      <protection locked="0"/>
    </xf>
    <xf numFmtId="0" fontId="11" fillId="3" borderId="88" xfId="0" applyFont="1" applyFill="1" applyBorder="1" applyAlignment="1" applyProtection="1">
      <alignment horizontal="center" vertical="center"/>
      <protection locked="0"/>
    </xf>
    <xf numFmtId="0" fontId="11" fillId="0" borderId="70" xfId="0" applyFont="1" applyBorder="1" applyAlignment="1" applyProtection="1">
      <alignment horizontal="center" vertical="center"/>
      <protection locked="0"/>
    </xf>
    <xf numFmtId="0" fontId="11" fillId="3" borderId="70" xfId="0" applyFont="1" applyFill="1" applyBorder="1" applyAlignment="1" applyProtection="1">
      <alignment horizontal="center" vertical="center"/>
      <protection locked="0"/>
    </xf>
    <xf numFmtId="0" fontId="11" fillId="0" borderId="89" xfId="0" applyFont="1" applyBorder="1" applyAlignment="1" applyProtection="1">
      <alignment horizontal="center" vertical="center"/>
      <protection locked="0"/>
    </xf>
    <xf numFmtId="0" fontId="11" fillId="3" borderId="90" xfId="0" applyFont="1" applyFill="1" applyBorder="1" applyAlignment="1" applyProtection="1">
      <alignment horizontal="center" vertical="center"/>
      <protection locked="0"/>
    </xf>
    <xf numFmtId="0" fontId="11" fillId="0" borderId="91" xfId="0" applyFont="1" applyBorder="1" applyAlignment="1" applyProtection="1">
      <alignment horizontal="center" vertical="center"/>
      <protection locked="0"/>
    </xf>
    <xf numFmtId="0" fontId="11" fillId="0" borderId="75" xfId="0" applyFont="1" applyBorder="1" applyAlignment="1" applyProtection="1">
      <alignment horizontal="center" vertical="center" wrapText="1"/>
      <protection locked="0"/>
    </xf>
    <xf numFmtId="0" fontId="11" fillId="3" borderId="73" xfId="0" applyFont="1" applyFill="1" applyBorder="1" applyAlignment="1" applyProtection="1">
      <alignment horizontal="center" vertical="center" wrapText="1"/>
      <protection locked="0"/>
    </xf>
    <xf numFmtId="0" fontId="11" fillId="0" borderId="73" xfId="0" applyFont="1" applyBorder="1" applyAlignment="1" applyProtection="1">
      <alignment horizontal="center" vertical="center" wrapText="1"/>
      <protection locked="0"/>
    </xf>
    <xf numFmtId="14" fontId="41" fillId="14" borderId="31" xfId="5" applyNumberFormat="1" applyFont="1" applyBorder="1" applyAlignment="1" applyProtection="1">
      <alignment vertical="center" wrapText="1"/>
    </xf>
    <xf numFmtId="0" fontId="26" fillId="18" borderId="31" xfId="0" applyFont="1" applyFill="1" applyBorder="1" applyAlignment="1" applyProtection="1">
      <alignment horizontal="center" vertical="center"/>
    </xf>
    <xf numFmtId="0" fontId="29" fillId="0" borderId="0" xfId="0" applyFont="1" applyBorder="1" applyAlignment="1" applyProtection="1">
      <alignment vertical="top" wrapText="1"/>
    </xf>
    <xf numFmtId="0" fontId="3" fillId="0" borderId="0" xfId="0" applyFont="1" applyAlignment="1">
      <alignment horizontal="center" vertical="center"/>
    </xf>
    <xf numFmtId="0" fontId="9" fillId="0" borderId="0" xfId="0" applyFont="1" applyAlignment="1" applyProtection="1">
      <alignment horizontal="center" vertical="center"/>
      <protection locked="0"/>
    </xf>
    <xf numFmtId="0" fontId="5" fillId="0" borderId="0" xfId="0" applyNumberFormat="1" applyFont="1" applyAlignment="1" applyProtection="1">
      <alignment horizontal="center" vertical="center"/>
    </xf>
    <xf numFmtId="0" fontId="44" fillId="2" borderId="1" xfId="0" applyFont="1" applyFill="1" applyBorder="1" applyAlignment="1" applyProtection="1">
      <alignment horizontal="center" vertical="center" wrapText="1"/>
    </xf>
    <xf numFmtId="49" fontId="44" fillId="2" borderId="2" xfId="0" applyNumberFormat="1" applyFont="1" applyFill="1" applyBorder="1" applyAlignment="1" applyProtection="1">
      <alignment horizontal="center" vertical="center" wrapText="1"/>
    </xf>
    <xf numFmtId="0" fontId="44" fillId="2" borderId="2" xfId="0" applyFont="1" applyFill="1" applyBorder="1" applyAlignment="1" applyProtection="1">
      <alignment horizontal="center" vertical="center" wrapText="1"/>
    </xf>
    <xf numFmtId="0" fontId="44" fillId="2" borderId="3" xfId="0" applyFont="1" applyFill="1" applyBorder="1" applyAlignment="1" applyProtection="1">
      <alignment horizontal="center" vertical="center" wrapText="1"/>
    </xf>
    <xf numFmtId="0" fontId="52" fillId="0" borderId="0" xfId="0" applyFont="1" applyBorder="1" applyAlignment="1" applyProtection="1">
      <alignment horizontal="center" vertical="center" wrapText="1"/>
      <protection locked="0"/>
    </xf>
    <xf numFmtId="0" fontId="52" fillId="0" borderId="4" xfId="0" applyFont="1" applyBorder="1" applyAlignment="1" applyProtection="1">
      <alignment horizontal="center" vertical="center" wrapText="1"/>
    </xf>
    <xf numFmtId="0" fontId="52" fillId="3" borderId="4" xfId="0" applyFont="1" applyFill="1" applyBorder="1" applyAlignment="1" applyProtection="1">
      <alignment horizontal="center" vertical="center" wrapText="1"/>
    </xf>
    <xf numFmtId="0" fontId="52" fillId="3" borderId="0" xfId="0" applyFont="1" applyFill="1" applyBorder="1" applyAlignment="1" applyProtection="1">
      <alignment vertical="center" wrapText="1"/>
    </xf>
    <xf numFmtId="49" fontId="52" fillId="3" borderId="0" xfId="0" applyNumberFormat="1" applyFont="1" applyFill="1" applyBorder="1" applyAlignment="1" applyProtection="1">
      <alignment horizontal="center" vertical="center" wrapText="1"/>
      <protection locked="0"/>
    </xf>
    <xf numFmtId="49" fontId="38" fillId="3" borderId="68" xfId="0" applyNumberFormat="1" applyFont="1" applyFill="1" applyBorder="1" applyAlignment="1" applyProtection="1">
      <alignment horizontal="center" vertical="center" wrapText="1"/>
      <protection locked="0" hidden="1"/>
    </xf>
    <xf numFmtId="0" fontId="52" fillId="3" borderId="0" xfId="0" applyFont="1" applyFill="1" applyBorder="1" applyAlignment="1" applyProtection="1">
      <alignment horizontal="center" vertical="center"/>
    </xf>
    <xf numFmtId="0" fontId="52" fillId="3" borderId="5" xfId="0" applyFont="1" applyFill="1" applyBorder="1" applyAlignment="1" applyProtection="1">
      <alignment horizontal="left" vertical="center" wrapText="1"/>
    </xf>
    <xf numFmtId="0" fontId="52" fillId="0" borderId="0" xfId="0" applyFont="1" applyBorder="1" applyAlignment="1" applyProtection="1">
      <alignment horizontal="center" vertical="center" wrapText="1"/>
    </xf>
    <xf numFmtId="0" fontId="52" fillId="0" borderId="0" xfId="0" applyFont="1" applyBorder="1" applyAlignment="1" applyProtection="1">
      <alignment horizontal="center" vertical="center"/>
    </xf>
    <xf numFmtId="0" fontId="52" fillId="0" borderId="5" xfId="0" applyFont="1" applyBorder="1" applyAlignment="1" applyProtection="1">
      <alignment horizontal="left" vertical="center" wrapText="1"/>
    </xf>
    <xf numFmtId="49" fontId="52" fillId="3" borderId="0" xfId="0" applyNumberFormat="1" applyFont="1" applyFill="1" applyBorder="1" applyAlignment="1" applyProtection="1">
      <alignment horizontal="center" vertical="center" wrapText="1"/>
    </xf>
    <xf numFmtId="0" fontId="52" fillId="3" borderId="0" xfId="0" applyFont="1" applyFill="1" applyBorder="1" applyAlignment="1" applyProtection="1">
      <alignment horizontal="center" vertical="center" wrapText="1"/>
    </xf>
    <xf numFmtId="0" fontId="52" fillId="0" borderId="0" xfId="0" applyFont="1" applyAlignment="1" applyProtection="1">
      <alignment horizontal="left" vertical="center" wrapText="1"/>
    </xf>
    <xf numFmtId="0" fontId="52" fillId="0" borderId="0" xfId="0" applyFont="1" applyAlignment="1" applyProtection="1">
      <alignment horizontal="center" vertical="center" wrapText="1"/>
      <protection locked="0"/>
    </xf>
    <xf numFmtId="0" fontId="52" fillId="3" borderId="6" xfId="0" applyFont="1" applyFill="1" applyBorder="1" applyAlignment="1" applyProtection="1">
      <alignment horizontal="center" vertical="center" wrapText="1"/>
    </xf>
    <xf numFmtId="49" fontId="52" fillId="3" borderId="7" xfId="0" applyNumberFormat="1" applyFont="1" applyFill="1" applyBorder="1" applyAlignment="1" applyProtection="1">
      <alignment horizontal="center" vertical="center" wrapText="1"/>
    </xf>
    <xf numFmtId="0" fontId="52" fillId="3" borderId="7" xfId="0" applyFont="1" applyFill="1" applyBorder="1" applyAlignment="1" applyProtection="1">
      <alignment horizontal="center" vertical="center" wrapText="1"/>
    </xf>
    <xf numFmtId="0" fontId="52" fillId="3" borderId="7" xfId="0" applyFont="1" applyFill="1" applyBorder="1" applyAlignment="1" applyProtection="1">
      <alignment horizontal="center" vertical="center"/>
    </xf>
    <xf numFmtId="0" fontId="52" fillId="3" borderId="8" xfId="0" applyFont="1" applyFill="1" applyBorder="1" applyAlignment="1" applyProtection="1">
      <alignment horizontal="left" vertical="center" wrapText="1"/>
    </xf>
    <xf numFmtId="0" fontId="52" fillId="0" borderId="0" xfId="0" applyFont="1" applyAlignment="1" applyProtection="1">
      <alignment horizontal="center" vertical="center" wrapText="1"/>
    </xf>
    <xf numFmtId="49" fontId="52" fillId="0" borderId="0" xfId="0" applyNumberFormat="1" applyFont="1" applyAlignment="1" applyProtection="1">
      <alignment horizontal="center" vertical="center" wrapText="1"/>
    </xf>
    <xf numFmtId="0" fontId="0" fillId="0" borderId="48" xfId="0" applyBorder="1" applyAlignment="1" applyProtection="1">
      <alignment horizontal="center" vertical="top" wrapText="1"/>
    </xf>
    <xf numFmtId="0" fontId="0" fillId="0" borderId="48" xfId="0" applyBorder="1" applyProtection="1">
      <alignment vertical="center"/>
      <protection locked="0"/>
    </xf>
    <xf numFmtId="0" fontId="48" fillId="18" borderId="92" xfId="0" applyFont="1" applyFill="1" applyBorder="1" applyAlignment="1" applyProtection="1">
      <alignment horizontal="center" vertical="center"/>
    </xf>
    <xf numFmtId="0" fontId="29" fillId="0" borderId="104" xfId="0" applyFont="1" applyBorder="1" applyAlignment="1" applyProtection="1">
      <alignment vertical="top" wrapText="1"/>
    </xf>
    <xf numFmtId="0" fontId="9" fillId="0" borderId="0" xfId="0" applyNumberFormat="1" applyFont="1" applyAlignment="1" applyProtection="1">
      <alignment horizontal="center" vertical="center"/>
    </xf>
    <xf numFmtId="0" fontId="0" fillId="0" borderId="48" xfId="0" applyBorder="1" applyAlignment="1" applyProtection="1">
      <alignment vertical="center" wrapText="1"/>
    </xf>
    <xf numFmtId="0" fontId="0" fillId="0" borderId="48" xfId="0" applyBorder="1" applyProtection="1">
      <alignment vertical="center"/>
    </xf>
    <xf numFmtId="0" fontId="0" fillId="0" borderId="45" xfId="0" applyBorder="1" applyProtection="1">
      <alignment vertical="center"/>
    </xf>
    <xf numFmtId="0" fontId="0" fillId="0" borderId="49" xfId="0" applyBorder="1" applyAlignment="1" applyProtection="1">
      <alignment vertical="center" wrapText="1"/>
    </xf>
    <xf numFmtId="0" fontId="0" fillId="0" borderId="45" xfId="0" applyBorder="1" applyAlignment="1" applyProtection="1">
      <alignment vertical="center" wrapText="1"/>
    </xf>
    <xf numFmtId="0" fontId="0" fillId="0" borderId="46" xfId="0" applyBorder="1" applyAlignment="1" applyProtection="1">
      <alignment vertical="center" wrapText="1"/>
    </xf>
    <xf numFmtId="0" fontId="0" fillId="0" borderId="59" xfId="0" applyBorder="1" applyProtection="1">
      <alignment vertical="center"/>
      <protection locked="0"/>
    </xf>
    <xf numFmtId="0" fontId="0" fillId="0" borderId="45" xfId="0" applyBorder="1" applyProtection="1">
      <alignment vertical="center"/>
      <protection locked="0"/>
    </xf>
    <xf numFmtId="0" fontId="0" fillId="0" borderId="46" xfId="0" applyBorder="1" applyAlignment="1">
      <alignment horizontal="left" vertical="center" wrapText="1"/>
    </xf>
    <xf numFmtId="14" fontId="41" fillId="14" borderId="95" xfId="5" applyNumberFormat="1" applyFont="1" applyBorder="1" applyAlignment="1" applyProtection="1">
      <alignment vertical="center" wrapText="1"/>
    </xf>
    <xf numFmtId="0" fontId="0" fillId="0" borderId="45" xfId="0" applyBorder="1" applyAlignment="1" applyProtection="1">
      <alignment horizontal="center" vertical="top" wrapText="1"/>
    </xf>
    <xf numFmtId="0" fontId="0" fillId="0" borderId="45" xfId="0" applyBorder="1" applyAlignment="1">
      <alignment horizontal="left" vertical="center"/>
    </xf>
    <xf numFmtId="0" fontId="0" fillId="0" borderId="45" xfId="0" applyBorder="1" applyAlignment="1" applyProtection="1">
      <alignment horizontal="left" vertical="center"/>
      <protection locked="0"/>
    </xf>
    <xf numFmtId="14" fontId="33" fillId="14" borderId="45" xfId="5" applyNumberFormat="1" applyFont="1" applyBorder="1" applyAlignment="1" applyProtection="1">
      <alignment vertical="center" wrapText="1"/>
    </xf>
    <xf numFmtId="0" fontId="42" fillId="0" borderId="45" xfId="0" applyFont="1" applyBorder="1" applyAlignment="1" applyProtection="1">
      <alignment vertical="top" wrapText="1"/>
    </xf>
    <xf numFmtId="0" fontId="0" fillId="0" borderId="45" xfId="0" applyBorder="1" applyAlignment="1" applyProtection="1">
      <alignment horizontal="left" vertical="center" wrapText="1"/>
    </xf>
    <xf numFmtId="0" fontId="49" fillId="0" borderId="49" xfId="0" applyFont="1" applyBorder="1" applyAlignment="1" applyProtection="1">
      <alignment vertical="top" wrapText="1"/>
    </xf>
    <xf numFmtId="0" fontId="49" fillId="0" borderId="47" xfId="0" applyFont="1" applyBorder="1" applyAlignment="1" applyProtection="1">
      <alignment vertical="top" wrapText="1"/>
    </xf>
    <xf numFmtId="0" fontId="0" fillId="0" borderId="46" xfId="0" applyBorder="1" applyAlignment="1" applyProtection="1">
      <alignment vertical="center"/>
    </xf>
    <xf numFmtId="0" fontId="0" fillId="0" borderId="46" xfId="0" applyBorder="1" applyAlignment="1">
      <alignment horizontal="left" vertical="center"/>
    </xf>
    <xf numFmtId="0" fontId="0" fillId="0" borderId="48" xfId="0" applyBorder="1" applyAlignment="1" applyProtection="1">
      <alignment horizontal="left" vertical="center"/>
      <protection locked="0"/>
    </xf>
    <xf numFmtId="14" fontId="24" fillId="14" borderId="48" xfId="5" applyNumberFormat="1" applyBorder="1" applyAlignment="1" applyProtection="1">
      <alignment vertical="center" wrapText="1"/>
    </xf>
    <xf numFmtId="14" fontId="24" fillId="14" borderId="48" xfId="5" applyNumberFormat="1" applyBorder="1" applyAlignment="1" applyProtection="1">
      <alignment vertical="top" wrapText="1"/>
    </xf>
    <xf numFmtId="14" fontId="34" fillId="14" borderId="48" xfId="5" applyNumberFormat="1" applyFont="1" applyBorder="1" applyAlignment="1" applyProtection="1">
      <alignment vertical="center" wrapText="1"/>
    </xf>
    <xf numFmtId="0" fontId="0" fillId="0" borderId="48" xfId="0" applyBorder="1" applyAlignment="1" applyProtection="1">
      <alignment horizontal="left" vertical="center" wrapText="1"/>
    </xf>
    <xf numFmtId="0" fontId="48" fillId="18" borderId="93" xfId="0" applyFont="1" applyFill="1" applyBorder="1" applyAlignment="1" applyProtection="1">
      <alignment horizontal="center" vertical="center"/>
    </xf>
    <xf numFmtId="0" fontId="26" fillId="18" borderId="105" xfId="0" applyFont="1" applyFill="1" applyBorder="1" applyAlignment="1" applyProtection="1">
      <alignment horizontal="center" vertical="center"/>
    </xf>
    <xf numFmtId="0" fontId="49" fillId="0" borderId="48" xfId="0" applyFont="1" applyBorder="1" applyAlignment="1" applyProtection="1">
      <alignment vertical="top" wrapText="1"/>
    </xf>
    <xf numFmtId="0" fontId="29" fillId="0" borderId="105" xfId="0" applyFont="1" applyBorder="1" applyAlignment="1" applyProtection="1">
      <alignment vertical="top" wrapText="1"/>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38" fillId="0" borderId="0" xfId="0" applyFont="1" applyBorder="1" applyAlignment="1" applyProtection="1">
      <alignment horizontal="left" vertical="center" wrapText="1"/>
    </xf>
    <xf numFmtId="0" fontId="1" fillId="0" borderId="0" xfId="0" applyFont="1" applyAlignment="1">
      <alignment horizontal="center" vertical="center" wrapText="1"/>
    </xf>
    <xf numFmtId="0" fontId="3" fillId="3" borderId="111" xfId="0" applyNumberFormat="1" applyFont="1" applyFill="1" applyBorder="1" applyAlignment="1" applyProtection="1">
      <alignment horizontal="center" vertical="center"/>
    </xf>
    <xf numFmtId="0" fontId="3" fillId="0" borderId="111" xfId="0" applyNumberFormat="1" applyFont="1" applyBorder="1" applyAlignment="1" applyProtection="1">
      <alignment horizontal="center" vertical="center"/>
    </xf>
    <xf numFmtId="0" fontId="3" fillId="4" borderId="111" xfId="0" applyFont="1" applyFill="1" applyBorder="1" applyAlignment="1" applyProtection="1">
      <alignment horizontal="center" vertical="center"/>
    </xf>
    <xf numFmtId="0" fontId="1" fillId="0" borderId="111" xfId="0" applyFont="1" applyBorder="1" applyAlignment="1" applyProtection="1">
      <alignment horizontal="center" vertical="center"/>
    </xf>
    <xf numFmtId="176" fontId="3" fillId="0" borderId="111" xfId="0" applyNumberFormat="1" applyFont="1" applyBorder="1" applyAlignment="1" applyProtection="1">
      <alignment horizontal="center" vertical="center"/>
    </xf>
    <xf numFmtId="176" fontId="3" fillId="0" borderId="111" xfId="0" applyNumberFormat="1" applyFont="1" applyBorder="1" applyAlignment="1" applyProtection="1">
      <alignment horizontal="center" vertical="center"/>
      <protection locked="0"/>
    </xf>
    <xf numFmtId="49" fontId="3" fillId="3" borderId="111" xfId="0" applyNumberFormat="1" applyFont="1" applyFill="1" applyBorder="1" applyAlignment="1" applyProtection="1">
      <alignment horizontal="center" vertical="center"/>
      <protection locked="0" hidden="1"/>
    </xf>
    <xf numFmtId="176" fontId="1" fillId="3" borderId="111" xfId="0" applyNumberFormat="1" applyFont="1" applyFill="1" applyBorder="1" applyAlignment="1" applyProtection="1">
      <alignment horizontal="center" vertical="center"/>
    </xf>
    <xf numFmtId="176" fontId="3" fillId="3" borderId="111" xfId="0" applyNumberFormat="1" applyFont="1" applyFill="1" applyBorder="1" applyAlignment="1" applyProtection="1">
      <alignment horizontal="center" vertical="center"/>
    </xf>
    <xf numFmtId="176" fontId="3" fillId="3" borderId="111" xfId="0" applyNumberFormat="1" applyFont="1" applyFill="1" applyBorder="1" applyAlignment="1" applyProtection="1">
      <alignment horizontal="center" vertical="center"/>
      <protection locked="0"/>
    </xf>
    <xf numFmtId="49" fontId="3" fillId="0" borderId="111" xfId="0" applyNumberFormat="1" applyFont="1" applyBorder="1" applyAlignment="1" applyProtection="1">
      <alignment horizontal="right" vertical="center" wrapText="1"/>
      <protection locked="0" hidden="1"/>
    </xf>
    <xf numFmtId="49" fontId="3" fillId="0" borderId="111" xfId="0" applyNumberFormat="1" applyFont="1" applyBorder="1" applyAlignment="1" applyProtection="1">
      <alignment horizontal="left" vertical="center" wrapText="1"/>
      <protection locked="0" hidden="1"/>
    </xf>
    <xf numFmtId="176" fontId="3" fillId="3" borderId="111" xfId="0" applyNumberFormat="1" applyFont="1" applyFill="1" applyBorder="1" applyAlignment="1" applyProtection="1">
      <alignment horizontal="right" vertical="center"/>
      <protection locked="0" hidden="1"/>
    </xf>
    <xf numFmtId="0" fontId="3" fillId="3" borderId="111" xfId="0" applyNumberFormat="1" applyFont="1" applyFill="1" applyBorder="1" applyAlignment="1" applyProtection="1">
      <alignment horizontal="left" vertical="center"/>
      <protection locked="0" hidden="1"/>
    </xf>
    <xf numFmtId="49" fontId="3" fillId="3" borderId="111" xfId="0" applyNumberFormat="1" applyFont="1" applyFill="1" applyBorder="1" applyAlignment="1" applyProtection="1">
      <alignment horizontal="right" vertical="center"/>
      <protection locked="0" hidden="1"/>
    </xf>
    <xf numFmtId="49" fontId="3" fillId="3" borderId="111" xfId="0" applyNumberFormat="1" applyFont="1" applyFill="1" applyBorder="1" applyAlignment="1" applyProtection="1">
      <alignment horizontal="left" vertical="center"/>
      <protection locked="0" hidden="1"/>
    </xf>
    <xf numFmtId="176" fontId="3" fillId="3" borderId="111" xfId="0" applyNumberFormat="1" applyFont="1" applyFill="1" applyBorder="1" applyAlignment="1" applyProtection="1">
      <alignment horizontal="center" vertical="center" wrapText="1"/>
      <protection locked="0"/>
    </xf>
    <xf numFmtId="176" fontId="3" fillId="0" borderId="111" xfId="0" applyNumberFormat="1" applyFont="1" applyBorder="1" applyAlignment="1" applyProtection="1">
      <alignment horizontal="right" vertical="center"/>
      <protection locked="0" hidden="1"/>
    </xf>
    <xf numFmtId="49" fontId="3" fillId="0" borderId="111" xfId="0" applyNumberFormat="1" applyFont="1" applyFill="1" applyBorder="1" applyAlignment="1" applyProtection="1">
      <alignment horizontal="left" vertical="center"/>
      <protection locked="0" hidden="1"/>
    </xf>
    <xf numFmtId="0" fontId="1" fillId="3" borderId="111" xfId="0" applyNumberFormat="1" applyFont="1" applyFill="1" applyBorder="1" applyAlignment="1" applyProtection="1">
      <alignment horizontal="center" vertical="center"/>
    </xf>
    <xf numFmtId="49" fontId="3" fillId="6" borderId="111" xfId="0" applyNumberFormat="1" applyFont="1" applyFill="1" applyBorder="1" applyAlignment="1" applyProtection="1">
      <alignment horizontal="right" vertical="center"/>
      <protection locked="0" hidden="1"/>
    </xf>
    <xf numFmtId="49" fontId="3" fillId="6" borderId="111" xfId="0" applyNumberFormat="1" applyFont="1" applyFill="1" applyBorder="1" applyAlignment="1" applyProtection="1">
      <alignment horizontal="left" vertical="center"/>
      <protection locked="0" hidden="1"/>
    </xf>
    <xf numFmtId="176" fontId="3" fillId="6" borderId="111" xfId="0" applyNumberFormat="1" applyFont="1" applyFill="1" applyBorder="1" applyAlignment="1" applyProtection="1">
      <alignment horizontal="center" vertical="center"/>
    </xf>
    <xf numFmtId="49" fontId="3" fillId="3" borderId="111" xfId="0" applyNumberFormat="1" applyFont="1" applyFill="1" applyBorder="1" applyAlignment="1" applyProtection="1">
      <alignment horizontal="right" vertical="center" wrapText="1"/>
      <protection locked="0" hidden="1"/>
    </xf>
    <xf numFmtId="49" fontId="3" fillId="3" borderId="111" xfId="0" applyNumberFormat="1" applyFont="1" applyFill="1" applyBorder="1" applyAlignment="1" applyProtection="1">
      <alignment horizontal="left" vertical="center" wrapText="1"/>
      <protection locked="0" hidden="1"/>
    </xf>
    <xf numFmtId="0" fontId="3" fillId="6" borderId="111" xfId="0" applyNumberFormat="1" applyFont="1" applyFill="1" applyBorder="1" applyAlignment="1" applyProtection="1">
      <alignment horizontal="left" vertical="center"/>
      <protection locked="0" hidden="1"/>
    </xf>
    <xf numFmtId="49" fontId="3" fillId="6" borderId="111" xfId="0" applyNumberFormat="1" applyFont="1" applyFill="1" applyBorder="1" applyAlignment="1" applyProtection="1">
      <alignment horizontal="right" vertical="center" wrapText="1"/>
      <protection locked="0" hidden="1"/>
    </xf>
    <xf numFmtId="49" fontId="3" fillId="0" borderId="111" xfId="0" applyNumberFormat="1" applyFont="1" applyBorder="1" applyAlignment="1" applyProtection="1">
      <alignment horizontal="right" vertical="center"/>
      <protection locked="0" hidden="1"/>
    </xf>
    <xf numFmtId="49" fontId="3" fillId="0" borderId="111" xfId="0" applyNumberFormat="1" applyFont="1" applyBorder="1" applyAlignment="1" applyProtection="1">
      <alignment horizontal="left" vertical="center"/>
      <protection locked="0" hidden="1"/>
    </xf>
    <xf numFmtId="176" fontId="1" fillId="0" borderId="111" xfId="0" applyNumberFormat="1" applyFont="1" applyBorder="1" applyAlignment="1" applyProtection="1">
      <alignment horizontal="center" vertical="center"/>
    </xf>
    <xf numFmtId="0" fontId="25" fillId="5" borderId="111" xfId="0" applyFont="1" applyFill="1" applyBorder="1" applyAlignment="1" applyProtection="1">
      <alignment horizontal="center" vertical="center"/>
    </xf>
    <xf numFmtId="49" fontId="3" fillId="0" borderId="0" xfId="0" applyNumberFormat="1" applyFont="1" applyFill="1" applyBorder="1" applyAlignment="1" applyProtection="1">
      <alignment vertical="top" wrapText="1"/>
      <protection locked="0"/>
    </xf>
    <xf numFmtId="0" fontId="25" fillId="0" borderId="0" xfId="0" applyFont="1" applyBorder="1" applyAlignment="1" applyProtection="1">
      <alignment vertical="center" wrapText="1"/>
      <protection locked="0"/>
    </xf>
    <xf numFmtId="0" fontId="1" fillId="0" borderId="0" xfId="0" applyFont="1" applyAlignment="1" applyProtection="1">
      <alignment horizontal="center" vertical="center"/>
      <protection locked="0"/>
    </xf>
    <xf numFmtId="0" fontId="3" fillId="0" borderId="0" xfId="0" applyFont="1" applyFill="1" applyBorder="1" applyAlignment="1" applyProtection="1">
      <alignment vertical="center"/>
      <protection locked="0"/>
    </xf>
    <xf numFmtId="0" fontId="25" fillId="0" borderId="0" xfId="0" applyFont="1" applyAlignment="1" applyProtection="1">
      <alignment horizontal="center" vertical="center"/>
    </xf>
    <xf numFmtId="0" fontId="3" fillId="0" borderId="0" xfId="0" applyNumberFormat="1" applyFont="1" applyAlignment="1" applyProtection="1">
      <alignment horizontal="center" vertical="center"/>
    </xf>
    <xf numFmtId="0" fontId="1" fillId="0" borderId="0" xfId="0" applyNumberFormat="1" applyFont="1" applyAlignment="1" applyProtection="1">
      <alignment horizontal="center" vertical="center"/>
    </xf>
    <xf numFmtId="0" fontId="3" fillId="0" borderId="0" xfId="0" applyFont="1" applyBorder="1" applyAlignment="1" applyProtection="1">
      <alignment horizontal="left"/>
    </xf>
    <xf numFmtId="0" fontId="3" fillId="0" borderId="0" xfId="0" applyNumberFormat="1" applyFont="1" applyBorder="1" applyAlignment="1" applyProtection="1">
      <alignment horizontal="left" vertical="top"/>
    </xf>
    <xf numFmtId="0" fontId="3" fillId="0" borderId="0" xfId="0" applyFont="1" applyBorder="1" applyAlignment="1" applyProtection="1"/>
    <xf numFmtId="176" fontId="3" fillId="0" borderId="0" xfId="0" applyNumberFormat="1" applyFont="1" applyAlignment="1" applyProtection="1">
      <alignment horizontal="center" vertical="center"/>
      <protection locked="0"/>
    </xf>
    <xf numFmtId="49" fontId="3" fillId="3" borderId="111" xfId="0" applyNumberFormat="1" applyFont="1" applyFill="1" applyBorder="1" applyAlignment="1" applyProtection="1">
      <alignment vertical="center"/>
      <protection locked="0" hidden="1"/>
    </xf>
    <xf numFmtId="0" fontId="3" fillId="0" borderId="0" xfId="0" applyFont="1" applyBorder="1" applyAlignment="1" applyProtection="1">
      <alignment vertical="top"/>
    </xf>
    <xf numFmtId="0" fontId="3" fillId="0" borderId="0" xfId="0" applyFont="1" applyBorder="1" applyAlignment="1" applyProtection="1">
      <alignment vertical="center"/>
    </xf>
    <xf numFmtId="0" fontId="25" fillId="9" borderId="111" xfId="0" applyNumberFormat="1" applyFont="1" applyFill="1" applyBorder="1" applyAlignment="1" applyProtection="1">
      <alignment horizontal="center" vertical="center"/>
    </xf>
    <xf numFmtId="176" fontId="25" fillId="9" borderId="11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protection locked="0"/>
    </xf>
    <xf numFmtId="0" fontId="25" fillId="11" borderId="111" xfId="0" applyFont="1" applyFill="1" applyBorder="1" applyAlignment="1" applyProtection="1">
      <alignment horizontal="center" vertical="center"/>
    </xf>
    <xf numFmtId="0" fontId="25" fillId="0" borderId="111" xfId="0" applyNumberFormat="1" applyFont="1" applyBorder="1" applyAlignment="1" applyProtection="1">
      <alignment horizontal="center" vertical="center"/>
    </xf>
    <xf numFmtId="0" fontId="25" fillId="9" borderId="111" xfId="0" applyNumberFormat="1" applyFont="1" applyFill="1" applyBorder="1" applyAlignment="1" applyProtection="1">
      <alignment horizontal="center" vertical="center"/>
      <protection locked="0"/>
    </xf>
    <xf numFmtId="0" fontId="25" fillId="9" borderId="111" xfId="0" applyNumberFormat="1" applyFont="1" applyFill="1" applyBorder="1" applyAlignment="1" applyProtection="1">
      <alignment horizontal="center" vertical="center"/>
      <protection hidden="1"/>
    </xf>
    <xf numFmtId="0" fontId="3" fillId="0" borderId="0" xfId="0" applyFont="1" applyAlignment="1" applyProtection="1">
      <alignment horizontal="left" vertical="center"/>
      <protection locked="0"/>
    </xf>
    <xf numFmtId="0" fontId="38" fillId="0" borderId="0"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protection locked="0"/>
    </xf>
    <xf numFmtId="0" fontId="3" fillId="0" borderId="0" xfId="0" applyNumberFormat="1" applyFont="1" applyAlignment="1" applyProtection="1">
      <alignment vertical="center"/>
    </xf>
    <xf numFmtId="0" fontId="3" fillId="0" borderId="132" xfId="0" applyFont="1" applyBorder="1" applyAlignment="1" applyProtection="1">
      <alignment horizontal="center" vertical="center"/>
    </xf>
    <xf numFmtId="0" fontId="3" fillId="3" borderId="132" xfId="0" applyFont="1" applyFill="1" applyBorder="1" applyAlignment="1" applyProtection="1">
      <alignment horizontal="center" vertical="center"/>
    </xf>
    <xf numFmtId="0" fontId="3" fillId="3" borderId="134" xfId="0" applyFont="1" applyFill="1" applyBorder="1" applyAlignment="1" applyProtection="1">
      <alignment horizontal="center" vertical="center"/>
    </xf>
    <xf numFmtId="0" fontId="3" fillId="4" borderId="132" xfId="0" applyFont="1" applyFill="1" applyBorder="1" applyAlignment="1" applyProtection="1">
      <alignment horizontal="center" vertical="center"/>
    </xf>
    <xf numFmtId="49" fontId="3" fillId="0" borderId="132" xfId="0" applyNumberFormat="1" applyFont="1" applyBorder="1" applyAlignment="1" applyProtection="1">
      <alignment horizontal="center" vertical="center"/>
      <protection locked="0" hidden="1"/>
    </xf>
    <xf numFmtId="176" fontId="3" fillId="0" borderId="133" xfId="0" applyNumberFormat="1" applyFont="1" applyBorder="1" applyAlignment="1" applyProtection="1">
      <alignment horizontal="center" vertical="center"/>
    </xf>
    <xf numFmtId="49" fontId="3" fillId="3" borderId="132" xfId="0" applyNumberFormat="1" applyFont="1" applyFill="1" applyBorder="1" applyAlignment="1" applyProtection="1">
      <alignment horizontal="center" vertical="center"/>
      <protection locked="0" hidden="1"/>
    </xf>
    <xf numFmtId="176" fontId="3" fillId="3" borderId="133" xfId="0" applyNumberFormat="1" applyFont="1" applyFill="1" applyBorder="1" applyAlignment="1" applyProtection="1">
      <alignment horizontal="center" vertical="center"/>
    </xf>
    <xf numFmtId="49" fontId="3" fillId="3" borderId="134" xfId="0" applyNumberFormat="1" applyFont="1" applyFill="1" applyBorder="1" applyAlignment="1" applyProtection="1">
      <alignment horizontal="center" vertical="center"/>
      <protection locked="0" hidden="1"/>
    </xf>
    <xf numFmtId="176" fontId="1" fillId="3" borderId="135" xfId="0" applyNumberFormat="1" applyFont="1" applyFill="1" applyBorder="1" applyAlignment="1" applyProtection="1">
      <alignment horizontal="center" vertical="center"/>
    </xf>
    <xf numFmtId="176" fontId="3" fillId="3" borderId="135" xfId="0" applyNumberFormat="1" applyFont="1" applyFill="1" applyBorder="1" applyAlignment="1" applyProtection="1">
      <alignment horizontal="center" vertical="center"/>
    </xf>
    <xf numFmtId="176" fontId="3" fillId="3" borderId="135" xfId="0" applyNumberFormat="1" applyFont="1" applyFill="1" applyBorder="1" applyAlignment="1" applyProtection="1">
      <alignment horizontal="center" vertical="center"/>
      <protection locked="0"/>
    </xf>
    <xf numFmtId="176" fontId="3" fillId="3" borderId="136" xfId="0" applyNumberFormat="1" applyFont="1" applyFill="1" applyBorder="1" applyAlignment="1" applyProtection="1">
      <alignment horizontal="center" vertical="center"/>
    </xf>
    <xf numFmtId="176" fontId="25" fillId="0" borderId="133" xfId="0" applyNumberFormat="1" applyFont="1" applyFill="1" applyBorder="1" applyAlignment="1" applyProtection="1">
      <alignment horizontal="center" vertical="center"/>
    </xf>
    <xf numFmtId="0" fontId="25" fillId="5" borderId="133" xfId="0" applyFont="1" applyFill="1" applyBorder="1" applyAlignment="1" applyProtection="1">
      <alignment horizontal="center" vertical="center"/>
    </xf>
    <xf numFmtId="0" fontId="25" fillId="9" borderId="133" xfId="0" applyNumberFormat="1" applyFont="1" applyFill="1" applyBorder="1" applyAlignment="1" applyProtection="1">
      <alignment horizontal="center" vertical="center"/>
    </xf>
    <xf numFmtId="0" fontId="25" fillId="0" borderId="133" xfId="0" applyNumberFormat="1" applyFont="1" applyBorder="1" applyAlignment="1" applyProtection="1">
      <alignment horizontal="center" vertical="center"/>
    </xf>
    <xf numFmtId="0" fontId="25" fillId="9" borderId="133" xfId="0" applyNumberFormat="1" applyFont="1" applyFill="1" applyBorder="1" applyAlignment="1" applyProtection="1">
      <alignment horizontal="center" vertical="center"/>
      <protection locked="0"/>
    </xf>
    <xf numFmtId="0" fontId="25" fillId="0" borderId="135" xfId="0" applyNumberFormat="1" applyFont="1" applyBorder="1" applyAlignment="1" applyProtection="1">
      <alignment horizontal="center" vertical="center"/>
      <protection locked="0"/>
    </xf>
    <xf numFmtId="0" fontId="25" fillId="0" borderId="135" xfId="0" applyNumberFormat="1" applyFont="1" applyBorder="1" applyAlignment="1" applyProtection="1">
      <alignment horizontal="center" vertical="center"/>
      <protection hidden="1"/>
    </xf>
    <xf numFmtId="0" fontId="25" fillId="0" borderId="136" xfId="0" applyNumberFormat="1" applyFont="1" applyFill="1" applyBorder="1" applyAlignment="1" applyProtection="1">
      <alignment horizontal="center" vertical="center"/>
      <protection locked="0"/>
    </xf>
    <xf numFmtId="0" fontId="25" fillId="0" borderId="120" xfId="0" applyFont="1" applyBorder="1" applyAlignment="1" applyProtection="1">
      <alignment horizontal="center" vertical="center"/>
    </xf>
    <xf numFmtId="0" fontId="25" fillId="0" borderId="120" xfId="0" applyFont="1" applyBorder="1" applyAlignment="1" applyProtection="1">
      <alignment horizontal="center" vertical="center"/>
      <protection locked="0"/>
    </xf>
    <xf numFmtId="0" fontId="25" fillId="0" borderId="120" xfId="0" applyFont="1" applyBorder="1" applyAlignment="1" applyProtection="1">
      <alignment horizontal="left" vertical="center"/>
    </xf>
    <xf numFmtId="0" fontId="3" fillId="5" borderId="120" xfId="0" applyFont="1" applyFill="1" applyBorder="1" applyAlignment="1" applyProtection="1">
      <alignment horizontal="center" vertical="center" wrapText="1"/>
      <protection locked="0"/>
    </xf>
    <xf numFmtId="0" fontId="3" fillId="5" borderId="155" xfId="0" applyFont="1" applyFill="1" applyBorder="1" applyAlignment="1" applyProtection="1">
      <alignment horizontal="center" vertical="center" wrapText="1"/>
      <protection locked="0"/>
    </xf>
    <xf numFmtId="0" fontId="25" fillId="0" borderId="155" xfId="0" applyFont="1" applyBorder="1" applyAlignment="1" applyProtection="1">
      <alignment horizontal="center" vertical="center"/>
    </xf>
    <xf numFmtId="0" fontId="25" fillId="0" borderId="155" xfId="0" applyNumberFormat="1" applyFont="1" applyBorder="1" applyAlignment="1" applyProtection="1">
      <alignment horizontal="center" vertical="center"/>
      <protection locked="0"/>
    </xf>
    <xf numFmtId="0" fontId="25" fillId="0" borderId="155" xfId="0" applyFont="1" applyBorder="1" applyAlignment="1" applyProtection="1">
      <alignment horizontal="left" vertical="center"/>
    </xf>
    <xf numFmtId="0" fontId="9" fillId="0" borderId="0" xfId="0" applyFont="1" applyAlignment="1" applyProtection="1">
      <alignment horizontal="left" vertical="center"/>
    </xf>
    <xf numFmtId="0" fontId="3" fillId="0" borderId="180" xfId="0" applyFont="1" applyBorder="1" applyAlignment="1" applyProtection="1">
      <alignment horizontal="center" vertical="center"/>
    </xf>
    <xf numFmtId="0" fontId="3" fillId="3" borderId="178" xfId="0" applyFont="1" applyFill="1" applyBorder="1" applyAlignment="1" applyProtection="1">
      <alignment horizontal="center" vertical="center"/>
    </xf>
    <xf numFmtId="49" fontId="3" fillId="0" borderId="118" xfId="0" applyNumberFormat="1" applyFont="1" applyBorder="1" applyAlignment="1" applyProtection="1">
      <alignment horizontal="center" vertical="center"/>
      <protection locked="0" hidden="1"/>
    </xf>
    <xf numFmtId="49" fontId="3" fillId="3" borderId="118" xfId="0" applyNumberFormat="1" applyFont="1" applyFill="1" applyBorder="1" applyAlignment="1" applyProtection="1">
      <alignment horizontal="center" vertical="center"/>
      <protection locked="0" hidden="1"/>
    </xf>
    <xf numFmtId="49" fontId="3" fillId="3" borderId="175" xfId="0" applyNumberFormat="1" applyFont="1" applyFill="1" applyBorder="1" applyAlignment="1" applyProtection="1">
      <alignment horizontal="center" vertical="center"/>
      <protection locked="0" hidden="1"/>
    </xf>
    <xf numFmtId="0" fontId="3" fillId="4" borderId="118" xfId="0" applyFont="1" applyFill="1" applyBorder="1" applyAlignment="1" applyProtection="1">
      <alignment horizontal="center" vertical="center"/>
    </xf>
    <xf numFmtId="176" fontId="3" fillId="0" borderId="179" xfId="0" applyNumberFormat="1" applyFont="1" applyBorder="1" applyAlignment="1" applyProtection="1">
      <alignment horizontal="center" vertical="center"/>
    </xf>
    <xf numFmtId="176" fontId="3" fillId="3" borderId="179" xfId="0" applyNumberFormat="1" applyFont="1" applyFill="1" applyBorder="1" applyAlignment="1" applyProtection="1">
      <alignment horizontal="center" vertical="center"/>
    </xf>
    <xf numFmtId="176" fontId="3" fillId="3" borderId="178" xfId="0" applyNumberFormat="1" applyFont="1" applyFill="1" applyBorder="1" applyAlignment="1" applyProtection="1">
      <alignment horizontal="center" vertical="center"/>
    </xf>
    <xf numFmtId="0" fontId="25" fillId="5" borderId="185" xfId="0" applyFont="1" applyFill="1" applyBorder="1" applyAlignment="1" applyProtection="1">
      <alignment horizontal="center" vertical="center" wrapText="1"/>
    </xf>
    <xf numFmtId="0" fontId="61" fillId="0" borderId="185" xfId="0" applyFont="1" applyBorder="1" applyAlignment="1" applyProtection="1">
      <alignment horizontal="center" vertical="center" wrapText="1"/>
      <protection locked="0"/>
    </xf>
    <xf numFmtId="0" fontId="61" fillId="3" borderId="185" xfId="0" applyFont="1" applyFill="1" applyBorder="1" applyAlignment="1" applyProtection="1">
      <alignment horizontal="center" vertical="center" wrapText="1"/>
      <protection locked="0"/>
    </xf>
    <xf numFmtId="0" fontId="25" fillId="0" borderId="118" xfId="0" applyNumberFormat="1" applyFont="1" applyBorder="1" applyAlignment="1" applyProtection="1">
      <alignment horizontal="center" vertical="center"/>
    </xf>
    <xf numFmtId="0" fontId="25" fillId="9" borderId="118" xfId="0" applyNumberFormat="1" applyFont="1" applyFill="1" applyBorder="1" applyAlignment="1" applyProtection="1">
      <alignment horizontal="center" vertical="center"/>
    </xf>
    <xf numFmtId="0" fontId="25" fillId="9" borderId="118" xfId="0" applyNumberFormat="1" applyFont="1" applyFill="1" applyBorder="1" applyAlignment="1" applyProtection="1">
      <alignment horizontal="center" vertical="center"/>
      <protection locked="0"/>
    </xf>
    <xf numFmtId="0" fontId="25" fillId="0" borderId="175" xfId="0" applyNumberFormat="1" applyFont="1" applyBorder="1" applyAlignment="1" applyProtection="1">
      <alignment horizontal="center" vertical="center"/>
      <protection locked="0"/>
    </xf>
    <xf numFmtId="0" fontId="25" fillId="10" borderId="179" xfId="0" applyNumberFormat="1" applyFont="1" applyFill="1" applyBorder="1" applyAlignment="1" applyProtection="1">
      <alignment horizontal="center" vertical="center"/>
    </xf>
    <xf numFmtId="0" fontId="25" fillId="9" borderId="179" xfId="0" applyNumberFormat="1" applyFont="1" applyFill="1" applyBorder="1" applyAlignment="1" applyProtection="1">
      <alignment horizontal="center" vertical="center"/>
    </xf>
    <xf numFmtId="0" fontId="25" fillId="9" borderId="179" xfId="0" applyNumberFormat="1" applyFont="1" applyFill="1" applyBorder="1" applyAlignment="1" applyProtection="1">
      <alignment horizontal="center" vertical="center"/>
      <protection locked="0"/>
    </xf>
    <xf numFmtId="0" fontId="25" fillId="0" borderId="178" xfId="0" applyNumberFormat="1" applyFont="1" applyBorder="1" applyAlignment="1" applyProtection="1">
      <alignment horizontal="center" vertical="center"/>
      <protection locked="0"/>
    </xf>
    <xf numFmtId="0" fontId="25" fillId="10" borderId="118" xfId="0" applyNumberFormat="1" applyFont="1" applyFill="1" applyBorder="1" applyAlignment="1" applyProtection="1">
      <alignment horizontal="center" vertical="center"/>
    </xf>
    <xf numFmtId="0" fontId="25" fillId="11" borderId="118" xfId="0" applyFont="1" applyFill="1" applyBorder="1" applyAlignment="1" applyProtection="1">
      <alignment horizontal="center" vertical="center"/>
    </xf>
    <xf numFmtId="0" fontId="25" fillId="0" borderId="179" xfId="0" applyNumberFormat="1" applyFont="1" applyBorder="1" applyAlignment="1" applyProtection="1">
      <alignment horizontal="center" vertical="center"/>
      <protection locked="0"/>
    </xf>
    <xf numFmtId="1" fontId="3" fillId="3" borderId="191" xfId="0" applyNumberFormat="1" applyFont="1" applyFill="1" applyBorder="1" applyAlignment="1" applyProtection="1">
      <alignment horizontal="center" vertical="center"/>
    </xf>
    <xf numFmtId="0" fontId="3" fillId="3" borderId="191" xfId="0" applyFont="1" applyFill="1" applyBorder="1" applyAlignment="1" applyProtection="1">
      <alignment horizontal="center" vertical="center"/>
    </xf>
    <xf numFmtId="1" fontId="3" fillId="0" borderId="191" xfId="0" applyNumberFormat="1" applyFont="1" applyBorder="1" applyAlignment="1" applyProtection="1">
      <alignment horizontal="center" vertical="center"/>
    </xf>
    <xf numFmtId="0" fontId="3" fillId="0" borderId="191" xfId="0" applyFont="1" applyBorder="1" applyAlignment="1" applyProtection="1">
      <alignment horizontal="center" vertical="center"/>
    </xf>
    <xf numFmtId="1" fontId="3" fillId="0" borderId="192" xfId="0" applyNumberFormat="1" applyFont="1" applyBorder="1" applyAlignment="1" applyProtection="1">
      <alignment horizontal="center" vertical="center"/>
    </xf>
    <xf numFmtId="1" fontId="3" fillId="0" borderId="193" xfId="0" applyNumberFormat="1" applyFont="1" applyBorder="1" applyAlignment="1" applyProtection="1">
      <alignment horizontal="center" vertical="center"/>
    </xf>
    <xf numFmtId="1" fontId="3" fillId="0" borderId="199" xfId="0" applyNumberFormat="1" applyFont="1" applyBorder="1" applyAlignment="1" applyProtection="1">
      <alignment horizontal="center" vertical="center"/>
    </xf>
    <xf numFmtId="177" fontId="25" fillId="3" borderId="199" xfId="0" applyNumberFormat="1" applyFont="1" applyFill="1" applyBorder="1" applyAlignment="1" applyProtection="1">
      <alignment horizontal="center" vertical="center"/>
    </xf>
    <xf numFmtId="177" fontId="3" fillId="3" borderId="198" xfId="0" applyNumberFormat="1" applyFont="1" applyFill="1" applyBorder="1" applyAlignment="1" applyProtection="1">
      <alignment horizontal="center" vertical="center"/>
    </xf>
    <xf numFmtId="1" fontId="3" fillId="3" borderId="141" xfId="0" applyNumberFormat="1" applyFont="1" applyFill="1" applyBorder="1" applyAlignment="1" applyProtection="1">
      <alignment horizontal="center" vertical="center"/>
    </xf>
    <xf numFmtId="0" fontId="52" fillId="0" borderId="0" xfId="0" applyFont="1" applyBorder="1" applyAlignment="1" applyProtection="1">
      <alignment horizontal="left" vertical="center" wrapText="1"/>
    </xf>
    <xf numFmtId="49" fontId="52" fillId="0" borderId="0" xfId="0" applyNumberFormat="1" applyFont="1" applyBorder="1" applyAlignment="1" applyProtection="1">
      <alignment horizontal="center" vertical="center" wrapText="1"/>
    </xf>
    <xf numFmtId="0" fontId="52" fillId="19" borderId="0" xfId="0" applyFont="1" applyFill="1" applyBorder="1" applyAlignment="1" applyProtection="1">
      <alignment horizontal="center" vertical="center" wrapText="1"/>
    </xf>
    <xf numFmtId="0" fontId="52" fillId="19" borderId="0" xfId="0" applyFont="1" applyFill="1" applyBorder="1" applyAlignment="1" applyProtection="1">
      <alignment horizontal="left" vertical="center" wrapText="1"/>
    </xf>
    <xf numFmtId="49" fontId="52" fillId="19" borderId="0" xfId="0" applyNumberFormat="1" applyFont="1" applyFill="1" applyBorder="1" applyAlignment="1" applyProtection="1">
      <alignment horizontal="center" vertical="center" wrapText="1"/>
    </xf>
    <xf numFmtId="0" fontId="52" fillId="3" borderId="0" xfId="0" applyFont="1" applyFill="1" applyBorder="1" applyAlignment="1" applyProtection="1">
      <alignment horizontal="left" vertical="center" wrapText="1"/>
    </xf>
    <xf numFmtId="0" fontId="6" fillId="3" borderId="0" xfId="0" applyFont="1" applyFill="1" applyBorder="1" applyAlignment="1" applyProtection="1">
      <alignment horizontal="center" vertical="center" wrapText="1"/>
      <protection locked="0"/>
    </xf>
    <xf numFmtId="0" fontId="52" fillId="19" borderId="4" xfId="0" applyFont="1" applyFill="1" applyBorder="1" applyAlignment="1" applyProtection="1">
      <alignment horizontal="center" vertical="center" wrapText="1"/>
    </xf>
    <xf numFmtId="0" fontId="52" fillId="19" borderId="5" xfId="0" applyFont="1" applyFill="1" applyBorder="1" applyAlignment="1" applyProtection="1">
      <alignment horizontal="left" vertical="center" wrapText="1"/>
    </xf>
    <xf numFmtId="0" fontId="52" fillId="0" borderId="5" xfId="0" applyFont="1" applyBorder="1" applyAlignment="1" applyProtection="1">
      <alignment vertical="center" wrapText="1"/>
    </xf>
    <xf numFmtId="0" fontId="52" fillId="3" borderId="5" xfId="0" applyFont="1" applyFill="1" applyBorder="1" applyAlignment="1" applyProtection="1">
      <alignment vertical="center" wrapText="1"/>
    </xf>
    <xf numFmtId="0" fontId="52" fillId="0" borderId="6" xfId="0" applyFont="1" applyBorder="1" applyAlignment="1" applyProtection="1">
      <alignment horizontal="center" vertical="center" wrapText="1"/>
    </xf>
    <xf numFmtId="0" fontId="52" fillId="0" borderId="7" xfId="0" applyFont="1" applyBorder="1" applyAlignment="1" applyProtection="1">
      <alignment horizontal="center" vertical="center" wrapText="1"/>
    </xf>
    <xf numFmtId="0" fontId="52" fillId="0" borderId="206" xfId="0" applyFont="1" applyBorder="1" applyAlignment="1" applyProtection="1">
      <alignment horizontal="left" vertical="center" wrapText="1"/>
    </xf>
    <xf numFmtId="0" fontId="6" fillId="0" borderId="206" xfId="0" applyFont="1" applyBorder="1" applyAlignment="1" applyProtection="1">
      <alignment horizontal="center" vertical="center" wrapText="1"/>
      <protection locked="0"/>
    </xf>
    <xf numFmtId="49" fontId="52" fillId="0" borderId="206" xfId="0" applyNumberFormat="1" applyFont="1" applyBorder="1" applyAlignment="1" applyProtection="1">
      <alignment horizontal="center" vertical="center" wrapText="1"/>
    </xf>
    <xf numFmtId="0" fontId="52" fillId="0" borderId="207" xfId="0" applyFont="1" applyBorder="1" applyAlignment="1" applyProtection="1">
      <alignment horizontal="center" vertical="center" wrapText="1"/>
    </xf>
    <xf numFmtId="0" fontId="52" fillId="0" borderId="207" xfId="0" applyFont="1" applyBorder="1" applyAlignment="1" applyProtection="1">
      <alignment horizontal="left" vertical="center" wrapText="1"/>
    </xf>
    <xf numFmtId="0" fontId="52" fillId="0" borderId="208" xfId="0" applyFont="1" applyBorder="1" applyAlignment="1" applyProtection="1">
      <alignment vertical="center" wrapText="1"/>
    </xf>
    <xf numFmtId="0" fontId="3" fillId="0" borderId="0" xfId="0" applyFont="1" applyBorder="1" applyAlignment="1" applyProtection="1">
      <alignment horizontal="center" vertical="center"/>
      <protection hidden="1"/>
    </xf>
    <xf numFmtId="0" fontId="1" fillId="0" borderId="0" xfId="0" applyFont="1" applyAlignment="1">
      <alignment horizontal="center" vertical="center" wrapText="1"/>
    </xf>
    <xf numFmtId="0" fontId="1" fillId="3" borderId="0" xfId="0" applyFont="1" applyFill="1" applyBorder="1" applyAlignment="1">
      <alignment horizontal="center" vertical="center" wrapText="1"/>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3" borderId="7" xfId="0" applyFont="1" applyFill="1" applyBorder="1" applyAlignment="1">
      <alignment horizontal="center" vertical="center"/>
    </xf>
    <xf numFmtId="26" fontId="1" fillId="0" borderId="0" xfId="0" applyNumberFormat="1" applyFont="1" applyBorder="1" applyAlignment="1">
      <alignment horizontal="center" vertical="center"/>
    </xf>
    <xf numFmtId="24" fontId="1" fillId="3" borderId="7" xfId="0" applyNumberFormat="1"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49" fontId="1" fillId="3" borderId="0" xfId="0" applyNumberFormat="1" applyFont="1" applyFill="1" applyBorder="1" applyAlignment="1">
      <alignment horizontal="center" vertical="center"/>
    </xf>
    <xf numFmtId="26" fontId="35" fillId="0" borderId="5" xfId="0" applyNumberFormat="1" applyFont="1" applyBorder="1" applyAlignment="1">
      <alignment horizontal="center" vertical="center"/>
    </xf>
    <xf numFmtId="24" fontId="35" fillId="3" borderId="5" xfId="0" applyNumberFormat="1" applyFont="1" applyFill="1" applyBorder="1" applyAlignment="1">
      <alignment horizontal="center" vertical="center"/>
    </xf>
    <xf numFmtId="24" fontId="35" fillId="0" borderId="5" xfId="0" applyNumberFormat="1" applyFont="1" applyBorder="1" applyAlignment="1">
      <alignment horizontal="center" vertical="center"/>
    </xf>
    <xf numFmtId="24" fontId="35" fillId="3" borderId="8" xfId="0" applyNumberFormat="1" applyFont="1" applyFill="1" applyBorder="1" applyAlignment="1">
      <alignment horizontal="center" vertical="center"/>
    </xf>
    <xf numFmtId="26" fontId="35" fillId="0" borderId="0" xfId="0" applyNumberFormat="1" applyFont="1" applyBorder="1" applyAlignment="1">
      <alignment horizontal="center" vertical="center"/>
    </xf>
    <xf numFmtId="0" fontId="35" fillId="0" borderId="0" xfId="0" applyFont="1" applyBorder="1" applyAlignment="1">
      <alignment horizontal="center" vertical="center"/>
    </xf>
    <xf numFmtId="0" fontId="35" fillId="3" borderId="0" xfId="0" applyFont="1" applyFill="1" applyBorder="1" applyAlignment="1">
      <alignment horizontal="center" vertical="center" wrapText="1"/>
    </xf>
    <xf numFmtId="0" fontId="35" fillId="0" borderId="0" xfId="0" applyFont="1" applyBorder="1" applyAlignment="1">
      <alignment horizontal="center" vertical="center" wrapText="1"/>
    </xf>
    <xf numFmtId="24" fontId="35" fillId="3" borderId="7" xfId="0" applyNumberFormat="1" applyFont="1" applyFill="1" applyBorder="1" applyAlignment="1">
      <alignment horizontal="center" vertical="center"/>
    </xf>
    <xf numFmtId="0" fontId="35" fillId="3" borderId="7" xfId="0" applyFont="1" applyFill="1" applyBorder="1" applyAlignment="1">
      <alignment horizontal="center" vertical="center"/>
    </xf>
    <xf numFmtId="26" fontId="1" fillId="0" borderId="0" xfId="0" applyNumberFormat="1" applyFont="1" applyAlignment="1">
      <alignment horizontal="center" vertical="center"/>
    </xf>
    <xf numFmtId="0" fontId="25" fillId="3" borderId="120" xfId="0" applyNumberFormat="1" applyFont="1" applyFill="1" applyBorder="1" applyAlignment="1" applyProtection="1">
      <alignment horizontal="center" vertical="center"/>
      <protection locked="0"/>
    </xf>
    <xf numFmtId="0" fontId="25" fillId="3" borderId="155" xfId="0" applyNumberFormat="1" applyFont="1" applyFill="1" applyBorder="1" applyAlignment="1" applyProtection="1">
      <alignment horizontal="center" vertical="center"/>
      <protection locked="0"/>
    </xf>
    <xf numFmtId="0" fontId="25" fillId="6" borderId="120" xfId="0" applyNumberFormat="1" applyFont="1" applyFill="1" applyBorder="1" applyAlignment="1" applyProtection="1">
      <alignment horizontal="center" vertical="center"/>
      <protection locked="0"/>
    </xf>
    <xf numFmtId="0" fontId="25" fillId="6" borderId="155" xfId="0" applyNumberFormat="1" applyFont="1" applyFill="1" applyBorder="1" applyAlignment="1" applyProtection="1">
      <alignment horizontal="center" vertical="center"/>
      <protection locked="0"/>
    </xf>
    <xf numFmtId="0" fontId="25" fillId="6" borderId="157" xfId="0" applyNumberFormat="1" applyFont="1" applyFill="1" applyBorder="1" applyAlignment="1" applyProtection="1">
      <alignment horizontal="center" vertical="center"/>
      <protection locked="0"/>
    </xf>
    <xf numFmtId="0" fontId="25" fillId="6" borderId="158" xfId="0" applyNumberFormat="1" applyFont="1" applyFill="1" applyBorder="1" applyAlignment="1" applyProtection="1">
      <alignment horizontal="center" vertical="center"/>
      <protection locked="0"/>
    </xf>
    <xf numFmtId="0" fontId="49" fillId="0" borderId="46" xfId="0" applyFont="1" applyBorder="1" applyAlignment="1" applyProtection="1">
      <alignment vertical="top" wrapText="1"/>
    </xf>
    <xf numFmtId="14" fontId="41" fillId="14" borderId="46" xfId="5" applyNumberFormat="1" applyFont="1" applyBorder="1" applyAlignment="1" applyProtection="1">
      <alignment vertical="center" wrapText="1"/>
    </xf>
    <xf numFmtId="0" fontId="0" fillId="0" borderId="101" xfId="0" applyBorder="1" applyAlignment="1" applyProtection="1">
      <alignment vertical="center"/>
    </xf>
    <xf numFmtId="0" fontId="0" fillId="0" borderId="47" xfId="0" applyBorder="1" applyAlignment="1" applyProtection="1">
      <alignment vertical="center" wrapText="1"/>
    </xf>
    <xf numFmtId="0" fontId="63" fillId="0" borderId="0" xfId="0" applyFont="1" applyAlignment="1" applyProtection="1">
      <alignment horizontal="left" vertical="center"/>
      <protection locked="0"/>
    </xf>
    <xf numFmtId="0" fontId="1" fillId="0" borderId="0" xfId="0" applyFont="1" applyAlignment="1">
      <alignment horizontal="right" vertical="center"/>
    </xf>
    <xf numFmtId="0" fontId="69" fillId="0" borderId="0" xfId="0" applyFont="1" applyAlignment="1">
      <alignment horizontal="center" vertical="center"/>
    </xf>
    <xf numFmtId="0" fontId="0" fillId="0" borderId="45" xfId="0" applyBorder="1" applyAlignment="1">
      <alignment vertical="center"/>
    </xf>
    <xf numFmtId="0" fontId="0" fillId="0" borderId="0" xfId="0" applyAlignment="1">
      <alignment vertical="center"/>
    </xf>
    <xf numFmtId="0" fontId="63" fillId="0" borderId="2" xfId="0" applyFont="1" applyBorder="1" applyAlignment="1" applyProtection="1">
      <alignment horizontal="center" vertical="center"/>
      <protection locked="0"/>
    </xf>
    <xf numFmtId="14" fontId="3" fillId="0" borderId="0" xfId="0" applyNumberFormat="1" applyFont="1" applyBorder="1" applyAlignment="1" applyProtection="1">
      <alignment horizontal="center" vertical="center"/>
      <protection locked="0"/>
    </xf>
    <xf numFmtId="0" fontId="3" fillId="0" borderId="0" xfId="0" applyFont="1" applyBorder="1" applyAlignment="1" applyProtection="1">
      <alignment horizontal="center" vertical="center"/>
      <protection locked="0"/>
    </xf>
    <xf numFmtId="0" fontId="25" fillId="0" borderId="0" xfId="0" applyFont="1" applyAlignment="1" applyProtection="1">
      <alignment horizontal="center" vertical="center"/>
    </xf>
    <xf numFmtId="0" fontId="64" fillId="0" borderId="0" xfId="0" applyFont="1" applyBorder="1" applyAlignment="1" applyProtection="1">
      <alignment horizontal="center"/>
    </xf>
    <xf numFmtId="0" fontId="3" fillId="0" borderId="0" xfId="0" applyFont="1" applyBorder="1" applyAlignment="1" applyProtection="1">
      <alignment horizontal="center"/>
    </xf>
    <xf numFmtId="0" fontId="3" fillId="0" borderId="2" xfId="0" applyFont="1" applyBorder="1" applyAlignment="1" applyProtection="1">
      <alignment horizontal="center"/>
    </xf>
    <xf numFmtId="0" fontId="25" fillId="3" borderId="164" xfId="0" applyNumberFormat="1" applyFont="1" applyFill="1" applyBorder="1" applyAlignment="1" applyProtection="1">
      <alignment horizontal="left" vertical="top"/>
      <protection locked="0"/>
    </xf>
    <xf numFmtId="0" fontId="25" fillId="3" borderId="163" xfId="0" applyNumberFormat="1" applyFont="1" applyFill="1" applyBorder="1" applyAlignment="1" applyProtection="1">
      <alignment horizontal="left" vertical="top"/>
      <protection locked="0"/>
    </xf>
    <xf numFmtId="0" fontId="25" fillId="3" borderId="183" xfId="0" applyNumberFormat="1" applyFont="1" applyFill="1" applyBorder="1" applyAlignment="1" applyProtection="1">
      <alignment horizontal="left" vertical="top"/>
      <protection locked="0"/>
    </xf>
    <xf numFmtId="0" fontId="25" fillId="6" borderId="164" xfId="0" applyNumberFormat="1" applyFont="1" applyFill="1" applyBorder="1" applyAlignment="1" applyProtection="1">
      <alignment horizontal="left" vertical="top"/>
      <protection locked="0"/>
    </xf>
    <xf numFmtId="0" fontId="25" fillId="6" borderId="163" xfId="0" applyNumberFormat="1" applyFont="1" applyFill="1" applyBorder="1" applyAlignment="1" applyProtection="1">
      <alignment horizontal="left" vertical="top"/>
      <protection locked="0"/>
    </xf>
    <xf numFmtId="0" fontId="25" fillId="6" borderId="183" xfId="0" applyNumberFormat="1" applyFont="1" applyFill="1" applyBorder="1" applyAlignment="1" applyProtection="1">
      <alignment horizontal="left" vertical="top"/>
      <protection locked="0"/>
    </xf>
    <xf numFmtId="0" fontId="25" fillId="6" borderId="121" xfId="0" applyNumberFormat="1" applyFont="1" applyFill="1" applyBorder="1" applyAlignment="1" applyProtection="1">
      <alignment horizontal="left" vertical="top"/>
      <protection locked="0"/>
    </xf>
    <xf numFmtId="0" fontId="25" fillId="6" borderId="165" xfId="0" applyNumberFormat="1" applyFont="1" applyFill="1" applyBorder="1" applyAlignment="1" applyProtection="1">
      <alignment horizontal="left" vertical="top"/>
      <protection locked="0"/>
    </xf>
    <xf numFmtId="0" fontId="25" fillId="6" borderId="168" xfId="0" applyNumberFormat="1" applyFont="1" applyFill="1" applyBorder="1" applyAlignment="1" applyProtection="1">
      <alignment horizontal="left" vertical="top"/>
      <protection locked="0"/>
    </xf>
    <xf numFmtId="0" fontId="25" fillId="6" borderId="184" xfId="0" applyNumberFormat="1" applyFont="1" applyFill="1" applyBorder="1" applyAlignment="1" applyProtection="1">
      <alignment horizontal="left" vertical="top"/>
      <protection locked="0"/>
    </xf>
    <xf numFmtId="0" fontId="25" fillId="3" borderId="121" xfId="0" applyNumberFormat="1" applyFont="1" applyFill="1" applyBorder="1" applyAlignment="1" applyProtection="1">
      <alignment horizontal="left" vertical="top"/>
      <protection locked="0"/>
    </xf>
    <xf numFmtId="0" fontId="25" fillId="3" borderId="120" xfId="0" applyNumberFormat="1" applyFont="1" applyFill="1" applyBorder="1" applyAlignment="1" applyProtection="1">
      <alignment horizontal="left" vertical="top"/>
      <protection locked="0"/>
    </xf>
    <xf numFmtId="0" fontId="3" fillId="3" borderId="154" xfId="0" applyNumberFormat="1" applyFont="1" applyFill="1" applyBorder="1" applyAlignment="1" applyProtection="1">
      <alignment horizontal="left" vertical="top" wrapText="1"/>
      <protection locked="0"/>
    </xf>
    <xf numFmtId="0" fontId="3" fillId="3" borderId="120" xfId="0" applyNumberFormat="1" applyFont="1" applyFill="1" applyBorder="1" applyAlignment="1" applyProtection="1">
      <alignment horizontal="left" vertical="top" wrapText="1"/>
      <protection locked="0"/>
    </xf>
    <xf numFmtId="0" fontId="3" fillId="3" borderId="155" xfId="0" applyNumberFormat="1" applyFont="1" applyFill="1" applyBorder="1" applyAlignment="1" applyProtection="1">
      <alignment horizontal="left" vertical="top" wrapText="1"/>
      <protection locked="0"/>
    </xf>
    <xf numFmtId="0" fontId="3" fillId="3" borderId="156" xfId="0" applyNumberFormat="1" applyFont="1" applyFill="1" applyBorder="1" applyAlignment="1" applyProtection="1">
      <alignment horizontal="left" vertical="top" wrapText="1"/>
      <protection locked="0"/>
    </xf>
    <xf numFmtId="0" fontId="3" fillId="3" borderId="157" xfId="0" applyNumberFormat="1" applyFont="1" applyFill="1" applyBorder="1" applyAlignment="1" applyProtection="1">
      <alignment horizontal="left" vertical="top" wrapText="1"/>
      <protection locked="0"/>
    </xf>
    <xf numFmtId="0" fontId="3" fillId="3" borderId="158" xfId="0" applyNumberFormat="1" applyFont="1" applyFill="1" applyBorder="1" applyAlignment="1" applyProtection="1">
      <alignment horizontal="left" vertical="top" wrapText="1"/>
      <protection locked="0"/>
    </xf>
    <xf numFmtId="0" fontId="3" fillId="0" borderId="165" xfId="0" applyFont="1" applyBorder="1" applyAlignment="1" applyProtection="1">
      <alignment horizontal="left" vertical="center"/>
      <protection locked="0"/>
    </xf>
    <xf numFmtId="0" fontId="3" fillId="0" borderId="168" xfId="0" applyFont="1" applyBorder="1" applyAlignment="1" applyProtection="1">
      <alignment horizontal="left" vertical="center"/>
      <protection locked="0"/>
    </xf>
    <xf numFmtId="0" fontId="3" fillId="0" borderId="170" xfId="0" applyFont="1" applyBorder="1" applyAlignment="1" applyProtection="1">
      <alignment horizontal="left" vertical="center"/>
      <protection locked="0"/>
    </xf>
    <xf numFmtId="49" fontId="25" fillId="0" borderId="164" xfId="0" applyNumberFormat="1" applyFont="1" applyFill="1" applyBorder="1" applyAlignment="1" applyProtection="1">
      <alignment horizontal="center" vertical="center"/>
      <protection locked="0"/>
    </xf>
    <xf numFmtId="49" fontId="25" fillId="0" borderId="163" xfId="0" applyNumberFormat="1" applyFont="1" applyFill="1" applyBorder="1" applyAlignment="1" applyProtection="1">
      <alignment horizontal="center" vertical="center"/>
      <protection locked="0"/>
    </xf>
    <xf numFmtId="49" fontId="25" fillId="0" borderId="169" xfId="0" applyNumberFormat="1" applyFont="1" applyFill="1" applyBorder="1" applyAlignment="1" applyProtection="1">
      <alignment horizontal="center" vertical="center"/>
      <protection locked="0"/>
    </xf>
    <xf numFmtId="49" fontId="3" fillId="3" borderId="164" xfId="0" applyNumberFormat="1" applyFont="1" applyFill="1" applyBorder="1" applyAlignment="1" applyProtection="1">
      <alignment horizontal="center" vertical="center"/>
      <protection locked="0"/>
    </xf>
    <xf numFmtId="49" fontId="3" fillId="3" borderId="163" xfId="0" applyNumberFormat="1" applyFont="1" applyFill="1" applyBorder="1" applyAlignment="1" applyProtection="1">
      <alignment horizontal="center" vertical="center"/>
      <protection locked="0"/>
    </xf>
    <xf numFmtId="49" fontId="3" fillId="3" borderId="169" xfId="0" applyNumberFormat="1" applyFont="1" applyFill="1" applyBorder="1" applyAlignment="1" applyProtection="1">
      <alignment horizontal="center" vertical="center"/>
      <protection locked="0"/>
    </xf>
    <xf numFmtId="49" fontId="25" fillId="0" borderId="165" xfId="0" applyNumberFormat="1" applyFont="1" applyFill="1" applyBorder="1" applyAlignment="1" applyProtection="1">
      <alignment horizontal="center" vertical="center"/>
      <protection locked="0"/>
    </xf>
    <xf numFmtId="49" fontId="25" fillId="0" borderId="168" xfId="0" applyNumberFormat="1" applyFont="1" applyFill="1" applyBorder="1" applyAlignment="1" applyProtection="1">
      <alignment horizontal="center" vertical="center"/>
      <protection locked="0"/>
    </xf>
    <xf numFmtId="49" fontId="25" fillId="0" borderId="170" xfId="0" applyNumberFormat="1" applyFont="1" applyFill="1" applyBorder="1" applyAlignment="1" applyProtection="1">
      <alignment horizontal="center" vertical="center"/>
      <protection locked="0"/>
    </xf>
    <xf numFmtId="0" fontId="25" fillId="0" borderId="146" xfId="0" applyFont="1" applyBorder="1" applyAlignment="1" applyProtection="1">
      <alignment horizontal="left" vertical="center" wrapText="1"/>
    </xf>
    <xf numFmtId="0" fontId="25" fillId="0" borderId="123" xfId="0" applyFont="1" applyBorder="1" applyAlignment="1" applyProtection="1">
      <alignment horizontal="left" vertical="center" wrapText="1"/>
    </xf>
    <xf numFmtId="0" fontId="25" fillId="0" borderId="147" xfId="0" applyFont="1" applyBorder="1" applyAlignment="1" applyProtection="1">
      <alignment horizontal="left" vertical="center" wrapText="1"/>
    </xf>
    <xf numFmtId="0" fontId="25" fillId="0" borderId="171" xfId="0" applyFont="1" applyBorder="1" applyAlignment="1" applyProtection="1">
      <alignment horizontal="left" vertical="center" wrapText="1"/>
    </xf>
    <xf numFmtId="0" fontId="25" fillId="0" borderId="127" xfId="0" applyFont="1" applyBorder="1" applyAlignment="1" applyProtection="1">
      <alignment horizontal="left" vertical="center" wrapText="1"/>
    </xf>
    <xf numFmtId="0" fontId="25" fillId="0" borderId="172" xfId="0" applyFont="1" applyBorder="1" applyAlignment="1" applyProtection="1">
      <alignment horizontal="left" vertical="center" wrapText="1"/>
    </xf>
    <xf numFmtId="0" fontId="25" fillId="0" borderId="164" xfId="0" applyFont="1" applyBorder="1" applyAlignment="1" applyProtection="1">
      <alignment horizontal="center" vertical="center"/>
    </xf>
    <xf numFmtId="0" fontId="25" fillId="0" borderId="163" xfId="0" applyFont="1" applyBorder="1" applyAlignment="1" applyProtection="1">
      <alignment horizontal="center" vertical="center"/>
    </xf>
    <xf numFmtId="0" fontId="25" fillId="0" borderId="121" xfId="0" applyFont="1" applyBorder="1" applyAlignment="1" applyProtection="1">
      <alignment horizontal="center" vertical="center"/>
    </xf>
    <xf numFmtId="0" fontId="25" fillId="0" borderId="162" xfId="0" applyFont="1" applyBorder="1" applyAlignment="1" applyProtection="1">
      <alignment horizontal="center" vertical="center"/>
    </xf>
    <xf numFmtId="0" fontId="25" fillId="0" borderId="169" xfId="0" applyFont="1" applyBorder="1" applyAlignment="1" applyProtection="1">
      <alignment horizontal="center" vertical="center"/>
    </xf>
    <xf numFmtId="0" fontId="25" fillId="0" borderId="6" xfId="0" applyFont="1" applyBorder="1" applyAlignment="1" applyProtection="1">
      <alignment horizontal="center" vertical="center" wrapText="1"/>
    </xf>
    <xf numFmtId="0" fontId="25" fillId="0" borderId="7" xfId="0" applyFont="1" applyBorder="1" applyAlignment="1" applyProtection="1">
      <alignment horizontal="center" vertical="center" wrapText="1"/>
    </xf>
    <xf numFmtId="0" fontId="25" fillId="0" borderId="173" xfId="0" applyFont="1" applyBorder="1" applyAlignment="1" applyProtection="1">
      <alignment horizontal="center" vertical="center" wrapText="1"/>
    </xf>
    <xf numFmtId="0" fontId="25" fillId="0" borderId="167" xfId="0" applyFont="1" applyBorder="1" applyAlignment="1" applyProtection="1">
      <alignment horizontal="center" vertical="center"/>
    </xf>
    <xf numFmtId="0" fontId="25" fillId="0" borderId="168" xfId="0" applyFont="1" applyBorder="1" applyAlignment="1" applyProtection="1">
      <alignment horizontal="center" vertical="center"/>
    </xf>
    <xf numFmtId="0" fontId="25" fillId="0" borderId="170" xfId="0" applyFont="1" applyBorder="1" applyAlignment="1" applyProtection="1">
      <alignment horizontal="center" vertical="center"/>
    </xf>
    <xf numFmtId="0" fontId="25" fillId="0" borderId="162" xfId="0" applyFont="1" applyBorder="1" applyAlignment="1" applyProtection="1">
      <alignment horizontal="left" vertical="center" wrapText="1"/>
    </xf>
    <xf numFmtId="0" fontId="0" fillId="0" borderId="163" xfId="0" applyBorder="1" applyAlignment="1">
      <alignment horizontal="left" vertical="center" wrapText="1"/>
    </xf>
    <xf numFmtId="0" fontId="0" fillId="0" borderId="169" xfId="0" applyBorder="1" applyAlignment="1">
      <alignment horizontal="left" vertical="center" wrapText="1"/>
    </xf>
    <xf numFmtId="0" fontId="25" fillId="0" borderId="122" xfId="0" applyFont="1" applyBorder="1" applyAlignment="1" applyProtection="1">
      <alignment horizontal="left" vertical="center" wrapText="1"/>
    </xf>
    <xf numFmtId="0" fontId="0" fillId="0" borderId="123" xfId="0" applyBorder="1" applyAlignment="1">
      <alignment horizontal="left" vertical="center" wrapText="1"/>
    </xf>
    <xf numFmtId="0" fontId="0" fillId="0" borderId="147"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0" fontId="0" fillId="0" borderId="172" xfId="0" applyBorder="1" applyAlignment="1">
      <alignment horizontal="left" vertical="center" wrapText="1"/>
    </xf>
    <xf numFmtId="0" fontId="25" fillId="0" borderId="146" xfId="0" applyFont="1" applyBorder="1" applyAlignment="1" applyProtection="1">
      <alignment horizontal="center" vertical="center"/>
    </xf>
    <xf numFmtId="0" fontId="25" fillId="0" borderId="124" xfId="0" applyFont="1" applyBorder="1" applyAlignment="1" applyProtection="1">
      <alignment horizontal="center" vertical="center"/>
    </xf>
    <xf numFmtId="0" fontId="25" fillId="0" borderId="4" xfId="0" applyFont="1" applyBorder="1" applyAlignment="1" applyProtection="1">
      <alignment horizontal="center" vertical="center"/>
    </xf>
    <xf numFmtId="0" fontId="25" fillId="0" borderId="125" xfId="0" applyFont="1" applyBorder="1" applyAlignment="1" applyProtection="1">
      <alignment horizontal="center" vertical="center"/>
    </xf>
    <xf numFmtId="0" fontId="9" fillId="2" borderId="151" xfId="0" applyFont="1" applyFill="1" applyBorder="1" applyAlignment="1" applyProtection="1">
      <alignment horizontal="center" vertical="center"/>
      <protection locked="0"/>
    </xf>
    <xf numFmtId="0" fontId="9" fillId="2" borderId="152" xfId="0" applyFont="1" applyFill="1" applyBorder="1" applyAlignment="1" applyProtection="1">
      <alignment horizontal="center" vertical="center"/>
      <protection locked="0"/>
    </xf>
    <xf numFmtId="0" fontId="9" fillId="2" borderId="153" xfId="0" applyFont="1" applyFill="1" applyBorder="1" applyAlignment="1" applyProtection="1">
      <alignment horizontal="center" vertical="center"/>
      <protection locked="0"/>
    </xf>
    <xf numFmtId="0" fontId="25" fillId="5" borderId="121" xfId="0" applyFont="1" applyFill="1" applyBorder="1" applyAlignment="1" applyProtection="1">
      <alignment horizontal="center" vertical="center"/>
    </xf>
    <xf numFmtId="0" fontId="25" fillId="5" borderId="120" xfId="0" applyFont="1" applyFill="1" applyBorder="1" applyAlignment="1" applyProtection="1">
      <alignment horizontal="center" vertical="center"/>
    </xf>
    <xf numFmtId="0" fontId="25" fillId="5" borderId="155" xfId="0" applyFont="1" applyFill="1" applyBorder="1" applyAlignment="1" applyProtection="1">
      <alignment horizontal="center" vertical="center"/>
    </xf>
    <xf numFmtId="0" fontId="3" fillId="0" borderId="154" xfId="0" applyFont="1" applyBorder="1" applyAlignment="1" applyProtection="1">
      <alignment horizontal="center" vertical="center"/>
    </xf>
    <xf numFmtId="0" fontId="3" fillId="0" borderId="120" xfId="0" applyFont="1" applyBorder="1" applyAlignment="1" applyProtection="1">
      <alignment horizontal="center" vertical="center"/>
    </xf>
    <xf numFmtId="0" fontId="66" fillId="0" borderId="203" xfId="0" applyFont="1" applyBorder="1" applyAlignment="1" applyProtection="1">
      <alignment horizontal="left" vertical="top" wrapText="1"/>
      <protection locked="0"/>
    </xf>
    <xf numFmtId="0" fontId="25" fillId="0" borderId="123" xfId="0" applyFont="1" applyBorder="1" applyAlignment="1" applyProtection="1">
      <alignment horizontal="left" vertical="top" wrapText="1"/>
      <protection locked="0"/>
    </xf>
    <xf numFmtId="0" fontId="25" fillId="0" borderId="147" xfId="0" applyFont="1" applyBorder="1" applyAlignment="1" applyProtection="1">
      <alignment horizontal="left" vertical="top" wrapText="1"/>
      <protection locked="0"/>
    </xf>
    <xf numFmtId="0" fontId="25" fillId="0" borderId="204" xfId="0" applyFont="1" applyBorder="1" applyAlignment="1" applyProtection="1">
      <alignment horizontal="left" vertical="top" wrapText="1"/>
      <protection locked="0"/>
    </xf>
    <xf numFmtId="0" fontId="25" fillId="0" borderId="0" xfId="0" applyFont="1" applyBorder="1" applyAlignment="1" applyProtection="1">
      <alignment horizontal="left" vertical="top" wrapText="1"/>
      <protection locked="0"/>
    </xf>
    <xf numFmtId="0" fontId="25" fillId="0" borderId="5" xfId="0" applyFont="1" applyBorder="1" applyAlignment="1" applyProtection="1">
      <alignment horizontal="left" vertical="top" wrapText="1"/>
      <protection locked="0"/>
    </xf>
    <xf numFmtId="0" fontId="25" fillId="0" borderId="205" xfId="0" applyFont="1" applyBorder="1" applyAlignment="1" applyProtection="1">
      <alignment horizontal="left" vertical="top" wrapText="1"/>
      <protection locked="0"/>
    </xf>
    <xf numFmtId="0" fontId="25" fillId="0" borderId="7" xfId="0" applyFont="1" applyBorder="1" applyAlignment="1" applyProtection="1">
      <alignment horizontal="left" vertical="top" wrapText="1"/>
      <protection locked="0"/>
    </xf>
    <xf numFmtId="0" fontId="25" fillId="0" borderId="8" xfId="0" applyFont="1" applyBorder="1" applyAlignment="1" applyProtection="1">
      <alignment horizontal="left" vertical="top" wrapText="1"/>
      <protection locked="0"/>
    </xf>
    <xf numFmtId="0" fontId="63" fillId="0" borderId="0" xfId="0" applyFont="1" applyAlignment="1" applyProtection="1">
      <alignment horizontal="center" vertical="center"/>
    </xf>
    <xf numFmtId="0" fontId="25" fillId="0" borderId="132" xfId="0" applyNumberFormat="1" applyFont="1" applyBorder="1" applyAlignment="1" applyProtection="1">
      <alignment horizontal="center" vertical="center"/>
      <protection locked="0" hidden="1"/>
    </xf>
    <xf numFmtId="0" fontId="25" fillId="0" borderId="111" xfId="0" applyNumberFormat="1" applyFont="1" applyBorder="1" applyAlignment="1" applyProtection="1">
      <alignment horizontal="center" vertical="center"/>
      <protection locked="0" hidden="1"/>
    </xf>
    <xf numFmtId="0" fontId="25" fillId="10" borderId="132" xfId="0" applyNumberFormat="1" applyFont="1" applyFill="1" applyBorder="1" applyAlignment="1" applyProtection="1">
      <alignment horizontal="center" vertical="center"/>
    </xf>
    <xf numFmtId="0" fontId="25" fillId="10" borderId="111" xfId="0" applyNumberFormat="1" applyFont="1" applyFill="1" applyBorder="1" applyAlignment="1" applyProtection="1">
      <alignment horizontal="center" vertical="center"/>
    </xf>
    <xf numFmtId="0" fontId="25" fillId="9" borderId="111" xfId="0" applyNumberFormat="1" applyFont="1" applyFill="1" applyBorder="1" applyAlignment="1" applyProtection="1">
      <alignment horizontal="center" vertical="center"/>
    </xf>
    <xf numFmtId="0" fontId="25" fillId="0" borderId="111" xfId="0" applyNumberFormat="1" applyFont="1" applyBorder="1" applyAlignment="1" applyProtection="1">
      <alignment horizontal="center" vertical="center"/>
    </xf>
    <xf numFmtId="0" fontId="3" fillId="0" borderId="0" xfId="0" applyFont="1" applyBorder="1" applyAlignment="1" applyProtection="1">
      <alignment horizontal="left" vertical="center"/>
      <protection locked="0"/>
    </xf>
    <xf numFmtId="0" fontId="25" fillId="0" borderId="135" xfId="0" applyNumberFormat="1" applyFont="1" applyBorder="1" applyAlignment="1" applyProtection="1">
      <alignment horizontal="center" vertical="center"/>
      <protection locked="0"/>
    </xf>
    <xf numFmtId="0" fontId="25" fillId="9" borderId="111" xfId="0" applyNumberFormat="1" applyFont="1" applyFill="1" applyBorder="1" applyAlignment="1" applyProtection="1">
      <alignment horizontal="center" vertical="center"/>
      <protection locked="0"/>
    </xf>
    <xf numFmtId="0" fontId="25" fillId="3" borderId="134" xfId="0" applyFont="1" applyFill="1" applyBorder="1" applyAlignment="1" applyProtection="1">
      <alignment horizontal="center" vertical="center" wrapText="1"/>
    </xf>
    <xf numFmtId="0" fontId="25" fillId="3" borderId="135" xfId="0" applyFont="1" applyFill="1" applyBorder="1" applyAlignment="1" applyProtection="1">
      <alignment horizontal="center" vertical="center" wrapText="1"/>
    </xf>
    <xf numFmtId="0" fontId="25" fillId="0" borderId="134" xfId="0" applyNumberFormat="1" applyFont="1" applyBorder="1" applyAlignment="1" applyProtection="1">
      <alignment horizontal="center" vertical="center"/>
      <protection locked="0"/>
    </xf>
    <xf numFmtId="0" fontId="25" fillId="9" borderId="132" xfId="0" applyNumberFormat="1" applyFont="1" applyFill="1" applyBorder="1" applyAlignment="1" applyProtection="1">
      <alignment horizontal="center" vertical="center"/>
    </xf>
    <xf numFmtId="0" fontId="32" fillId="9" borderId="111" xfId="0" applyNumberFormat="1" applyFont="1" applyFill="1" applyBorder="1" applyAlignment="1" applyProtection="1">
      <alignment horizontal="center" vertical="center"/>
    </xf>
    <xf numFmtId="0" fontId="32" fillId="0" borderId="111" xfId="0" applyNumberFormat="1" applyFont="1" applyBorder="1" applyAlignment="1" applyProtection="1">
      <alignment horizontal="center" vertical="center"/>
    </xf>
    <xf numFmtId="0" fontId="9" fillId="2" borderId="129" xfId="0" applyFont="1" applyFill="1" applyBorder="1" applyAlignment="1" applyProtection="1">
      <alignment horizontal="center" vertical="center"/>
    </xf>
    <xf numFmtId="0" fontId="9" fillId="2" borderId="130" xfId="0" applyFont="1" applyFill="1" applyBorder="1" applyAlignment="1" applyProtection="1">
      <alignment horizontal="center" vertical="center"/>
    </xf>
    <xf numFmtId="0" fontId="9" fillId="2" borderId="131" xfId="0" applyFont="1" applyFill="1" applyBorder="1" applyAlignment="1" applyProtection="1">
      <alignment horizontal="center" vertical="center"/>
    </xf>
    <xf numFmtId="0" fontId="9" fillId="8" borderId="129" xfId="0" applyFont="1" applyFill="1" applyBorder="1" applyAlignment="1" applyProtection="1">
      <alignment horizontal="center" vertical="center"/>
    </xf>
    <xf numFmtId="0" fontId="9" fillId="8" borderId="130" xfId="0" applyFont="1" applyFill="1" applyBorder="1" applyAlignment="1" applyProtection="1">
      <alignment horizontal="center" vertical="center"/>
    </xf>
    <xf numFmtId="0" fontId="9" fillId="8" borderId="131" xfId="0" applyFont="1" applyFill="1" applyBorder="1" applyAlignment="1" applyProtection="1">
      <alignment horizontal="center" vertical="center"/>
    </xf>
    <xf numFmtId="0" fontId="25" fillId="9" borderId="132" xfId="0" applyNumberFormat="1" applyFont="1" applyFill="1" applyBorder="1" applyAlignment="1" applyProtection="1">
      <alignment horizontal="center" vertical="center"/>
      <protection locked="0" hidden="1"/>
    </xf>
    <xf numFmtId="0" fontId="25" fillId="9" borderId="111" xfId="0" applyNumberFormat="1" applyFont="1" applyFill="1" applyBorder="1" applyAlignment="1" applyProtection="1">
      <alignment horizontal="center" vertical="center"/>
      <protection locked="0" hidden="1"/>
    </xf>
    <xf numFmtId="0" fontId="25" fillId="5" borderId="111" xfId="0" applyFont="1" applyFill="1" applyBorder="1" applyAlignment="1" applyProtection="1">
      <alignment horizontal="center" vertical="center"/>
    </xf>
    <xf numFmtId="0" fontId="25" fillId="3" borderId="111" xfId="0" applyFont="1" applyFill="1" applyBorder="1" applyAlignment="1" applyProtection="1">
      <alignment horizontal="center" vertical="center"/>
    </xf>
    <xf numFmtId="0" fontId="25" fillId="3" borderId="133" xfId="0" applyFont="1" applyFill="1" applyBorder="1" applyAlignment="1" applyProtection="1">
      <alignment horizontal="center" vertical="center"/>
    </xf>
    <xf numFmtId="0" fontId="25" fillId="0" borderId="111" xfId="0" applyFont="1" applyFill="1" applyBorder="1" applyAlignment="1" applyProtection="1">
      <alignment horizontal="center" vertical="center"/>
    </xf>
    <xf numFmtId="0" fontId="25" fillId="0" borderId="133" xfId="0" applyFont="1" applyFill="1" applyBorder="1" applyAlignment="1" applyProtection="1">
      <alignment horizontal="center" vertical="center"/>
    </xf>
    <xf numFmtId="0" fontId="25" fillId="0" borderId="132" xfId="0" applyFont="1" applyFill="1" applyBorder="1" applyAlignment="1" applyProtection="1">
      <alignment horizontal="center" vertical="center" wrapText="1"/>
    </xf>
    <xf numFmtId="0" fontId="25" fillId="0" borderId="111" xfId="0" applyFont="1" applyFill="1" applyBorder="1" applyAlignment="1" applyProtection="1">
      <alignment horizontal="center" vertical="center" wrapText="1"/>
    </xf>
    <xf numFmtId="0" fontId="25" fillId="3" borderId="132" xfId="0" applyFont="1" applyFill="1" applyBorder="1" applyAlignment="1" applyProtection="1">
      <alignment horizontal="center" vertical="center" wrapText="1"/>
    </xf>
    <xf numFmtId="0" fontId="25" fillId="3" borderId="111" xfId="0" applyFont="1" applyFill="1" applyBorder="1" applyAlignment="1" applyProtection="1">
      <alignment horizontal="center" vertical="center" wrapText="1"/>
    </xf>
    <xf numFmtId="0" fontId="25" fillId="9" borderId="132" xfId="0" applyNumberFormat="1" applyFont="1" applyFill="1" applyBorder="1" applyAlignment="1" applyProtection="1">
      <alignment horizontal="center" vertical="center"/>
      <protection locked="0"/>
    </xf>
    <xf numFmtId="49" fontId="3" fillId="6" borderId="111" xfId="0" applyNumberFormat="1" applyFont="1" applyFill="1" applyBorder="1" applyAlignment="1" applyProtection="1">
      <alignment horizontal="center" vertical="center"/>
      <protection locked="0" hidden="1"/>
    </xf>
    <xf numFmtId="49" fontId="3" fillId="0" borderId="111" xfId="0" applyNumberFormat="1" applyFont="1" applyBorder="1" applyAlignment="1" applyProtection="1">
      <alignment horizontal="center" vertical="center"/>
      <protection locked="0" hidden="1"/>
    </xf>
    <xf numFmtId="49" fontId="3" fillId="3" borderId="111" xfId="0" applyNumberFormat="1" applyFont="1" applyFill="1" applyBorder="1" applyAlignment="1" applyProtection="1">
      <alignment horizontal="center" vertical="center"/>
      <protection locked="0" hidden="1"/>
    </xf>
    <xf numFmtId="49" fontId="3" fillId="3" borderId="135" xfId="0" applyNumberFormat="1" applyFont="1" applyFill="1" applyBorder="1" applyAlignment="1" applyProtection="1">
      <alignment horizontal="center" vertical="center"/>
      <protection locked="0" hidden="1"/>
    </xf>
    <xf numFmtId="179" fontId="3" fillId="0" borderId="111" xfId="0" applyNumberFormat="1" applyFont="1" applyBorder="1" applyAlignment="1" applyProtection="1">
      <alignment horizontal="center" vertical="center"/>
      <protection locked="0" hidden="1"/>
    </xf>
    <xf numFmtId="0" fontId="3" fillId="4" borderId="2"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2" xfId="0" applyFont="1" applyFill="1" applyBorder="1" applyAlignment="1" applyProtection="1">
      <alignment horizontal="right" vertical="center" wrapText="1"/>
      <protection locked="0"/>
    </xf>
    <xf numFmtId="0" fontId="3" fillId="4" borderId="7" xfId="0" applyFont="1" applyFill="1" applyBorder="1" applyAlignment="1" applyProtection="1">
      <alignment horizontal="right" vertical="center" wrapText="1"/>
      <protection locked="0"/>
    </xf>
    <xf numFmtId="0" fontId="3" fillId="4" borderId="111" xfId="0" applyFont="1" applyFill="1" applyBorder="1" applyAlignment="1" applyProtection="1">
      <alignment horizontal="center" vertical="center"/>
    </xf>
    <xf numFmtId="0" fontId="3" fillId="4" borderId="133" xfId="0" applyFont="1" applyFill="1" applyBorder="1" applyAlignment="1" applyProtection="1">
      <alignment horizontal="center" vertical="center"/>
    </xf>
    <xf numFmtId="0" fontId="3" fillId="4" borderId="179" xfId="0" applyFont="1" applyFill="1" applyBorder="1" applyAlignment="1" applyProtection="1">
      <alignment horizontal="center" vertical="center"/>
    </xf>
    <xf numFmtId="0" fontId="3" fillId="3" borderId="2" xfId="0" applyFont="1" applyFill="1" applyBorder="1" applyAlignment="1" applyProtection="1">
      <alignment horizontal="right" vertical="center"/>
      <protection locked="0"/>
    </xf>
    <xf numFmtId="0" fontId="3" fillId="3" borderId="7" xfId="0" applyFont="1" applyFill="1" applyBorder="1" applyAlignment="1" applyProtection="1">
      <alignment horizontal="right" vertical="center"/>
      <protection locked="0"/>
    </xf>
    <xf numFmtId="0" fontId="3" fillId="0" borderId="0" xfId="0" applyFont="1" applyBorder="1" applyAlignment="1" applyProtection="1">
      <alignment horizontal="right" vertical="center"/>
    </xf>
    <xf numFmtId="0" fontId="3" fillId="4" borderId="2" xfId="0" applyFont="1" applyFill="1" applyBorder="1" applyAlignment="1" applyProtection="1">
      <alignment horizontal="right" vertical="center"/>
      <protection locked="0"/>
    </xf>
    <xf numFmtId="0" fontId="3" fillId="4" borderId="7" xfId="0" applyFont="1" applyFill="1" applyBorder="1" applyAlignment="1" applyProtection="1">
      <alignment horizontal="right" vertical="center"/>
      <protection locked="0"/>
    </xf>
    <xf numFmtId="0" fontId="3" fillId="3" borderId="174" xfId="0" applyFont="1" applyFill="1" applyBorder="1" applyAlignment="1" applyProtection="1">
      <alignment horizontal="center" vertical="center"/>
    </xf>
    <xf numFmtId="0" fontId="3" fillId="3" borderId="130" xfId="0" applyFont="1" applyFill="1" applyBorder="1" applyAlignment="1" applyProtection="1">
      <alignment horizontal="center" vertical="center"/>
    </xf>
    <xf numFmtId="0" fontId="3" fillId="3" borderId="175" xfId="0" applyFont="1" applyFill="1" applyBorder="1" applyAlignment="1" applyProtection="1">
      <alignment horizontal="center" vertical="center"/>
    </xf>
    <xf numFmtId="0" fontId="3" fillId="3" borderId="135" xfId="0" applyFont="1" applyFill="1" applyBorder="1" applyAlignment="1" applyProtection="1">
      <alignment horizontal="center" vertical="center"/>
    </xf>
    <xf numFmtId="0" fontId="3" fillId="3" borderId="135" xfId="0" applyFont="1" applyFill="1" applyBorder="1" applyAlignment="1" applyProtection="1">
      <alignment horizontal="center" vertical="center"/>
      <protection locked="0"/>
    </xf>
    <xf numFmtId="0" fontId="3" fillId="3" borderId="136" xfId="0" applyFont="1" applyFill="1" applyBorder="1" applyAlignment="1" applyProtection="1">
      <alignment horizontal="center" vertical="center"/>
      <protection locked="0"/>
    </xf>
    <xf numFmtId="0" fontId="3" fillId="3" borderId="119" xfId="0" applyFont="1" applyFill="1" applyBorder="1" applyAlignment="1" applyProtection="1">
      <alignment horizontal="center" vertical="center" wrapText="1"/>
      <protection locked="0"/>
    </xf>
    <xf numFmtId="0" fontId="3" fillId="0" borderId="119" xfId="0" applyFont="1" applyBorder="1" applyAlignment="1" applyProtection="1">
      <alignment horizontal="center" vertical="center" wrapText="1"/>
      <protection locked="0"/>
    </xf>
    <xf numFmtId="0" fontId="3" fillId="3" borderId="175" xfId="0" applyFont="1" applyFill="1" applyBorder="1" applyAlignment="1" applyProtection="1">
      <alignment horizontal="center" vertical="center" wrapText="1"/>
      <protection locked="0"/>
    </xf>
    <xf numFmtId="0" fontId="3" fillId="3" borderId="119" xfId="0" applyFont="1" applyFill="1" applyBorder="1" applyAlignment="1" applyProtection="1">
      <alignment horizontal="center" vertical="center" wrapText="1"/>
    </xf>
    <xf numFmtId="0" fontId="3" fillId="3" borderId="149" xfId="0" applyFont="1" applyFill="1" applyBorder="1" applyAlignment="1" applyProtection="1">
      <alignment horizontal="center" vertical="center" wrapText="1"/>
    </xf>
    <xf numFmtId="0" fontId="3" fillId="0" borderId="197" xfId="0" applyFont="1" applyBorder="1" applyAlignment="1" applyProtection="1">
      <alignment horizontal="center" vertical="center" wrapText="1"/>
    </xf>
    <xf numFmtId="0" fontId="3" fillId="3" borderId="197" xfId="0" applyFont="1" applyFill="1" applyBorder="1" applyAlignment="1" applyProtection="1">
      <alignment horizontal="center" vertical="center" wrapText="1"/>
    </xf>
    <xf numFmtId="0" fontId="3" fillId="0" borderId="194" xfId="0" applyFont="1" applyBorder="1" applyAlignment="1" applyProtection="1">
      <alignment horizontal="center" vertical="center" wrapText="1"/>
    </xf>
    <xf numFmtId="0" fontId="3" fillId="0" borderId="195" xfId="0" applyFont="1" applyBorder="1" applyAlignment="1" applyProtection="1">
      <alignment horizontal="center" vertical="center" wrapText="1"/>
      <protection locked="0"/>
    </xf>
    <xf numFmtId="0" fontId="3" fillId="0" borderId="196" xfId="0" applyFont="1" applyBorder="1" applyAlignment="1" applyProtection="1">
      <alignment horizontal="center" vertical="center" wrapText="1"/>
      <protection locked="0"/>
    </xf>
    <xf numFmtId="0" fontId="3" fillId="3" borderId="111" xfId="0" applyNumberFormat="1" applyFont="1" applyFill="1" applyBorder="1" applyAlignment="1" applyProtection="1">
      <alignment horizontal="center" vertical="center"/>
      <protection locked="0"/>
    </xf>
    <xf numFmtId="0" fontId="3" fillId="3" borderId="133" xfId="0" applyNumberFormat="1" applyFont="1" applyFill="1" applyBorder="1" applyAlignment="1" applyProtection="1">
      <alignment horizontal="center" vertical="center"/>
      <protection locked="0"/>
    </xf>
    <xf numFmtId="0" fontId="3" fillId="0" borderId="111" xfId="0" applyNumberFormat="1" applyFont="1" applyBorder="1" applyAlignment="1" applyProtection="1">
      <alignment horizontal="center" vertical="center"/>
      <protection locked="0"/>
    </xf>
    <xf numFmtId="0" fontId="3" fillId="0" borderId="133" xfId="0" applyNumberFormat="1" applyFont="1" applyBorder="1" applyAlignment="1" applyProtection="1">
      <alignment horizontal="center" vertical="center"/>
      <protection locked="0"/>
    </xf>
    <xf numFmtId="0" fontId="3" fillId="0" borderId="181" xfId="0" applyFont="1" applyBorder="1" applyAlignment="1" applyProtection="1">
      <alignment horizontal="center" vertical="center"/>
      <protection locked="0"/>
    </xf>
    <xf numFmtId="0" fontId="3" fillId="0" borderId="182" xfId="0" applyFont="1" applyBorder="1" applyAlignment="1" applyProtection="1">
      <alignment horizontal="center" vertical="center"/>
      <protection locked="0"/>
    </xf>
    <xf numFmtId="0" fontId="3" fillId="3" borderId="111" xfId="0" applyFont="1" applyFill="1" applyBorder="1" applyAlignment="1" applyProtection="1">
      <alignment horizontal="center" vertical="center"/>
      <protection locked="0"/>
    </xf>
    <xf numFmtId="0" fontId="3" fillId="0" borderId="111" xfId="0" applyFont="1" applyBorder="1" applyAlignment="1" applyProtection="1">
      <alignment horizontal="center" vertical="center"/>
      <protection locked="0"/>
    </xf>
    <xf numFmtId="0" fontId="25" fillId="3" borderId="190" xfId="0" applyFont="1" applyFill="1" applyBorder="1" applyAlignment="1" applyProtection="1">
      <alignment horizontal="center" vertical="center" wrapText="1"/>
    </xf>
    <xf numFmtId="0" fontId="3" fillId="0" borderId="190" xfId="0" applyFont="1" applyBorder="1" applyAlignment="1" applyProtection="1">
      <alignment horizontal="center" vertical="center" wrapText="1"/>
    </xf>
    <xf numFmtId="0" fontId="3" fillId="3" borderId="190" xfId="0" applyFont="1" applyFill="1" applyBorder="1" applyAlignment="1" applyProtection="1">
      <alignment horizontal="center" vertical="center" wrapText="1"/>
    </xf>
    <xf numFmtId="0" fontId="3" fillId="3" borderId="189" xfId="0" applyFont="1" applyFill="1" applyBorder="1" applyAlignment="1" applyProtection="1">
      <alignment horizontal="center" vertical="center" wrapText="1"/>
    </xf>
    <xf numFmtId="0" fontId="1" fillId="3" borderId="111" xfId="0" applyNumberFormat="1" applyFont="1" applyFill="1" applyBorder="1" applyAlignment="1" applyProtection="1">
      <alignment horizontal="center" vertical="center"/>
      <protection locked="0"/>
    </xf>
    <xf numFmtId="0" fontId="3" fillId="0" borderId="133" xfId="0" applyFont="1" applyBorder="1" applyAlignment="1" applyProtection="1">
      <alignment horizontal="center" vertical="center"/>
      <protection locked="0"/>
    </xf>
    <xf numFmtId="0" fontId="62" fillId="0" borderId="0" xfId="8" applyFont="1" applyBorder="1" applyAlignment="1" applyProtection="1">
      <alignment horizontal="center" vertical="center"/>
      <protection locked="0" hidden="1"/>
    </xf>
    <xf numFmtId="0" fontId="25" fillId="3" borderId="135" xfId="0" applyFont="1" applyFill="1" applyBorder="1" applyAlignment="1" applyProtection="1">
      <alignment horizontal="center" vertical="center"/>
      <protection locked="0"/>
    </xf>
    <xf numFmtId="0" fontId="25" fillId="3" borderId="136" xfId="0" applyFont="1" applyFill="1" applyBorder="1" applyAlignment="1" applyProtection="1">
      <alignment horizontal="center" vertical="center"/>
      <protection locked="0"/>
    </xf>
    <xf numFmtId="176" fontId="25" fillId="0" borderId="111" xfId="0" applyNumberFormat="1" applyFont="1" applyFill="1" applyBorder="1" applyAlignment="1" applyProtection="1">
      <alignment horizontal="center" vertical="center"/>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0" xfId="0" applyFont="1" applyFill="1" applyBorder="1" applyAlignment="1" applyProtection="1">
      <alignment horizontal="center" vertical="center"/>
      <protection locked="0"/>
    </xf>
    <xf numFmtId="0" fontId="3" fillId="3" borderId="5"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9" fillId="2" borderId="186" xfId="0" applyFont="1" applyFill="1" applyBorder="1" applyAlignment="1" applyProtection="1">
      <alignment horizontal="center" vertical="center"/>
    </xf>
    <xf numFmtId="0" fontId="9" fillId="2" borderId="187" xfId="0" applyFont="1" applyFill="1" applyBorder="1" applyAlignment="1" applyProtection="1">
      <alignment horizontal="center" vertical="center"/>
    </xf>
    <xf numFmtId="0" fontId="9" fillId="2" borderId="188"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6" xfId="0" applyFont="1" applyFill="1" applyBorder="1" applyAlignment="1" applyProtection="1">
      <alignment horizontal="center" vertical="center" wrapText="1"/>
    </xf>
    <xf numFmtId="0" fontId="3" fillId="3" borderId="7" xfId="0" applyFont="1" applyFill="1" applyBorder="1" applyAlignment="1" applyProtection="1">
      <alignment horizontal="center" vertical="center" wrapText="1"/>
    </xf>
    <xf numFmtId="1" fontId="3" fillId="3" borderId="2" xfId="0" applyNumberFormat="1" applyFont="1" applyFill="1" applyBorder="1" applyAlignment="1" applyProtection="1">
      <alignment horizontal="right" vertical="center" wrapText="1"/>
      <protection locked="0"/>
    </xf>
    <xf numFmtId="1" fontId="3" fillId="3" borderId="7" xfId="0" applyNumberFormat="1" applyFont="1" applyFill="1" applyBorder="1" applyAlignment="1" applyProtection="1">
      <alignment horizontal="right" vertical="center" wrapText="1"/>
      <protection locked="0"/>
    </xf>
    <xf numFmtId="178" fontId="3" fillId="3" borderId="176" xfId="0" applyNumberFormat="1" applyFont="1" applyFill="1" applyBorder="1" applyAlignment="1" applyProtection="1">
      <alignment horizontal="left" vertical="center" wrapText="1"/>
    </xf>
    <xf numFmtId="178" fontId="3" fillId="3" borderId="177" xfId="0" applyNumberFormat="1" applyFont="1" applyFill="1" applyBorder="1" applyAlignment="1" applyProtection="1">
      <alignment horizontal="left" vertical="center" wrapText="1"/>
    </xf>
    <xf numFmtId="178" fontId="3" fillId="4" borderId="2" xfId="0" applyNumberFormat="1" applyFont="1" applyFill="1" applyBorder="1" applyAlignment="1" applyProtection="1">
      <alignment horizontal="left" vertical="center"/>
    </xf>
    <xf numFmtId="178" fontId="3" fillId="4" borderId="7" xfId="0" applyNumberFormat="1" applyFont="1" applyFill="1" applyBorder="1" applyAlignment="1" applyProtection="1">
      <alignment horizontal="left" vertical="center"/>
    </xf>
    <xf numFmtId="178" fontId="3" fillId="4" borderId="176" xfId="0" applyNumberFormat="1" applyFont="1" applyFill="1" applyBorder="1" applyAlignment="1" applyProtection="1">
      <alignment horizontal="left" vertical="center"/>
    </xf>
    <xf numFmtId="178" fontId="3" fillId="4" borderId="177" xfId="0" applyNumberFormat="1" applyFont="1" applyFill="1" applyBorder="1" applyAlignment="1" applyProtection="1">
      <alignment horizontal="left" vertical="center"/>
    </xf>
    <xf numFmtId="178" fontId="3" fillId="3" borderId="176" xfId="0" applyNumberFormat="1" applyFont="1" applyFill="1" applyBorder="1" applyAlignment="1" applyProtection="1">
      <alignment horizontal="left" vertical="center"/>
    </xf>
    <xf numFmtId="178" fontId="3" fillId="3" borderId="177" xfId="0" applyNumberFormat="1" applyFont="1" applyFill="1" applyBorder="1" applyAlignment="1" applyProtection="1">
      <alignment horizontal="left" vertical="center"/>
    </xf>
    <xf numFmtId="0" fontId="3" fillId="3" borderId="194" xfId="0" applyFont="1" applyFill="1" applyBorder="1" applyAlignment="1" applyProtection="1">
      <alignment horizontal="center" vertical="center" wrapText="1"/>
    </xf>
    <xf numFmtId="0" fontId="3" fillId="3" borderId="200" xfId="0" applyFont="1" applyFill="1" applyBorder="1" applyAlignment="1" applyProtection="1">
      <alignment horizontal="center" vertical="center" wrapText="1"/>
      <protection locked="0"/>
    </xf>
    <xf numFmtId="0" fontId="3" fillId="3" borderId="130" xfId="0" applyFont="1" applyFill="1" applyBorder="1" applyAlignment="1" applyProtection="1">
      <alignment horizontal="center" vertical="center"/>
      <protection locked="0"/>
    </xf>
    <xf numFmtId="0" fontId="3" fillId="3" borderId="131" xfId="0" applyFont="1" applyFill="1" applyBorder="1" applyAlignment="1" applyProtection="1">
      <alignment horizontal="center" vertical="center"/>
      <protection locked="0"/>
    </xf>
    <xf numFmtId="178" fontId="3" fillId="4" borderId="2" xfId="0" applyNumberFormat="1" applyFont="1" applyFill="1" applyBorder="1" applyAlignment="1" applyProtection="1">
      <alignment horizontal="left" vertical="center" wrapText="1"/>
    </xf>
    <xf numFmtId="178" fontId="3" fillId="4" borderId="7" xfId="0" applyNumberFormat="1" applyFont="1" applyFill="1" applyBorder="1" applyAlignment="1" applyProtection="1">
      <alignment horizontal="left" vertical="center" wrapText="1"/>
    </xf>
    <xf numFmtId="0" fontId="3" fillId="4" borderId="176" xfId="0" applyFont="1" applyFill="1" applyBorder="1" applyAlignment="1" applyProtection="1">
      <alignment horizontal="center" vertical="center" wrapText="1"/>
    </xf>
    <xf numFmtId="0" fontId="3" fillId="4" borderId="177"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9" fillId="2" borderId="159" xfId="0" applyFont="1" applyFill="1" applyBorder="1" applyAlignment="1" applyProtection="1">
      <alignment horizontal="center" vertical="center"/>
    </xf>
    <xf numFmtId="0" fontId="9" fillId="2" borderId="160" xfId="0" applyFont="1" applyFill="1" applyBorder="1" applyAlignment="1" applyProtection="1">
      <alignment horizontal="center" vertical="center"/>
    </xf>
    <xf numFmtId="0" fontId="9" fillId="2" borderId="161" xfId="0" applyFont="1" applyFill="1" applyBorder="1" applyAlignment="1" applyProtection="1">
      <alignment horizontal="center" vertical="center"/>
    </xf>
    <xf numFmtId="49" fontId="3" fillId="3" borderId="164" xfId="0" applyNumberFormat="1" applyFont="1" applyFill="1" applyBorder="1" applyAlignment="1" applyProtection="1">
      <alignment horizontal="left" vertical="center" wrapText="1"/>
      <protection locked="0"/>
    </xf>
    <xf numFmtId="49" fontId="3" fillId="3" borderId="163" xfId="0" applyNumberFormat="1" applyFont="1" applyFill="1" applyBorder="1" applyAlignment="1" applyProtection="1">
      <alignment horizontal="left" vertical="center" wrapText="1"/>
      <protection locked="0"/>
    </xf>
    <xf numFmtId="49" fontId="3" fillId="3" borderId="169" xfId="0" applyNumberFormat="1" applyFont="1" applyFill="1" applyBorder="1" applyAlignment="1" applyProtection="1">
      <alignment horizontal="left" vertical="center" wrapText="1"/>
      <protection locked="0"/>
    </xf>
    <xf numFmtId="0" fontId="25" fillId="0" borderId="146" xfId="0" applyFont="1" applyBorder="1" applyAlignment="1" applyProtection="1">
      <alignment horizontal="center" vertical="center" wrapText="1"/>
    </xf>
    <xf numFmtId="0" fontId="25" fillId="0" borderId="124" xfId="0" applyFont="1" applyBorder="1" applyAlignment="1" applyProtection="1">
      <alignment horizontal="center" vertical="center" wrapText="1"/>
    </xf>
    <xf numFmtId="0" fontId="25" fillId="0" borderId="171" xfId="0" applyFont="1" applyBorder="1" applyAlignment="1" applyProtection="1">
      <alignment horizontal="center" vertical="center" wrapText="1"/>
    </xf>
    <xf numFmtId="0" fontId="25" fillId="0" borderId="128" xfId="0" applyFont="1" applyBorder="1" applyAlignment="1" applyProtection="1">
      <alignment horizontal="center" vertical="center" wrapText="1"/>
    </xf>
    <xf numFmtId="0" fontId="25" fillId="0" borderId="123" xfId="0" applyFont="1" applyBorder="1" applyAlignment="1" applyProtection="1">
      <alignment horizontal="center" vertical="center"/>
    </xf>
    <xf numFmtId="0" fontId="25" fillId="0" borderId="127" xfId="0" applyFont="1" applyBorder="1" applyAlignment="1" applyProtection="1">
      <alignment horizontal="center" vertical="center"/>
      <protection locked="0"/>
    </xf>
    <xf numFmtId="0" fontId="25" fillId="0" borderId="128" xfId="0" applyFont="1" applyBorder="1" applyAlignment="1" applyProtection="1">
      <alignment horizontal="center" vertical="center"/>
      <protection locked="0"/>
    </xf>
    <xf numFmtId="0" fontId="9" fillId="0" borderId="0" xfId="0" applyFont="1" applyBorder="1" applyAlignment="1" applyProtection="1">
      <alignment horizontal="center" vertical="center"/>
      <protection locked="0"/>
    </xf>
    <xf numFmtId="0" fontId="25" fillId="0" borderId="0" xfId="0" applyFont="1" applyBorder="1" applyAlignment="1" applyProtection="1">
      <alignment horizontal="left" vertical="top" wrapText="1"/>
      <protection hidden="1"/>
    </xf>
    <xf numFmtId="0" fontId="3" fillId="0" borderId="0" xfId="0" applyFont="1" applyBorder="1" applyAlignment="1" applyProtection="1">
      <alignment horizontal="left" vertical="top" wrapText="1"/>
      <protection hidden="1"/>
    </xf>
    <xf numFmtId="0" fontId="3" fillId="0" borderId="0" xfId="0" applyFont="1" applyBorder="1" applyAlignment="1" applyProtection="1">
      <alignment horizontal="center" vertical="center"/>
      <protection hidden="1"/>
    </xf>
    <xf numFmtId="0" fontId="3" fillId="0" borderId="0" xfId="0" applyFont="1" applyBorder="1" applyAlignment="1" applyProtection="1">
      <alignment horizontal="left" vertical="center"/>
      <protection hidden="1"/>
    </xf>
    <xf numFmtId="0" fontId="3" fillId="3" borderId="140" xfId="0" applyNumberFormat="1" applyFont="1" applyFill="1" applyBorder="1" applyAlignment="1" applyProtection="1">
      <alignment horizontal="left" vertical="top"/>
      <protection locked="0"/>
    </xf>
    <xf numFmtId="0" fontId="3" fillId="3" borderId="119" xfId="0" applyNumberFormat="1" applyFont="1" applyFill="1" applyBorder="1" applyAlignment="1" applyProtection="1">
      <alignment horizontal="left" vertical="top"/>
      <protection locked="0"/>
    </xf>
    <xf numFmtId="0" fontId="3" fillId="3" borderId="141" xfId="0" applyNumberFormat="1" applyFont="1" applyFill="1" applyBorder="1" applyAlignment="1" applyProtection="1">
      <alignment horizontal="left" vertical="top"/>
      <protection locked="0"/>
    </xf>
    <xf numFmtId="0" fontId="3" fillId="0" borderId="0" xfId="0" applyFont="1" applyAlignment="1" applyProtection="1">
      <alignment horizontal="center" vertical="center"/>
    </xf>
    <xf numFmtId="0" fontId="3" fillId="0" borderId="0" xfId="0" applyNumberFormat="1" applyFont="1" applyAlignment="1" applyProtection="1">
      <alignment horizontal="center" vertical="center"/>
      <protection locked="0"/>
    </xf>
    <xf numFmtId="0" fontId="63" fillId="0" borderId="0" xfId="0" applyNumberFormat="1" applyFont="1" applyAlignment="1" applyProtection="1">
      <alignment horizontal="center" vertical="center"/>
    </xf>
    <xf numFmtId="0" fontId="9" fillId="2" borderId="137" xfId="0" applyFont="1" applyFill="1" applyBorder="1" applyAlignment="1" applyProtection="1">
      <alignment horizontal="center" vertical="center"/>
    </xf>
    <xf numFmtId="0" fontId="9" fillId="2" borderId="138" xfId="0" applyFont="1" applyFill="1" applyBorder="1" applyAlignment="1" applyProtection="1">
      <alignment horizontal="center" vertical="center"/>
    </xf>
    <xf numFmtId="0" fontId="9" fillId="2" borderId="139" xfId="0" applyFont="1" applyFill="1" applyBorder="1" applyAlignment="1" applyProtection="1">
      <alignment horizontal="center" vertical="center"/>
    </xf>
    <xf numFmtId="0" fontId="3" fillId="0" borderId="0" xfId="0" applyFont="1" applyAlignment="1" applyProtection="1">
      <alignment horizontal="left" vertical="center"/>
    </xf>
    <xf numFmtId="0" fontId="9" fillId="2" borderId="137" xfId="0" applyFont="1" applyFill="1" applyBorder="1" applyAlignment="1" applyProtection="1">
      <alignment horizontal="center" vertical="center" wrapText="1"/>
    </xf>
    <xf numFmtId="0" fontId="9" fillId="2" borderId="138" xfId="0" applyFont="1" applyFill="1" applyBorder="1" applyAlignment="1" applyProtection="1">
      <alignment horizontal="center" vertical="center" wrapText="1"/>
    </xf>
    <xf numFmtId="0" fontId="9" fillId="2" borderId="139" xfId="0" applyFont="1" applyFill="1" applyBorder="1" applyAlignment="1" applyProtection="1">
      <alignment horizontal="center" vertical="center" wrapText="1"/>
    </xf>
    <xf numFmtId="0" fontId="3" fillId="5" borderId="162" xfId="0" applyFont="1" applyFill="1" applyBorder="1" applyAlignment="1" applyProtection="1">
      <alignment horizontal="center" vertical="center" wrapText="1"/>
      <protection locked="0"/>
    </xf>
    <xf numFmtId="0" fontId="3" fillId="5" borderId="169" xfId="0" applyFont="1" applyFill="1" applyBorder="1" applyAlignment="1" applyProtection="1">
      <alignment horizontal="center" vertical="center" wrapText="1"/>
      <protection locked="0"/>
    </xf>
    <xf numFmtId="0" fontId="3" fillId="5" borderId="121" xfId="0" applyFont="1" applyFill="1" applyBorder="1" applyAlignment="1" applyProtection="1">
      <alignment horizontal="center" vertical="center" wrapText="1"/>
      <protection locked="0"/>
    </xf>
    <xf numFmtId="0" fontId="3" fillId="5" borderId="164" xfId="0" applyFont="1" applyFill="1" applyBorder="1" applyAlignment="1" applyProtection="1">
      <alignment horizontal="center" vertical="center" wrapText="1"/>
      <protection locked="0"/>
    </xf>
    <xf numFmtId="0" fontId="25" fillId="3" borderId="164" xfId="0" applyNumberFormat="1" applyFont="1" applyFill="1" applyBorder="1" applyAlignment="1" applyProtection="1">
      <alignment horizontal="center" vertical="center" wrapText="1"/>
      <protection locked="0" hidden="1"/>
    </xf>
    <xf numFmtId="0" fontId="25" fillId="3" borderId="121" xfId="0" applyNumberFormat="1" applyFont="1" applyFill="1" applyBorder="1" applyAlignment="1" applyProtection="1">
      <alignment horizontal="center" vertical="center" wrapText="1"/>
      <protection locked="0" hidden="1"/>
    </xf>
    <xf numFmtId="0" fontId="25" fillId="3" borderId="162" xfId="0" applyNumberFormat="1" applyFont="1" applyFill="1" applyBorder="1" applyAlignment="1" applyProtection="1">
      <alignment horizontal="center" vertical="center" wrapText="1"/>
      <protection locked="0" hidden="1"/>
    </xf>
    <xf numFmtId="0" fontId="25" fillId="3" borderId="169" xfId="0" applyNumberFormat="1" applyFont="1" applyFill="1" applyBorder="1" applyAlignment="1" applyProtection="1">
      <alignment horizontal="center" vertical="center" wrapText="1"/>
      <protection locked="0" hidden="1"/>
    </xf>
    <xf numFmtId="0" fontId="25" fillId="0" borderId="211" xfId="0" applyFont="1" applyBorder="1" applyAlignment="1" applyProtection="1">
      <alignment horizontal="left" vertical="top" wrapText="1"/>
      <protection hidden="1"/>
    </xf>
    <xf numFmtId="0" fontId="25" fillId="0" borderId="123" xfId="0" applyFont="1" applyBorder="1" applyAlignment="1" applyProtection="1">
      <alignment horizontal="left" vertical="top" wrapText="1"/>
      <protection hidden="1"/>
    </xf>
    <xf numFmtId="0" fontId="25" fillId="0" borderId="147" xfId="0" applyFont="1" applyBorder="1" applyAlignment="1" applyProtection="1">
      <alignment horizontal="left" vertical="top" wrapText="1"/>
      <protection hidden="1"/>
    </xf>
    <xf numFmtId="0" fontId="25" fillId="0" borderId="114" xfId="0" applyFont="1" applyBorder="1" applyAlignment="1" applyProtection="1">
      <alignment horizontal="left" vertical="top" wrapText="1"/>
      <protection hidden="1"/>
    </xf>
    <xf numFmtId="0" fontId="25" fillId="0" borderId="117" xfId="0" applyFont="1" applyBorder="1" applyAlignment="1" applyProtection="1">
      <alignment horizontal="left" vertical="top" wrapText="1"/>
      <protection hidden="1"/>
    </xf>
    <xf numFmtId="0" fontId="25" fillId="0" borderId="145" xfId="0" applyFont="1" applyBorder="1" applyAlignment="1" applyProtection="1">
      <alignment horizontal="left" vertical="top" wrapText="1"/>
      <protection hidden="1"/>
    </xf>
    <xf numFmtId="0" fontId="3" fillId="0" borderId="142" xfId="0" applyFont="1" applyBorder="1" applyAlignment="1" applyProtection="1">
      <alignment horizontal="center" vertical="center"/>
      <protection hidden="1"/>
    </xf>
    <xf numFmtId="0" fontId="3" fillId="0" borderId="113" xfId="0" applyFont="1" applyBorder="1" applyAlignment="1" applyProtection="1">
      <alignment horizontal="center" vertical="center"/>
      <protection hidden="1"/>
    </xf>
    <xf numFmtId="0" fontId="3" fillId="0" borderId="144" xfId="0" applyFont="1" applyBorder="1" applyAlignment="1" applyProtection="1">
      <alignment horizontal="center" vertical="center"/>
      <protection hidden="1"/>
    </xf>
    <xf numFmtId="0" fontId="3" fillId="0" borderId="115" xfId="0" applyFont="1" applyBorder="1" applyAlignment="1" applyProtection="1">
      <alignment horizontal="center" vertical="center"/>
      <protection hidden="1"/>
    </xf>
    <xf numFmtId="0" fontId="3" fillId="9" borderId="142" xfId="0" applyNumberFormat="1" applyFont="1" applyFill="1" applyBorder="1" applyAlignment="1" applyProtection="1">
      <alignment horizontal="center" vertical="center"/>
      <protection hidden="1"/>
    </xf>
    <xf numFmtId="0" fontId="3" fillId="9" borderId="113" xfId="0" applyNumberFormat="1" applyFont="1" applyFill="1" applyBorder="1" applyAlignment="1" applyProtection="1">
      <alignment horizontal="center" vertical="center"/>
      <protection hidden="1"/>
    </xf>
    <xf numFmtId="0" fontId="3" fillId="9" borderId="144" xfId="0" applyNumberFormat="1" applyFont="1" applyFill="1" applyBorder="1" applyAlignment="1" applyProtection="1">
      <alignment horizontal="center" vertical="center"/>
      <protection hidden="1"/>
    </xf>
    <xf numFmtId="0" fontId="3" fillId="9" borderId="115" xfId="0" applyNumberFormat="1" applyFont="1" applyFill="1" applyBorder="1" applyAlignment="1" applyProtection="1">
      <alignment horizontal="center" vertical="center"/>
      <protection hidden="1"/>
    </xf>
    <xf numFmtId="0" fontId="3" fillId="0" borderId="171" xfId="0" applyFont="1" applyBorder="1" applyAlignment="1" applyProtection="1">
      <alignment horizontal="center" vertical="center"/>
      <protection hidden="1"/>
    </xf>
    <xf numFmtId="0" fontId="3" fillId="0" borderId="201" xfId="0" applyFont="1" applyBorder="1" applyAlignment="1" applyProtection="1">
      <alignment horizontal="center" vertical="center"/>
      <protection hidden="1"/>
    </xf>
    <xf numFmtId="0" fontId="25" fillId="0" borderId="112" xfId="0" applyFont="1" applyBorder="1" applyAlignment="1" applyProtection="1">
      <alignment horizontal="left" vertical="top" wrapText="1"/>
      <protection hidden="1"/>
    </xf>
    <xf numFmtId="0" fontId="25" fillId="0" borderId="116" xfId="0" applyFont="1" applyBorder="1" applyAlignment="1" applyProtection="1">
      <alignment horizontal="left" vertical="top" wrapText="1"/>
      <protection hidden="1"/>
    </xf>
    <xf numFmtId="0" fontId="25" fillId="0" borderId="143" xfId="0" applyFont="1" applyBorder="1" applyAlignment="1" applyProtection="1">
      <alignment horizontal="left" vertical="top" wrapText="1"/>
      <protection hidden="1"/>
    </xf>
    <xf numFmtId="0" fontId="25" fillId="0" borderId="202" xfId="0" applyFont="1" applyBorder="1" applyAlignment="1" applyProtection="1">
      <alignment horizontal="left" vertical="top" wrapText="1"/>
      <protection hidden="1"/>
    </xf>
    <xf numFmtId="0" fontId="25" fillId="0" borderId="127" xfId="0" applyFont="1" applyBorder="1" applyAlignment="1" applyProtection="1">
      <alignment horizontal="left" vertical="top" wrapText="1"/>
      <protection hidden="1"/>
    </xf>
    <xf numFmtId="0" fontId="25" fillId="0" borderId="172" xfId="0" applyFont="1" applyBorder="1" applyAlignment="1" applyProtection="1">
      <alignment horizontal="left" vertical="top" wrapText="1"/>
      <protection hidden="1"/>
    </xf>
    <xf numFmtId="0" fontId="25" fillId="9" borderId="112" xfId="0" applyNumberFormat="1" applyFont="1" applyFill="1" applyBorder="1" applyAlignment="1" applyProtection="1">
      <alignment horizontal="left" vertical="top" wrapText="1"/>
      <protection hidden="1"/>
    </xf>
    <xf numFmtId="0" fontId="25" fillId="9" borderId="116" xfId="0" applyNumberFormat="1" applyFont="1" applyFill="1" applyBorder="1" applyAlignment="1" applyProtection="1">
      <alignment horizontal="left" vertical="top" wrapText="1"/>
      <protection hidden="1"/>
    </xf>
    <xf numFmtId="0" fontId="25" fillId="9" borderId="143" xfId="0" applyNumberFormat="1" applyFont="1" applyFill="1" applyBorder="1" applyAlignment="1" applyProtection="1">
      <alignment horizontal="left" vertical="top" wrapText="1"/>
      <protection hidden="1"/>
    </xf>
    <xf numFmtId="0" fontId="25" fillId="9" borderId="114" xfId="0" applyNumberFormat="1" applyFont="1" applyFill="1" applyBorder="1" applyAlignment="1" applyProtection="1">
      <alignment horizontal="left" vertical="top" wrapText="1"/>
      <protection hidden="1"/>
    </xf>
    <xf numFmtId="0" fontId="25" fillId="9" borderId="117" xfId="0" applyNumberFormat="1" applyFont="1" applyFill="1" applyBorder="1" applyAlignment="1" applyProtection="1">
      <alignment horizontal="left" vertical="top" wrapText="1"/>
      <protection hidden="1"/>
    </xf>
    <xf numFmtId="0" fontId="25" fillId="9" borderId="145" xfId="0" applyNumberFormat="1" applyFont="1" applyFill="1" applyBorder="1" applyAlignment="1" applyProtection="1">
      <alignment horizontal="left" vertical="top" wrapText="1"/>
      <protection hidden="1"/>
    </xf>
    <xf numFmtId="0" fontId="65" fillId="0" borderId="146" xfId="0" applyFont="1" applyBorder="1" applyAlignment="1" applyProtection="1">
      <alignment horizontal="left" vertical="top" wrapText="1"/>
      <protection locked="0" hidden="1"/>
    </xf>
    <xf numFmtId="0" fontId="65" fillId="0" borderId="123" xfId="0" applyFont="1" applyBorder="1" applyAlignment="1" applyProtection="1">
      <alignment horizontal="left" vertical="top" wrapText="1"/>
      <protection locked="0" hidden="1"/>
    </xf>
    <xf numFmtId="0" fontId="65" fillId="0" borderId="147" xfId="0" applyFont="1" applyBorder="1" applyAlignment="1" applyProtection="1">
      <alignment horizontal="left" vertical="top" wrapText="1"/>
      <protection locked="0" hidden="1"/>
    </xf>
    <xf numFmtId="0" fontId="65" fillId="0" borderId="4" xfId="0" applyFont="1" applyBorder="1" applyAlignment="1" applyProtection="1">
      <alignment horizontal="left" vertical="top" wrapText="1"/>
      <protection locked="0" hidden="1"/>
    </xf>
    <xf numFmtId="0" fontId="65" fillId="0" borderId="0" xfId="0" applyFont="1" applyBorder="1" applyAlignment="1" applyProtection="1">
      <alignment horizontal="left" vertical="top" wrapText="1"/>
      <protection locked="0" hidden="1"/>
    </xf>
    <xf numFmtId="0" fontId="65" fillId="0" borderId="5" xfId="0" applyFont="1" applyBorder="1" applyAlignment="1" applyProtection="1">
      <alignment horizontal="left" vertical="top" wrapText="1"/>
      <protection locked="0" hidden="1"/>
    </xf>
    <xf numFmtId="0" fontId="65" fillId="0" borderId="6" xfId="0" applyFont="1" applyBorder="1" applyAlignment="1" applyProtection="1">
      <alignment horizontal="left" vertical="top" wrapText="1"/>
      <protection locked="0" hidden="1"/>
    </xf>
    <xf numFmtId="0" fontId="65" fillId="0" borderId="7" xfId="0" applyFont="1" applyBorder="1" applyAlignment="1" applyProtection="1">
      <alignment horizontal="left" vertical="top" wrapText="1"/>
      <protection locked="0" hidden="1"/>
    </xf>
    <xf numFmtId="0" fontId="65" fillId="0" borderId="8" xfId="0" applyFont="1" applyBorder="1" applyAlignment="1" applyProtection="1">
      <alignment horizontal="left" vertical="top" wrapText="1"/>
      <protection locked="0" hidden="1"/>
    </xf>
    <xf numFmtId="0" fontId="9" fillId="2" borderId="151" xfId="0" applyFont="1" applyFill="1" applyBorder="1" applyAlignment="1" applyProtection="1">
      <alignment horizontal="center" vertical="center" wrapText="1"/>
    </xf>
    <xf numFmtId="0" fontId="9" fillId="2" borderId="152" xfId="0" applyFont="1" applyFill="1" applyBorder="1" applyAlignment="1" applyProtection="1">
      <alignment horizontal="center" vertical="center" wrapText="1"/>
    </xf>
    <xf numFmtId="0" fontId="9" fillId="2" borderId="153" xfId="0" applyFont="1" applyFill="1" applyBorder="1" applyAlignment="1" applyProtection="1">
      <alignment horizontal="center" vertical="center" wrapText="1"/>
    </xf>
    <xf numFmtId="0" fontId="9" fillId="2" borderId="154" xfId="0" applyFont="1" applyFill="1" applyBorder="1" applyAlignment="1" applyProtection="1">
      <alignment horizontal="center" vertical="center" wrapText="1"/>
    </xf>
    <xf numFmtId="0" fontId="9" fillId="2" borderId="120" xfId="0" applyFont="1" applyFill="1" applyBorder="1" applyAlignment="1" applyProtection="1">
      <alignment horizontal="center" vertical="center" wrapText="1"/>
    </xf>
    <xf numFmtId="0" fontId="9" fillId="2" borderId="155" xfId="0" applyFont="1" applyFill="1" applyBorder="1" applyAlignment="1" applyProtection="1">
      <alignment horizontal="center" vertical="center" wrapText="1"/>
    </xf>
    <xf numFmtId="0" fontId="25" fillId="6" borderId="140" xfId="0" applyNumberFormat="1" applyFont="1" applyFill="1" applyBorder="1" applyAlignment="1" applyProtection="1">
      <alignment horizontal="center" vertical="top"/>
      <protection locked="0"/>
    </xf>
    <xf numFmtId="0" fontId="25" fillId="6" borderId="119" xfId="0" applyNumberFormat="1" applyFont="1" applyFill="1" applyBorder="1" applyAlignment="1" applyProtection="1">
      <alignment horizontal="center" vertical="top"/>
      <protection locked="0"/>
    </xf>
    <xf numFmtId="0" fontId="25" fillId="6" borderId="141" xfId="0" applyNumberFormat="1" applyFont="1" applyFill="1" applyBorder="1" applyAlignment="1" applyProtection="1">
      <alignment horizontal="center" vertical="top"/>
      <protection locked="0"/>
    </xf>
    <xf numFmtId="0" fontId="3" fillId="3" borderId="148" xfId="0" applyNumberFormat="1" applyFont="1" applyFill="1" applyBorder="1" applyAlignment="1" applyProtection="1">
      <alignment horizontal="left" vertical="top"/>
      <protection locked="0"/>
    </xf>
    <xf numFmtId="0" fontId="3" fillId="3" borderId="149" xfId="0" applyNumberFormat="1" applyFont="1" applyFill="1" applyBorder="1" applyAlignment="1" applyProtection="1">
      <alignment horizontal="left" vertical="top"/>
      <protection locked="0"/>
    </xf>
    <xf numFmtId="0" fontId="3" fillId="3" borderId="150" xfId="0" applyNumberFormat="1" applyFont="1" applyFill="1" applyBorder="1" applyAlignment="1" applyProtection="1">
      <alignment horizontal="left" vertical="top"/>
      <protection locked="0"/>
    </xf>
    <xf numFmtId="0" fontId="3" fillId="5" borderId="154" xfId="0" applyFont="1" applyFill="1" applyBorder="1" applyAlignment="1" applyProtection="1">
      <alignment horizontal="center" vertical="center"/>
    </xf>
    <xf numFmtId="0" fontId="3" fillId="5" borderId="120" xfId="0" applyFont="1" applyFill="1" applyBorder="1" applyAlignment="1" applyProtection="1">
      <alignment horizontal="center" vertical="center"/>
    </xf>
    <xf numFmtId="0" fontId="3" fillId="5" borderId="185" xfId="0" applyFont="1" applyFill="1" applyBorder="1" applyAlignment="1" applyProtection="1">
      <alignment horizontal="center" vertical="center"/>
    </xf>
    <xf numFmtId="0" fontId="3" fillId="5" borderId="120" xfId="0" applyFont="1" applyFill="1" applyBorder="1" applyAlignment="1" applyProtection="1">
      <alignment horizontal="center" vertical="center" wrapText="1"/>
      <protection locked="0"/>
    </xf>
    <xf numFmtId="0" fontId="9" fillId="2" borderId="151" xfId="0" applyFont="1" applyFill="1" applyBorder="1" applyAlignment="1" applyProtection="1">
      <alignment horizontal="center" vertical="center"/>
    </xf>
    <xf numFmtId="0" fontId="9" fillId="2" borderId="152" xfId="0" applyFont="1" applyFill="1" applyBorder="1" applyAlignment="1" applyProtection="1">
      <alignment horizontal="center" vertical="center"/>
    </xf>
    <xf numFmtId="0" fontId="9" fillId="2" borderId="153" xfId="0" applyFont="1" applyFill="1" applyBorder="1" applyAlignment="1" applyProtection="1">
      <alignment horizontal="center" vertical="center"/>
    </xf>
    <xf numFmtId="0" fontId="25" fillId="6" borderId="166" xfId="0" applyNumberFormat="1" applyFont="1" applyFill="1" applyBorder="1" applyAlignment="1" applyProtection="1">
      <alignment horizontal="left" vertical="top"/>
      <protection locked="0"/>
    </xf>
    <xf numFmtId="0" fontId="25" fillId="5" borderId="162" xfId="0" applyFont="1" applyFill="1" applyBorder="1" applyAlignment="1" applyProtection="1">
      <alignment horizontal="center" vertical="center"/>
    </xf>
    <xf numFmtId="0" fontId="25" fillId="5" borderId="163" xfId="0" applyFont="1" applyFill="1" applyBorder="1" applyAlignment="1" applyProtection="1">
      <alignment horizontal="center" vertical="center"/>
    </xf>
    <xf numFmtId="0" fontId="25" fillId="5" borderId="164" xfId="0" applyFont="1" applyFill="1" applyBorder="1" applyAlignment="1" applyProtection="1">
      <alignment horizontal="center" vertical="center"/>
    </xf>
    <xf numFmtId="0" fontId="3" fillId="3" borderId="164" xfId="0" applyFont="1" applyFill="1" applyBorder="1" applyAlignment="1" applyProtection="1">
      <alignment horizontal="center" vertical="center"/>
    </xf>
    <xf numFmtId="0" fontId="3" fillId="3" borderId="121" xfId="0" applyFont="1" applyFill="1" applyBorder="1" applyAlignment="1" applyProtection="1">
      <alignment horizontal="center" vertical="center"/>
    </xf>
    <xf numFmtId="0" fontId="3" fillId="0" borderId="164" xfId="0" applyFont="1" applyBorder="1" applyAlignment="1" applyProtection="1">
      <alignment horizontal="center" vertical="center"/>
    </xf>
    <xf numFmtId="0" fontId="3" fillId="0" borderId="121" xfId="0" applyFont="1" applyBorder="1" applyAlignment="1" applyProtection="1">
      <alignment horizontal="center" vertical="center"/>
    </xf>
    <xf numFmtId="0" fontId="3" fillId="3" borderId="165" xfId="0" applyFont="1" applyFill="1" applyBorder="1" applyAlignment="1" applyProtection="1">
      <alignment horizontal="center" vertical="center"/>
    </xf>
    <xf numFmtId="0" fontId="3" fillId="3" borderId="166" xfId="0" applyFont="1" applyFill="1" applyBorder="1" applyAlignment="1" applyProtection="1">
      <alignment horizontal="center" vertical="center"/>
    </xf>
    <xf numFmtId="0" fontId="25" fillId="0" borderId="162" xfId="0" applyFont="1" applyBorder="1" applyAlignment="1" applyProtection="1">
      <alignment horizontal="center" vertical="center" wrapText="1"/>
      <protection locked="0"/>
    </xf>
    <xf numFmtId="0" fontId="25" fillId="0" borderId="163" xfId="0" applyFont="1" applyBorder="1" applyAlignment="1" applyProtection="1">
      <alignment horizontal="center" vertical="center" wrapText="1"/>
      <protection locked="0"/>
    </xf>
    <xf numFmtId="0" fontId="25" fillId="0" borderId="183" xfId="0" applyFont="1" applyBorder="1" applyAlignment="1" applyProtection="1">
      <alignment horizontal="center" vertical="center" wrapText="1"/>
      <protection locked="0"/>
    </xf>
    <xf numFmtId="0" fontId="25" fillId="3" borderId="167" xfId="0" applyFont="1" applyFill="1" applyBorder="1" applyAlignment="1" applyProtection="1">
      <alignment horizontal="center" vertical="center" wrapText="1"/>
      <protection locked="0"/>
    </xf>
    <xf numFmtId="0" fontId="25" fillId="3" borderId="168" xfId="0" applyFont="1" applyFill="1" applyBorder="1" applyAlignment="1" applyProtection="1">
      <alignment horizontal="center" vertical="center" wrapText="1"/>
      <protection locked="0"/>
    </xf>
    <xf numFmtId="0" fontId="25" fillId="3" borderId="184" xfId="0" applyFont="1" applyFill="1" applyBorder="1" applyAlignment="1" applyProtection="1">
      <alignment horizontal="center" vertical="center" wrapText="1"/>
      <protection locked="0"/>
    </xf>
    <xf numFmtId="0" fontId="25" fillId="3" borderId="162" xfId="0" applyFont="1" applyFill="1" applyBorder="1" applyAlignment="1" applyProtection="1">
      <alignment horizontal="center" vertical="center"/>
      <protection locked="0"/>
    </xf>
    <xf numFmtId="0" fontId="25" fillId="3" borderId="163" xfId="0" applyFont="1" applyFill="1" applyBorder="1" applyAlignment="1" applyProtection="1">
      <alignment horizontal="center" vertical="center"/>
      <protection locked="0"/>
    </xf>
    <xf numFmtId="0" fontId="25" fillId="3" borderId="121" xfId="0" applyFont="1" applyFill="1" applyBorder="1" applyAlignment="1" applyProtection="1">
      <alignment horizontal="center" vertical="center"/>
      <protection locked="0"/>
    </xf>
    <xf numFmtId="0" fontId="25" fillId="0" borderId="162" xfId="0" applyFont="1" applyBorder="1" applyAlignment="1" applyProtection="1">
      <alignment horizontal="center" vertical="center"/>
      <protection locked="0"/>
    </xf>
    <xf numFmtId="0" fontId="25" fillId="0" borderId="163" xfId="0" applyFont="1" applyBorder="1" applyAlignment="1" applyProtection="1">
      <alignment horizontal="center" vertical="center"/>
      <protection locked="0"/>
    </xf>
    <xf numFmtId="0" fontId="25" fillId="0" borderId="121" xfId="0" applyFont="1" applyBorder="1" applyAlignment="1" applyProtection="1">
      <alignment horizontal="center" vertical="center"/>
      <protection locked="0"/>
    </xf>
    <xf numFmtId="0" fontId="25" fillId="3" borderId="164" xfId="0" applyNumberFormat="1" applyFont="1" applyFill="1" applyBorder="1" applyAlignment="1" applyProtection="1">
      <alignment horizontal="left" vertical="center"/>
      <protection locked="0"/>
    </xf>
    <xf numFmtId="0" fontId="25" fillId="3" borderId="163" xfId="0" applyNumberFormat="1" applyFont="1" applyFill="1" applyBorder="1" applyAlignment="1" applyProtection="1">
      <alignment horizontal="left" vertical="center"/>
      <protection locked="0"/>
    </xf>
    <xf numFmtId="0" fontId="25" fillId="3" borderId="169" xfId="0" applyNumberFormat="1" applyFont="1" applyFill="1" applyBorder="1" applyAlignment="1" applyProtection="1">
      <alignment horizontal="left" vertical="center"/>
      <protection locked="0"/>
    </xf>
    <xf numFmtId="0" fontId="25" fillId="6" borderId="169" xfId="0" applyNumberFormat="1" applyFont="1" applyFill="1" applyBorder="1" applyAlignment="1" applyProtection="1">
      <alignment horizontal="left" vertical="top"/>
      <protection locked="0"/>
    </xf>
    <xf numFmtId="0" fontId="25" fillId="3" borderId="169" xfId="0" applyNumberFormat="1" applyFont="1" applyFill="1" applyBorder="1" applyAlignment="1" applyProtection="1">
      <alignment horizontal="left" vertical="top"/>
      <protection locked="0"/>
    </xf>
    <xf numFmtId="0" fontId="3" fillId="0" borderId="66" xfId="0" applyFont="1" applyBorder="1" applyAlignment="1">
      <alignment horizontal="center" vertical="center" textRotation="255"/>
    </xf>
    <xf numFmtId="0" fontId="3" fillId="0" borderId="5" xfId="0" applyFont="1" applyBorder="1" applyAlignment="1">
      <alignment horizontal="center" vertical="center" textRotation="255"/>
    </xf>
    <xf numFmtId="0" fontId="3" fillId="0" borderId="67" xfId="0" applyFont="1" applyBorder="1" applyAlignment="1">
      <alignment horizontal="center" vertical="center" textRotation="255"/>
    </xf>
    <xf numFmtId="0" fontId="3" fillId="0" borderId="0" xfId="0" applyFont="1" applyAlignment="1">
      <alignment horizontal="center" vertical="center"/>
    </xf>
    <xf numFmtId="0" fontId="9" fillId="2" borderId="1" xfId="0" applyFont="1" applyFill="1" applyBorder="1" applyAlignment="1" applyProtection="1">
      <alignment horizontal="center" vertical="center"/>
    </xf>
    <xf numFmtId="0" fontId="9" fillId="2" borderId="3" xfId="0" applyFont="1" applyFill="1" applyBorder="1" applyAlignment="1" applyProtection="1">
      <alignment horizontal="center" vertical="center"/>
    </xf>
    <xf numFmtId="0" fontId="44" fillId="2" borderId="1" xfId="0" applyFont="1" applyFill="1" applyBorder="1" applyAlignment="1" applyProtection="1">
      <alignment horizontal="center" vertical="center" wrapText="1"/>
    </xf>
    <xf numFmtId="0" fontId="44" fillId="2" borderId="2" xfId="0" applyFont="1" applyFill="1" applyBorder="1" applyAlignment="1" applyProtection="1">
      <alignment horizontal="center" vertical="center" wrapText="1"/>
    </xf>
    <xf numFmtId="0" fontId="44" fillId="2" borderId="3" xfId="0" applyFont="1" applyFill="1" applyBorder="1" applyAlignment="1" applyProtection="1">
      <alignment horizontal="center" vertical="center" wrapText="1"/>
    </xf>
    <xf numFmtId="0" fontId="60" fillId="0" borderId="0" xfId="0" applyFont="1" applyBorder="1" applyAlignment="1" applyProtection="1">
      <alignment horizontal="center" vertical="center" textRotation="255" wrapText="1"/>
      <protection locked="0"/>
    </xf>
    <xf numFmtId="0" fontId="52" fillId="3" borderId="7" xfId="0" applyFont="1" applyFill="1" applyBorder="1" applyAlignment="1" applyProtection="1">
      <alignment horizontal="left" vertical="center" wrapText="1"/>
      <protection locked="0"/>
    </xf>
    <xf numFmtId="0" fontId="53" fillId="0" borderId="44" xfId="0" applyFont="1" applyBorder="1" applyAlignment="1" applyProtection="1">
      <alignment horizontal="center" vertical="center" wrapText="1" readingOrder="1"/>
    </xf>
    <xf numFmtId="0" fontId="52" fillId="0" borderId="0" xfId="0" applyFont="1" applyBorder="1" applyAlignment="1" applyProtection="1">
      <alignment horizontal="left" vertical="center" wrapText="1"/>
      <protection locked="0"/>
    </xf>
    <xf numFmtId="0" fontId="52" fillId="3" borderId="0" xfId="0" applyFont="1" applyFill="1" applyBorder="1" applyAlignment="1" applyProtection="1">
      <alignment horizontal="left" vertical="center" wrapText="1"/>
      <protection locked="0"/>
    </xf>
    <xf numFmtId="0" fontId="52" fillId="0" borderId="0" xfId="0" applyFont="1" applyBorder="1" applyAlignment="1" applyProtection="1">
      <alignment horizontal="center" vertical="center" wrapText="1"/>
      <protection locked="0"/>
    </xf>
    <xf numFmtId="0" fontId="52" fillId="0" borderId="107" xfId="0" applyFont="1" applyBorder="1" applyAlignment="1" applyProtection="1">
      <alignment horizontal="center" vertical="center" wrapText="1"/>
      <protection locked="0"/>
    </xf>
    <xf numFmtId="0" fontId="52" fillId="0" borderId="108" xfId="0" applyFont="1" applyBorder="1" applyAlignment="1" applyProtection="1">
      <alignment horizontal="center" vertical="center" wrapText="1"/>
      <protection locked="0"/>
    </xf>
    <xf numFmtId="0" fontId="52" fillId="0" borderId="109" xfId="0" applyFont="1" applyBorder="1" applyAlignment="1" applyProtection="1">
      <alignment horizontal="center" vertical="center" wrapText="1"/>
      <protection locked="0"/>
    </xf>
    <xf numFmtId="0" fontId="52" fillId="0" borderId="110" xfId="0" applyFont="1" applyBorder="1" applyAlignment="1" applyProtection="1">
      <alignment horizontal="center" vertical="center" wrapText="1"/>
      <protection locked="0"/>
    </xf>
    <xf numFmtId="0" fontId="53" fillId="0" borderId="0" xfId="0" applyFont="1" applyBorder="1" applyAlignment="1" applyProtection="1">
      <alignment horizontal="center" vertical="center" wrapText="1"/>
    </xf>
    <xf numFmtId="0" fontId="53" fillId="0" borderId="5" xfId="0" applyFont="1" applyBorder="1" applyAlignment="1" applyProtection="1">
      <alignment horizontal="center" vertical="center" wrapText="1"/>
    </xf>
    <xf numFmtId="0" fontId="54" fillId="15" borderId="32" xfId="6" applyFont="1" applyBorder="1" applyAlignment="1" applyProtection="1">
      <alignment horizontal="center" vertical="center" wrapText="1"/>
      <protection locked="0"/>
    </xf>
    <xf numFmtId="0" fontId="54" fillId="15" borderId="34" xfId="6" applyFont="1" applyBorder="1" applyAlignment="1" applyProtection="1">
      <alignment horizontal="center" vertical="center" wrapText="1"/>
      <protection locked="0"/>
    </xf>
    <xf numFmtId="0" fontId="52" fillId="0" borderId="35" xfId="0" applyFont="1" applyBorder="1" applyAlignment="1" applyProtection="1">
      <alignment horizontal="center" vertical="center" wrapText="1"/>
      <protection locked="0"/>
    </xf>
    <xf numFmtId="0" fontId="52" fillId="0" borderId="36" xfId="0" applyFont="1" applyBorder="1" applyAlignment="1" applyProtection="1">
      <alignment horizontal="center" vertical="center" wrapText="1"/>
      <protection locked="0"/>
    </xf>
    <xf numFmtId="0" fontId="14" fillId="9" borderId="31" xfId="0" applyFont="1" applyFill="1" applyBorder="1" applyAlignment="1" applyProtection="1">
      <alignment horizontal="center" vertical="center" wrapText="1"/>
    </xf>
    <xf numFmtId="0" fontId="14" fillId="9" borderId="36" xfId="0" applyFont="1" applyFill="1" applyBorder="1" applyAlignment="1" applyProtection="1">
      <alignment horizontal="center" vertical="center" wrapText="1"/>
    </xf>
    <xf numFmtId="0" fontId="14" fillId="0" borderId="35" xfId="0" applyFont="1" applyBorder="1" applyAlignment="1" applyProtection="1">
      <alignment horizontal="center" vertical="center" wrapText="1"/>
    </xf>
    <xf numFmtId="0" fontId="14" fillId="0" borderId="31" xfId="0" applyFont="1" applyBorder="1" applyAlignment="1" applyProtection="1">
      <alignment horizontal="center" vertical="center" wrapText="1"/>
    </xf>
    <xf numFmtId="0" fontId="14" fillId="9" borderId="35" xfId="0" applyFont="1" applyFill="1" applyBorder="1" applyAlignment="1" applyProtection="1">
      <alignment horizontal="center" vertical="center" wrapText="1"/>
    </xf>
    <xf numFmtId="0" fontId="14" fillId="9" borderId="37" xfId="0" applyFont="1" applyFill="1" applyBorder="1" applyAlignment="1" applyProtection="1">
      <alignment horizontal="center" vertical="center" wrapText="1"/>
    </xf>
    <xf numFmtId="0" fontId="14" fillId="9" borderId="38" xfId="0" applyFont="1" applyFill="1" applyBorder="1" applyAlignment="1" applyProtection="1">
      <alignment horizontal="center" vertical="center" wrapText="1"/>
    </xf>
    <xf numFmtId="0" fontId="14" fillId="0" borderId="38" xfId="0" applyFont="1" applyBorder="1" applyAlignment="1" applyProtection="1">
      <alignment horizontal="center" vertical="center" wrapText="1"/>
    </xf>
    <xf numFmtId="0" fontId="14" fillId="0" borderId="36" xfId="0" applyFont="1" applyBorder="1" applyAlignment="1" applyProtection="1">
      <alignment horizontal="center" vertical="center" wrapText="1"/>
    </xf>
    <xf numFmtId="0" fontId="14" fillId="9" borderId="31" xfId="0" applyNumberFormat="1" applyFont="1" applyFill="1" applyBorder="1" applyAlignment="1" applyProtection="1">
      <alignment horizontal="center" vertical="center" wrapText="1"/>
    </xf>
    <xf numFmtId="0" fontId="14" fillId="9" borderId="36" xfId="0" applyNumberFormat="1" applyFont="1" applyFill="1" applyBorder="1" applyAlignment="1" applyProtection="1">
      <alignment horizontal="center" vertical="center" wrapText="1"/>
    </xf>
    <xf numFmtId="0" fontId="14" fillId="9" borderId="38" xfId="0" applyNumberFormat="1" applyFont="1" applyFill="1" applyBorder="1" applyAlignment="1" applyProtection="1">
      <alignment horizontal="center" vertical="center" wrapText="1"/>
    </xf>
    <xf numFmtId="0" fontId="14" fillId="9" borderId="39" xfId="0" applyNumberFormat="1" applyFont="1" applyFill="1" applyBorder="1" applyAlignment="1" applyProtection="1">
      <alignment horizontal="center" vertical="center" wrapText="1"/>
    </xf>
    <xf numFmtId="0" fontId="13" fillId="8" borderId="32" xfId="0" applyFont="1" applyFill="1" applyBorder="1" applyAlignment="1" applyProtection="1">
      <alignment horizontal="center" vertical="center"/>
    </xf>
    <xf numFmtId="0" fontId="13" fillId="8" borderId="33" xfId="0" applyFont="1" applyFill="1" applyBorder="1" applyAlignment="1" applyProtection="1">
      <alignment horizontal="center" vertical="center"/>
    </xf>
    <xf numFmtId="0" fontId="13" fillId="8" borderId="34" xfId="0" applyFont="1" applyFill="1" applyBorder="1" applyAlignment="1" applyProtection="1">
      <alignment horizontal="center" vertical="center"/>
    </xf>
    <xf numFmtId="0" fontId="10" fillId="2" borderId="21" xfId="0" applyFont="1" applyFill="1" applyBorder="1" applyAlignment="1" applyProtection="1">
      <alignment horizontal="center" vertical="center"/>
    </xf>
    <xf numFmtId="0" fontId="10" fillId="2" borderId="22"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1" fillId="3" borderId="17" xfId="0" applyFont="1" applyFill="1" applyBorder="1" applyAlignment="1" applyProtection="1">
      <alignment horizontal="center" vertical="center" wrapText="1"/>
    </xf>
    <xf numFmtId="0" fontId="11" fillId="3" borderId="9" xfId="0" applyFont="1" applyFill="1" applyBorder="1" applyAlignment="1" applyProtection="1">
      <alignment horizontal="center" vertical="center" wrapText="1"/>
    </xf>
    <xf numFmtId="0" fontId="11" fillId="3" borderId="9" xfId="0" applyFont="1" applyFill="1" applyBorder="1" applyAlignment="1" applyProtection="1">
      <alignment horizontal="center" vertical="center"/>
      <protection locked="0" hidden="1"/>
    </xf>
    <xf numFmtId="1" fontId="11" fillId="3" borderId="9" xfId="0" applyNumberFormat="1" applyFont="1" applyFill="1" applyBorder="1" applyAlignment="1" applyProtection="1">
      <alignment horizontal="center" vertical="center"/>
    </xf>
    <xf numFmtId="0" fontId="11" fillId="0" borderId="9" xfId="0" applyFont="1" applyBorder="1" applyAlignment="1" applyProtection="1">
      <alignment horizontal="center" vertical="center" wrapText="1"/>
    </xf>
    <xf numFmtId="0" fontId="11" fillId="0" borderId="9" xfId="0" applyFont="1" applyBorder="1" applyAlignment="1" applyProtection="1">
      <alignment horizontal="center" vertical="center"/>
      <protection locked="0" hidden="1"/>
    </xf>
    <xf numFmtId="1" fontId="11" fillId="0" borderId="9" xfId="0" applyNumberFormat="1" applyFont="1" applyBorder="1" applyAlignment="1" applyProtection="1">
      <alignment horizontal="center" vertical="center"/>
    </xf>
    <xf numFmtId="1" fontId="11" fillId="3" borderId="18" xfId="0" applyNumberFormat="1" applyFont="1" applyFill="1" applyBorder="1" applyAlignment="1" applyProtection="1">
      <alignment horizontal="center" vertical="center"/>
    </xf>
    <xf numFmtId="0" fontId="11" fillId="3" borderId="9" xfId="0" applyFont="1" applyFill="1" applyBorder="1" applyAlignment="1" applyProtection="1">
      <alignment horizontal="center" vertical="center"/>
    </xf>
    <xf numFmtId="0" fontId="3" fillId="4" borderId="9" xfId="0" applyFont="1" applyFill="1" applyBorder="1" applyAlignment="1" applyProtection="1">
      <alignment horizontal="center" vertical="center"/>
    </xf>
    <xf numFmtId="0" fontId="3" fillId="4" borderId="18" xfId="0" applyFont="1" applyFill="1" applyBorder="1" applyAlignment="1" applyProtection="1">
      <alignment horizontal="center" vertical="center"/>
    </xf>
    <xf numFmtId="0" fontId="11" fillId="0" borderId="18" xfId="0" applyFont="1" applyBorder="1" applyAlignment="1" applyProtection="1">
      <alignment horizontal="center" vertical="center"/>
      <protection locked="0" hidden="1"/>
    </xf>
    <xf numFmtId="0" fontId="11" fillId="0" borderId="20" xfId="0" applyFont="1" applyBorder="1" applyAlignment="1" applyProtection="1">
      <alignment horizontal="center" vertical="center"/>
      <protection locked="0" hidden="1"/>
    </xf>
    <xf numFmtId="0" fontId="11" fillId="0" borderId="24" xfId="0" applyFont="1" applyBorder="1" applyAlignment="1" applyProtection="1">
      <alignment horizontal="center" vertical="center"/>
      <protection locked="0" hidden="1"/>
    </xf>
    <xf numFmtId="1" fontId="11" fillId="0" borderId="18" xfId="0" applyNumberFormat="1" applyFont="1" applyBorder="1" applyAlignment="1" applyProtection="1">
      <alignment horizontal="center" vertical="center"/>
    </xf>
    <xf numFmtId="0" fontId="11" fillId="0" borderId="9" xfId="0" applyFont="1" applyBorder="1" applyAlignment="1" applyProtection="1">
      <alignment horizontal="center" vertical="center"/>
    </xf>
    <xf numFmtId="0" fontId="11" fillId="0" borderId="17" xfId="0" applyFont="1" applyBorder="1" applyAlignment="1" applyProtection="1">
      <alignment horizontal="center" vertical="center" wrapText="1"/>
    </xf>
    <xf numFmtId="0" fontId="44" fillId="2" borderId="1" xfId="0" applyFont="1" applyFill="1" applyBorder="1" applyAlignment="1" applyProtection="1">
      <alignment horizontal="center" vertical="center"/>
    </xf>
    <xf numFmtId="0" fontId="44" fillId="2" borderId="3" xfId="0" applyFont="1" applyFill="1" applyBorder="1" applyAlignment="1" applyProtection="1">
      <alignment horizontal="center" vertical="center"/>
    </xf>
    <xf numFmtId="0" fontId="11" fillId="0" borderId="4" xfId="0" applyFont="1" applyBorder="1" applyAlignment="1" applyProtection="1">
      <alignment horizontal="center" vertical="center"/>
      <protection locked="0" hidden="1"/>
    </xf>
    <xf numFmtId="0" fontId="11" fillId="0" borderId="5" xfId="0" applyFont="1" applyBorder="1" applyAlignment="1" applyProtection="1">
      <alignment horizontal="center" vertical="center"/>
      <protection locked="0" hidden="1"/>
    </xf>
    <xf numFmtId="0" fontId="11" fillId="0" borderId="6" xfId="0" applyFont="1" applyBorder="1" applyAlignment="1" applyProtection="1">
      <alignment horizontal="center" vertical="center"/>
      <protection locked="0" hidden="1"/>
    </xf>
    <xf numFmtId="0" fontId="11" fillId="0" borderId="8" xfId="0" applyFont="1" applyBorder="1" applyAlignment="1" applyProtection="1">
      <alignment horizontal="center" vertical="center"/>
      <protection locked="0" hidden="1"/>
    </xf>
    <xf numFmtId="0" fontId="7" fillId="2" borderId="1" xfId="0" applyFont="1" applyFill="1" applyBorder="1" applyAlignment="1" applyProtection="1">
      <alignment horizontal="center" vertical="center"/>
      <protection locked="0" hidden="1"/>
    </xf>
    <xf numFmtId="0" fontId="18" fillId="2" borderId="3" xfId="0" applyFont="1" applyFill="1" applyBorder="1" applyAlignment="1" applyProtection="1">
      <alignment horizontal="center" vertical="center"/>
      <protection locked="0" hidden="1"/>
    </xf>
    <xf numFmtId="0" fontId="11" fillId="3" borderId="27" xfId="0" applyFont="1" applyFill="1" applyBorder="1" applyAlignment="1" applyProtection="1">
      <alignment horizontal="center" vertical="center"/>
    </xf>
    <xf numFmtId="0" fontId="11" fillId="3" borderId="28" xfId="0" applyFont="1" applyFill="1" applyBorder="1" applyAlignment="1" applyProtection="1">
      <alignment horizontal="center" vertical="center"/>
    </xf>
    <xf numFmtId="0" fontId="11" fillId="3" borderId="29" xfId="0" applyFont="1" applyFill="1" applyBorder="1" applyAlignment="1" applyProtection="1">
      <alignment horizontal="center" vertical="center"/>
    </xf>
    <xf numFmtId="0" fontId="11" fillId="3" borderId="20" xfId="0" applyFont="1" applyFill="1" applyBorder="1" applyAlignment="1" applyProtection="1">
      <alignment horizontal="center" vertical="center"/>
    </xf>
    <xf numFmtId="1" fontId="11" fillId="0" borderId="20" xfId="0" applyNumberFormat="1" applyFont="1" applyBorder="1" applyAlignment="1" applyProtection="1">
      <alignment horizontal="center" vertical="center"/>
    </xf>
    <xf numFmtId="0" fontId="11" fillId="3" borderId="10" xfId="0" applyFont="1" applyFill="1" applyBorder="1" applyAlignment="1" applyProtection="1">
      <alignment horizontal="center" vertical="center" wrapText="1"/>
    </xf>
    <xf numFmtId="0" fontId="11" fillId="3" borderId="11" xfId="0" applyFont="1" applyFill="1" applyBorder="1" applyAlignment="1" applyProtection="1">
      <alignment horizontal="center" vertical="center" wrapText="1"/>
    </xf>
    <xf numFmtId="0" fontId="11" fillId="3" borderId="26" xfId="0" applyFont="1" applyFill="1" applyBorder="1" applyAlignment="1" applyProtection="1">
      <alignment horizontal="center" vertical="center" wrapText="1"/>
    </xf>
    <xf numFmtId="0" fontId="11" fillId="3" borderId="25" xfId="0" applyFont="1" applyFill="1" applyBorder="1" applyAlignment="1" applyProtection="1">
      <alignment horizontal="center" vertical="center" wrapText="1"/>
    </xf>
    <xf numFmtId="0" fontId="11" fillId="3" borderId="7" xfId="0" applyFont="1" applyFill="1" applyBorder="1" applyAlignment="1" applyProtection="1">
      <alignment horizontal="center" vertical="center" wrapText="1"/>
    </xf>
    <xf numFmtId="0" fontId="11" fillId="3" borderId="8" xfId="0" applyFont="1" applyFill="1" applyBorder="1" applyAlignment="1" applyProtection="1">
      <alignment horizontal="center" vertical="center" wrapText="1"/>
    </xf>
    <xf numFmtId="0" fontId="11" fillId="3" borderId="19" xfId="0" applyFont="1" applyFill="1" applyBorder="1" applyAlignment="1" applyProtection="1">
      <alignment horizontal="center" vertical="center" wrapText="1"/>
    </xf>
    <xf numFmtId="0" fontId="11" fillId="3" borderId="20" xfId="0" applyFont="1" applyFill="1" applyBorder="1" applyAlignment="1" applyProtection="1">
      <alignment horizontal="center" vertical="center" wrapText="1"/>
    </xf>
    <xf numFmtId="0" fontId="11" fillId="3" borderId="20" xfId="0" applyFont="1" applyFill="1" applyBorder="1" applyAlignment="1" applyProtection="1">
      <alignment horizontal="center" vertical="center"/>
      <protection locked="0" hidden="1"/>
    </xf>
    <xf numFmtId="0" fontId="11" fillId="0" borderId="20" xfId="0" applyFont="1" applyBorder="1" applyAlignment="1" applyProtection="1">
      <alignment horizontal="center" vertical="center" wrapText="1"/>
    </xf>
    <xf numFmtId="0" fontId="3" fillId="4" borderId="17" xfId="0" applyFont="1" applyFill="1" applyBorder="1" applyAlignment="1" applyProtection="1">
      <alignment horizontal="center" vertical="center"/>
    </xf>
    <xf numFmtId="0" fontId="11" fillId="0" borderId="17" xfId="0" applyFont="1" applyBorder="1" applyAlignment="1" applyProtection="1">
      <alignment horizontal="center" vertical="center"/>
      <protection locked="0" hidden="1"/>
    </xf>
    <xf numFmtId="0" fontId="11" fillId="0" borderId="19" xfId="0" applyFont="1" applyBorder="1" applyAlignment="1" applyProtection="1">
      <alignment horizontal="center" vertical="center"/>
      <protection locked="0" hidden="1"/>
    </xf>
    <xf numFmtId="0" fontId="19" fillId="0" borderId="7" xfId="1" applyFont="1" applyBorder="1" applyAlignment="1">
      <alignment horizontal="center" vertical="center"/>
    </xf>
    <xf numFmtId="0" fontId="70" fillId="0" borderId="60" xfId="0" applyFont="1" applyBorder="1" applyAlignment="1">
      <alignment horizontal="left" vertical="center" wrapText="1"/>
    </xf>
    <xf numFmtId="0" fontId="70" fillId="0" borderId="0" xfId="0" applyFont="1" applyAlignment="1">
      <alignment horizontal="left" vertical="center" wrapText="1"/>
    </xf>
    <xf numFmtId="0" fontId="20" fillId="6" borderId="45" xfId="0" applyFont="1" applyFill="1" applyBorder="1" applyAlignment="1">
      <alignment horizontal="center" vertical="center" wrapText="1"/>
    </xf>
    <xf numFmtId="0" fontId="5" fillId="2" borderId="51" xfId="0" applyFont="1" applyFill="1" applyBorder="1" applyAlignment="1" applyProtection="1">
      <alignment horizontal="center" vertical="center"/>
      <protection hidden="1"/>
    </xf>
    <xf numFmtId="0" fontId="5" fillId="2" borderId="52" xfId="0" applyFont="1" applyFill="1" applyBorder="1" applyAlignment="1" applyProtection="1">
      <alignment horizontal="center" vertical="center"/>
      <protection hidden="1"/>
    </xf>
    <xf numFmtId="0" fontId="5" fillId="2" borderId="51" xfId="0" applyFont="1" applyFill="1" applyBorder="1" applyAlignment="1" applyProtection="1">
      <alignment horizontal="center" vertical="center" wrapText="1"/>
      <protection locked="0"/>
    </xf>
    <xf numFmtId="0" fontId="5" fillId="2" borderId="52"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52" xfId="0" applyFont="1" applyFill="1" applyBorder="1" applyAlignment="1" applyProtection="1">
      <alignment horizontal="center" vertical="center"/>
      <protection locked="0"/>
    </xf>
    <xf numFmtId="0" fontId="1" fillId="0" borderId="0" xfId="0" applyFont="1" applyAlignment="1">
      <alignment horizontal="center" vertical="center" wrapText="1"/>
    </xf>
    <xf numFmtId="0" fontId="1" fillId="5" borderId="4"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8" fillId="0" borderId="209" xfId="0" applyFont="1" applyBorder="1" applyAlignment="1">
      <alignment horizontal="center" vertical="center" wrapText="1"/>
    </xf>
    <xf numFmtId="0" fontId="68" fillId="0" borderId="44" xfId="0" applyFont="1" applyBorder="1" applyAlignment="1">
      <alignment horizontal="center" vertical="center" wrapText="1"/>
    </xf>
    <xf numFmtId="0" fontId="68" fillId="0" borderId="210" xfId="0" applyFont="1" applyBorder="1" applyAlignment="1">
      <alignment horizontal="center" vertical="center" wrapText="1"/>
    </xf>
    <xf numFmtId="0" fontId="1" fillId="0" borderId="212" xfId="0" applyFont="1" applyBorder="1" applyAlignment="1">
      <alignment horizontal="center" vertical="center"/>
    </xf>
    <xf numFmtId="0" fontId="1" fillId="0" borderId="213" xfId="0" applyFont="1" applyBorder="1" applyAlignment="1">
      <alignment horizontal="center" vertical="center"/>
    </xf>
    <xf numFmtId="0" fontId="1" fillId="0" borderId="214" xfId="0" applyFont="1" applyBorder="1" applyAlignment="1">
      <alignment horizontal="center" vertical="center"/>
    </xf>
    <xf numFmtId="0" fontId="1" fillId="0" borderId="0" xfId="0" applyFont="1" applyAlignment="1">
      <alignment horizontal="center" vertical="center"/>
    </xf>
    <xf numFmtId="0" fontId="10" fillId="2" borderId="15" xfId="0" applyFont="1" applyFill="1" applyBorder="1" applyAlignment="1" applyProtection="1">
      <alignment horizontal="center" vertical="center"/>
      <protection locked="0"/>
    </xf>
    <xf numFmtId="0" fontId="10" fillId="2" borderId="16" xfId="0" applyFont="1" applyFill="1" applyBorder="1" applyAlignment="1" applyProtection="1">
      <alignment horizontal="center" vertical="center"/>
      <protection locked="0"/>
    </xf>
    <xf numFmtId="0" fontId="10" fillId="2" borderId="81" xfId="0" applyFont="1" applyFill="1" applyBorder="1" applyAlignment="1" applyProtection="1">
      <alignment horizontal="center" vertical="center"/>
      <protection locked="0"/>
    </xf>
    <xf numFmtId="0" fontId="10" fillId="2" borderId="85" xfId="0" applyFont="1" applyFill="1" applyBorder="1" applyAlignment="1" applyProtection="1">
      <alignment horizontal="center" vertical="center"/>
      <protection locked="0"/>
    </xf>
    <xf numFmtId="0" fontId="55" fillId="0" borderId="98" xfId="8" applyFont="1" applyBorder="1" applyAlignment="1" applyProtection="1">
      <alignment horizontal="right" vertical="top" wrapText="1"/>
      <protection locked="0"/>
    </xf>
    <xf numFmtId="0" fontId="55" fillId="0" borderId="93" xfId="8" applyFont="1" applyBorder="1" applyAlignment="1" applyProtection="1">
      <alignment horizontal="right" vertical="top" wrapText="1"/>
      <protection locked="0"/>
    </xf>
    <xf numFmtId="0" fontId="55" fillId="0" borderId="102" xfId="8" applyFont="1" applyBorder="1" applyAlignment="1" applyProtection="1">
      <alignment horizontal="right" vertical="top" wrapText="1"/>
      <protection locked="0"/>
    </xf>
    <xf numFmtId="0" fontId="0" fillId="0" borderId="95" xfId="0" applyBorder="1" applyAlignment="1" applyProtection="1">
      <alignment horizontal="center" vertical="top" wrapText="1"/>
    </xf>
    <xf numFmtId="0" fontId="0" fillId="0" borderId="96" xfId="0" applyBorder="1" applyAlignment="1" applyProtection="1">
      <alignment horizontal="center" vertical="top" wrapText="1"/>
    </xf>
    <xf numFmtId="0" fontId="0" fillId="0" borderId="97" xfId="0" applyBorder="1" applyAlignment="1" applyProtection="1">
      <alignment horizontal="center" vertical="top" wrapText="1"/>
    </xf>
    <xf numFmtId="0" fontId="36" fillId="15" borderId="105" xfId="6" applyFont="1" applyBorder="1" applyAlignment="1" applyProtection="1">
      <alignment horizontal="center" vertical="top" wrapText="1"/>
    </xf>
    <xf numFmtId="0" fontId="36" fillId="15" borderId="215" xfId="6" applyFont="1" applyBorder="1" applyAlignment="1" applyProtection="1">
      <alignment horizontal="center" vertical="top" wrapText="1"/>
    </xf>
    <xf numFmtId="0" fontId="56" fillId="0" borderId="92" xfId="8" applyFont="1" applyBorder="1" applyAlignment="1" applyProtection="1">
      <alignment horizontal="left" vertical="top" wrapText="1"/>
    </xf>
    <xf numFmtId="0" fontId="55" fillId="0" borderId="93" xfId="8" applyFont="1" applyBorder="1" applyAlignment="1" applyProtection="1">
      <alignment horizontal="left" vertical="top" wrapText="1"/>
    </xf>
    <xf numFmtId="0" fontId="55" fillId="0" borderId="94" xfId="8" applyFont="1" applyBorder="1" applyAlignment="1" applyProtection="1">
      <alignment horizontal="left" vertical="top" wrapText="1"/>
    </xf>
    <xf numFmtId="0" fontId="40" fillId="16" borderId="31" xfId="7" applyFont="1" applyBorder="1" applyAlignment="1" applyProtection="1">
      <alignment horizontal="left" vertical="center"/>
    </xf>
    <xf numFmtId="0" fontId="39" fillId="0" borderId="31" xfId="0" applyFont="1" applyBorder="1" applyAlignment="1" applyProtection="1">
      <alignment horizontal="left" vertical="center" wrapText="1"/>
    </xf>
    <xf numFmtId="0" fontId="39" fillId="0" borderId="31" xfId="0" applyFont="1" applyBorder="1" applyAlignment="1" applyProtection="1">
      <alignment horizontal="left" vertical="center"/>
    </xf>
    <xf numFmtId="0" fontId="46" fillId="0" borderId="106" xfId="8" applyFont="1" applyBorder="1" applyAlignment="1" applyProtection="1">
      <alignment horizontal="left" vertical="top" wrapText="1"/>
      <protection locked="0"/>
    </xf>
    <xf numFmtId="0" fontId="55" fillId="0" borderId="105" xfId="8" applyFont="1" applyBorder="1" applyAlignment="1" applyProtection="1">
      <alignment horizontal="left" vertical="top" wrapText="1"/>
      <protection locked="0"/>
    </xf>
    <xf numFmtId="0" fontId="40" fillId="16" borderId="100" xfId="7" applyFont="1" applyBorder="1" applyAlignment="1" applyProtection="1">
      <alignment horizontal="left" vertical="center"/>
    </xf>
    <xf numFmtId="0" fontId="40" fillId="16" borderId="95" xfId="7" applyFont="1" applyBorder="1" applyAlignment="1" applyProtection="1">
      <alignment horizontal="left" vertical="center"/>
    </xf>
    <xf numFmtId="0" fontId="29" fillId="0" borderId="105" xfId="0" applyFont="1" applyBorder="1" applyAlignment="1" applyProtection="1">
      <alignment horizontal="left" vertical="top" wrapText="1"/>
    </xf>
    <xf numFmtId="0" fontId="29" fillId="0" borderId="104" xfId="0" applyFont="1" applyBorder="1" applyAlignment="1" applyProtection="1">
      <alignment horizontal="left" vertical="top" wrapText="1"/>
    </xf>
    <xf numFmtId="0" fontId="29" fillId="0" borderId="0" xfId="0" applyFont="1" applyBorder="1" applyAlignment="1" applyProtection="1">
      <alignment horizontal="left" vertical="top" wrapText="1"/>
    </xf>
    <xf numFmtId="0" fontId="29" fillId="0" borderId="103" xfId="0" applyFont="1" applyBorder="1" applyAlignment="1" applyProtection="1">
      <alignment horizontal="left" vertical="top" wrapText="1"/>
    </xf>
    <xf numFmtId="0" fontId="0" fillId="0" borderId="99" xfId="0" applyBorder="1" applyAlignment="1" applyProtection="1">
      <alignment horizontal="center" vertical="center"/>
      <protection locked="0"/>
    </xf>
    <xf numFmtId="0" fontId="0" fillId="0" borderId="103" xfId="0" applyBorder="1" applyAlignment="1" applyProtection="1">
      <alignment horizontal="center" vertical="center"/>
      <protection locked="0"/>
    </xf>
    <xf numFmtId="0" fontId="0" fillId="0" borderId="103" xfId="0" applyBorder="1" applyAlignment="1">
      <alignment horizontal="center" vertical="center"/>
    </xf>
    <xf numFmtId="0" fontId="49" fillId="0" borderId="105" xfId="0" applyFont="1" applyBorder="1" applyAlignment="1" applyProtection="1">
      <alignment horizontal="center" vertical="top" wrapText="1"/>
    </xf>
    <xf numFmtId="0" fontId="47" fillId="0" borderId="93" xfId="0" applyFont="1" applyBorder="1" applyAlignment="1" applyProtection="1">
      <alignment horizontal="left" vertical="top" wrapText="1"/>
    </xf>
    <xf numFmtId="0" fontId="47" fillId="0" borderId="104" xfId="0" applyFont="1" applyBorder="1" applyAlignment="1" applyProtection="1">
      <alignment horizontal="left" vertical="top" wrapText="1"/>
    </xf>
    <xf numFmtId="0" fontId="47" fillId="0" borderId="100" xfId="0" applyFont="1" applyBorder="1" applyAlignment="1" applyProtection="1">
      <alignment horizontal="left" vertical="top" wrapText="1"/>
    </xf>
    <xf numFmtId="0" fontId="51" fillId="13" borderId="98" xfId="4" applyFont="1" applyBorder="1" applyAlignment="1" applyProtection="1">
      <alignment horizontal="center" vertical="top" wrapText="1"/>
    </xf>
    <xf numFmtId="0" fontId="23" fillId="13" borderId="104" xfId="4" applyBorder="1" applyAlignment="1" applyProtection="1">
      <alignment horizontal="center" vertical="top" wrapText="1"/>
    </xf>
    <xf numFmtId="0" fontId="39" fillId="0" borderId="92" xfId="0" applyFont="1" applyBorder="1" applyAlignment="1" applyProtection="1">
      <alignment horizontal="left" vertical="top" wrapText="1"/>
    </xf>
    <xf numFmtId="0" fontId="39" fillId="0" borderId="93" xfId="0" applyFont="1" applyBorder="1" applyAlignment="1" applyProtection="1">
      <alignment horizontal="left" vertical="top"/>
    </xf>
    <xf numFmtId="0" fontId="39" fillId="0" borderId="94" xfId="0" applyFont="1" applyBorder="1" applyAlignment="1" applyProtection="1">
      <alignment horizontal="left" vertical="top"/>
    </xf>
    <xf numFmtId="0" fontId="46" fillId="0" borderId="31" xfId="8" applyFont="1" applyBorder="1" applyAlignment="1" applyProtection="1">
      <alignment horizontal="left" vertical="top" wrapText="1"/>
      <protection locked="0"/>
    </xf>
    <xf numFmtId="0" fontId="39" fillId="0" borderId="31" xfId="0" applyFont="1" applyBorder="1" applyAlignment="1" applyProtection="1">
      <alignment horizontal="left" vertical="top" wrapText="1"/>
    </xf>
    <xf numFmtId="0" fontId="39" fillId="0" borderId="93" xfId="0" applyFont="1" applyBorder="1" applyAlignment="1" applyProtection="1">
      <alignment horizontal="left" vertical="top" wrapText="1"/>
    </xf>
    <xf numFmtId="0" fontId="39" fillId="0" borderId="94" xfId="0" applyFont="1" applyBorder="1" applyAlignment="1" applyProtection="1">
      <alignment horizontal="left" vertical="top" wrapText="1"/>
    </xf>
    <xf numFmtId="0" fontId="42" fillId="0" borderId="92" xfId="0" applyFont="1" applyBorder="1" applyAlignment="1" applyProtection="1">
      <alignment horizontal="left" vertical="top" wrapText="1"/>
    </xf>
    <xf numFmtId="0" fontId="45" fillId="0" borderId="92" xfId="0" applyFont="1" applyBorder="1" applyAlignment="1" applyProtection="1">
      <alignment horizontal="left" vertical="top" wrapText="1"/>
    </xf>
    <xf numFmtId="0" fontId="47" fillId="0" borderId="94" xfId="0" applyFont="1" applyBorder="1" applyAlignment="1" applyProtection="1">
      <alignment horizontal="left" vertical="top" wrapText="1"/>
    </xf>
    <xf numFmtId="0" fontId="26" fillId="15" borderId="0" xfId="6" applyBorder="1" applyAlignment="1">
      <alignment horizontal="center" vertical="center"/>
    </xf>
  </cellXfs>
  <cellStyles count="9">
    <cellStyle name="Bad" xfId="3"/>
    <cellStyle name="Good" xfId="4"/>
    <cellStyle name="Output" xfId="5"/>
    <cellStyle name="常规" xfId="0" builtinId="0"/>
    <cellStyle name="常规 2" xfId="1"/>
    <cellStyle name="常规 3" xfId="2"/>
    <cellStyle name="超链接" xfId="8" builtinId="8"/>
    <cellStyle name="强调文字颜色 1" xfId="6" builtinId="29"/>
    <cellStyle name="强调文字颜色 5" xfId="7" builtinId="45"/>
  </cellStyles>
  <dxfs count="11">
    <dxf>
      <fill>
        <patternFill>
          <bgColor theme="0"/>
        </patternFill>
      </fill>
      <border>
        <vertical/>
        <horizontal/>
      </border>
    </dxf>
    <dxf>
      <fill>
        <patternFill>
          <bgColor theme="4"/>
        </patternFill>
      </fill>
      <border>
        <left style="thin">
          <color theme="2" tint="-9.9948118533890809E-2"/>
        </left>
        <right style="thin">
          <color theme="2" tint="-9.9948118533890809E-2"/>
        </right>
        <top style="thin">
          <color theme="2" tint="-9.9948118533890809E-2"/>
        </top>
        <bottom style="thin">
          <color theme="2" tint="-9.9948118533890809E-2"/>
        </bottom>
        <vertical/>
        <horizontal/>
      </border>
    </dxf>
    <dxf>
      <border>
        <left style="thin">
          <color theme="2" tint="-9.9948118533890809E-2"/>
        </left>
        <right style="thin">
          <color theme="2" tint="-9.9948118533890809E-2"/>
        </right>
        <top style="thin">
          <color theme="2" tint="-9.9948118533890809E-2"/>
        </top>
        <bottom style="thin">
          <color theme="2" tint="-9.9948118533890809E-2"/>
        </bottom>
        <vertical/>
        <horizontal/>
      </border>
    </dxf>
    <dxf>
      <fill>
        <patternFill>
          <bgColor theme="4" tint="0.79998168889431442"/>
        </patternFill>
      </fill>
    </dxf>
    <dxf>
      <fill>
        <patternFill>
          <bgColor theme="8" tint="0.59996337778862885"/>
        </patternFill>
      </fill>
    </dxf>
    <dxf>
      <fill>
        <patternFill>
          <bgColor theme="9" tint="0.39994506668294322"/>
        </patternFill>
      </fill>
      <border>
        <left style="dotted">
          <color auto="1"/>
        </left>
        <right style="dotted">
          <color auto="1"/>
        </right>
        <top style="dotted">
          <color auto="1"/>
        </top>
        <bottom style="dotted">
          <color auto="1"/>
        </bottom>
        <vertical/>
        <horizontal/>
      </border>
    </dxf>
    <dxf>
      <fill>
        <patternFill>
          <bgColor theme="4" tint="0.59996337778862885"/>
        </patternFill>
      </fill>
      <border>
        <left style="dashDot">
          <color auto="1"/>
        </left>
        <right style="dashDot">
          <color auto="1"/>
        </right>
        <top style="dashDot">
          <color auto="1"/>
        </top>
        <bottom style="dashDot">
          <color auto="1"/>
        </bottom>
        <vertical/>
        <horizontal/>
      </border>
    </dxf>
    <dxf>
      <fill>
        <patternFill>
          <bgColor theme="7" tint="0.59996337778862885"/>
        </patternFill>
      </fill>
      <border>
        <left style="dotted">
          <color auto="1"/>
        </left>
        <right style="dotted">
          <color auto="1"/>
        </right>
        <top style="dotted">
          <color auto="1"/>
        </top>
        <bottom style="dotted">
          <color auto="1"/>
        </bottom>
      </border>
    </dxf>
    <dxf>
      <fill>
        <patternFill>
          <bgColor theme="5" tint="0.79998168889431442"/>
        </patternFill>
      </fill>
      <border>
        <left style="dotted">
          <color auto="1"/>
        </left>
        <right style="dotted">
          <color auto="1"/>
        </right>
        <top style="dotted">
          <color auto="1"/>
        </top>
        <bottom style="dotted">
          <color auto="1"/>
        </bottom>
      </border>
    </dxf>
    <dxf>
      <fill>
        <patternFill>
          <bgColor theme="3" tint="0.59996337778862885"/>
        </patternFill>
      </fill>
      <border>
        <left style="dashDotDot">
          <color auto="1"/>
        </left>
        <right style="dashDotDot">
          <color auto="1"/>
        </right>
        <top style="dashDotDot">
          <color auto="1"/>
        </top>
        <bottom style="dashDotDot">
          <color auto="1"/>
        </bottom>
        <vertical/>
        <horizontal/>
      </border>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0</c:v>
                </c:pt>
                <c:pt idx="1">
                  <c:v>0</c:v>
                </c:pt>
                <c:pt idx="2" formatCode="@">
                  <c:v>0</c:v>
                </c:pt>
                <c:pt idx="3">
                  <c:v>0</c:v>
                </c:pt>
                <c:pt idx="4" formatCode="@">
                  <c:v>0</c:v>
                </c:pt>
                <c:pt idx="5">
                  <c:v>0</c:v>
                </c:pt>
                <c:pt idx="6">
                  <c:v>0</c:v>
                </c:pt>
                <c:pt idx="7">
                  <c:v>0</c:v>
                </c:pt>
              </c:numCache>
            </c:numRef>
          </c:val>
        </c:ser>
        <c:dLbls>
          <c:showLegendKey val="0"/>
          <c:showVal val="0"/>
          <c:showCatName val="0"/>
          <c:showSerName val="0"/>
          <c:showPercent val="0"/>
          <c:showBubbleSize val="0"/>
        </c:dLbls>
        <c:axId val="195234432"/>
        <c:axId val="195797376"/>
      </c:radarChart>
      <c:catAx>
        <c:axId val="195234432"/>
        <c:scaling>
          <c:orientation val="minMax"/>
        </c:scaling>
        <c:delete val="0"/>
        <c:axPos val="b"/>
        <c:majorGridlines/>
        <c:majorTickMark val="none"/>
        <c:minorTickMark val="none"/>
        <c:tickLblPos val="nextTo"/>
        <c:spPr>
          <a:ln w="6350">
            <a:noFill/>
          </a:ln>
        </c:spPr>
        <c:crossAx val="195797376"/>
        <c:crosses val="autoZero"/>
        <c:auto val="1"/>
        <c:lblAlgn val="ctr"/>
        <c:lblOffset val="100"/>
        <c:noMultiLvlLbl val="0"/>
      </c:catAx>
      <c:valAx>
        <c:axId val="195797376"/>
        <c:scaling>
          <c:orientation val="minMax"/>
          <c:max val="100"/>
          <c:min val="0"/>
        </c:scaling>
        <c:delete val="0"/>
        <c:axPos val="l"/>
        <c:majorGridlines/>
        <c:numFmt formatCode="@" sourceLinked="1"/>
        <c:majorTickMark val="none"/>
        <c:minorTickMark val="none"/>
        <c:tickLblPos val="none"/>
        <c:crossAx val="195234432"/>
        <c:crosses val="autoZero"/>
        <c:crossBetween val="between"/>
        <c:majorUnit val="20"/>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20</c:v>
                </c:pt>
                <c:pt idx="2">
                  <c:v>20</c:v>
                </c:pt>
                <c:pt idx="3">
                  <c:v>20</c:v>
                </c:pt>
                <c:pt idx="4">
                  <c:v>20</c:v>
                </c:pt>
                <c:pt idx="5">
                  <c:v>20</c:v>
                </c:pt>
              </c:numCache>
            </c:numRef>
          </c:val>
        </c:ser>
        <c:dLbls>
          <c:showLegendKey val="0"/>
          <c:showVal val="0"/>
          <c:showCatName val="0"/>
          <c:showSerName val="0"/>
          <c:showPercent val="0"/>
          <c:showBubbleSize val="0"/>
        </c:dLbls>
        <c:axId val="195313024"/>
        <c:axId val="195314816"/>
      </c:radarChart>
      <c:catAx>
        <c:axId val="195313024"/>
        <c:scaling>
          <c:orientation val="minMax"/>
        </c:scaling>
        <c:delete val="0"/>
        <c:axPos val="b"/>
        <c:majorGridlines/>
        <c:majorTickMark val="out"/>
        <c:minorTickMark val="none"/>
        <c:tickLblPos val="nextTo"/>
        <c:crossAx val="195314816"/>
        <c:crosses val="autoZero"/>
        <c:auto val="1"/>
        <c:lblAlgn val="ctr"/>
        <c:lblOffset val="100"/>
        <c:noMultiLvlLbl val="0"/>
      </c:catAx>
      <c:valAx>
        <c:axId val="195314816"/>
        <c:scaling>
          <c:orientation val="minMax"/>
          <c:max val="250"/>
        </c:scaling>
        <c:delete val="0"/>
        <c:axPos val="l"/>
        <c:majorGridlines/>
        <c:numFmt formatCode="General" sourceLinked="1"/>
        <c:majorTickMark val="none"/>
        <c:minorTickMark val="none"/>
        <c:tickLblPos val="none"/>
        <c:crossAx val="195313024"/>
        <c:crosses val="autoZero"/>
        <c:crossBetween val="between"/>
        <c:majorUnit val="5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32</xdr:col>
      <xdr:colOff>252412</xdr:colOff>
      <xdr:row>12</xdr:row>
      <xdr:rowOff>128587</xdr:rowOff>
    </xdr:from>
    <xdr:to>
      <xdr:col>36</xdr:col>
      <xdr:colOff>200025</xdr:colOff>
      <xdr:row>25</xdr:row>
      <xdr:rowOff>127289</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261936</xdr:colOff>
      <xdr:row>0</xdr:row>
      <xdr:rowOff>76198</xdr:rowOff>
    </xdr:from>
    <xdr:to>
      <xdr:col>36</xdr:col>
      <xdr:colOff>180975</xdr:colOff>
      <xdr:row>12</xdr:row>
      <xdr:rowOff>47625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ilibili.com/video/av27812372"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1:BA104"/>
  <sheetViews>
    <sheetView showGridLines="0" tabSelected="1" zoomScaleNormal="100" workbookViewId="0">
      <selection activeCell="AH74" sqref="AH74"/>
    </sheetView>
  </sheetViews>
  <sheetFormatPr defaultColWidth="3.25" defaultRowHeight="16.5" x14ac:dyDescent="0.2"/>
  <cols>
    <col min="1" max="1" width="5.75" style="30" bestFit="1" customWidth="1"/>
    <col min="2" max="3" width="5.5" style="30" customWidth="1"/>
    <col min="4" max="4" width="7" style="30" customWidth="1"/>
    <col min="5" max="5" width="8.375" style="30" customWidth="1"/>
    <col min="6" max="12" width="5.375" style="30" customWidth="1"/>
    <col min="13" max="13" width="6.25" style="30" customWidth="1"/>
    <col min="14" max="14" width="5.25" style="30" customWidth="1"/>
    <col min="15" max="15" width="6.25" style="30" customWidth="1"/>
    <col min="16" max="16" width="6.125" style="30" customWidth="1"/>
    <col min="17" max="23" width="5.125" style="30" customWidth="1"/>
    <col min="24" max="24" width="3.25" style="30"/>
    <col min="25" max="32" width="5.125" style="30" customWidth="1"/>
    <col min="33" max="33" width="19.375" style="30" customWidth="1"/>
    <col min="34" max="34" width="7.875" style="30" customWidth="1"/>
    <col min="35" max="50" width="6.625" style="30" customWidth="1"/>
    <col min="51" max="16384" width="3.25" style="30"/>
  </cols>
  <sheetData>
    <row r="1" spans="2:51" ht="17.25" thickBot="1" x14ac:dyDescent="0.25">
      <c r="B1" s="533" t="s">
        <v>1483</v>
      </c>
      <c r="C1" s="533"/>
      <c r="D1" s="533"/>
      <c r="E1" s="533"/>
      <c r="F1" s="533"/>
      <c r="G1" s="533"/>
      <c r="H1" s="533"/>
      <c r="I1" s="533"/>
      <c r="J1" s="533"/>
      <c r="K1" s="533"/>
      <c r="L1" s="533"/>
      <c r="M1" s="533"/>
      <c r="N1" s="533"/>
      <c r="O1" s="533"/>
      <c r="P1" s="533"/>
      <c r="Q1" s="533"/>
      <c r="R1" s="533"/>
      <c r="S1" s="533"/>
      <c r="T1" s="533"/>
      <c r="U1" s="533"/>
      <c r="V1" s="533"/>
      <c r="W1" s="533"/>
      <c r="AD1" s="306"/>
      <c r="AE1" s="306"/>
      <c r="AF1" s="306"/>
      <c r="AH1" s="205"/>
      <c r="AI1" s="205"/>
      <c r="AJ1" s="205"/>
      <c r="AK1" s="205"/>
      <c r="AL1" s="205"/>
      <c r="AM1" s="205"/>
      <c r="AN1" s="205"/>
      <c r="AO1" s="205"/>
      <c r="AP1" s="205"/>
      <c r="AQ1" s="205"/>
      <c r="AR1" s="205"/>
      <c r="AS1" s="205"/>
    </row>
    <row r="2" spans="2:51" ht="17.100000000000001" customHeight="1" x14ac:dyDescent="0.2">
      <c r="B2" s="627" t="s">
        <v>95</v>
      </c>
      <c r="C2" s="628"/>
      <c r="D2" s="628"/>
      <c r="E2" s="628"/>
      <c r="F2" s="628"/>
      <c r="G2" s="629"/>
      <c r="H2" s="307"/>
      <c r="I2" s="549" t="str">
        <f>"属性（合计："&amp;J3+J5+J7+DEX+APP+INT+P3+P5&amp;"）[含幸运："&amp;J3+J5+J7+DEX+APP+INT+P3+P5+Luck&amp;"]"</f>
        <v>属性（合计：0）[含幸运：0]</v>
      </c>
      <c r="J2" s="550"/>
      <c r="K2" s="550"/>
      <c r="L2" s="550"/>
      <c r="M2" s="550"/>
      <c r="N2" s="550"/>
      <c r="O2" s="550"/>
      <c r="P2" s="550"/>
      <c r="Q2" s="551"/>
      <c r="S2" s="618" t="s">
        <v>1647</v>
      </c>
      <c r="T2" s="619"/>
      <c r="U2" s="619"/>
      <c r="V2" s="619"/>
      <c r="W2" s="620"/>
      <c r="X2" s="5"/>
      <c r="Y2" s="452" t="str">
        <f>IF(Z3="","","任意特长可在下方选择本职技能")</f>
        <v/>
      </c>
      <c r="Z2" s="452"/>
      <c r="AA2" s="452"/>
      <c r="AB2" s="452"/>
      <c r="AC2" s="452"/>
      <c r="AD2" s="452"/>
      <c r="AE2" s="452"/>
      <c r="AF2" s="308"/>
      <c r="AG2" s="309"/>
      <c r="AH2" s="237"/>
      <c r="AI2" s="129" t="e">
        <f>职业!V3</f>
        <v>#N/A</v>
      </c>
      <c r="AJ2" s="129" t="e">
        <f>IF(AI2="任意特长",1,0)</f>
        <v>#N/A</v>
      </c>
      <c r="AK2" s="129"/>
      <c r="AL2" s="206" t="str">
        <f t="array" ref="AL2">IFERROR(INDEX($AI$2:$AI$10,SMALL(IF($AJ$2:$AJ$10=1,ROW($AI$2:$AI$10),99999),ROW($AI1))-1,1),"")</f>
        <v/>
      </c>
      <c r="AM2" s="129"/>
      <c r="AN2" s="129">
        <f>IF(Z3="本职技能为：",1,0)</f>
        <v>0</v>
      </c>
      <c r="AO2" s="129">
        <f>IF(AB3="",1,0)</f>
        <v>1</v>
      </c>
      <c r="AP2" s="205"/>
      <c r="AQ2" s="205"/>
      <c r="AR2" s="205"/>
      <c r="AS2" s="1"/>
      <c r="AT2" s="16"/>
      <c r="AU2" s="16"/>
      <c r="AV2" s="16"/>
      <c r="AW2" s="16"/>
      <c r="AX2" s="16"/>
      <c r="AY2" s="16"/>
    </row>
    <row r="3" spans="2:51" ht="17.100000000000001" customHeight="1" x14ac:dyDescent="0.2">
      <c r="B3" s="359" t="s">
        <v>0</v>
      </c>
      <c r="C3" s="604"/>
      <c r="D3" s="604"/>
      <c r="E3" s="604"/>
      <c r="F3" s="604"/>
      <c r="G3" s="605"/>
      <c r="H3" s="652"/>
      <c r="I3" s="608" t="s">
        <v>1550</v>
      </c>
      <c r="J3" s="590"/>
      <c r="K3" s="382">
        <f>INT(J3/2)</f>
        <v>0</v>
      </c>
      <c r="L3" s="595" t="s">
        <v>1551</v>
      </c>
      <c r="M3" s="591"/>
      <c r="N3" s="384">
        <f>INT(M3/2)</f>
        <v>0</v>
      </c>
      <c r="O3" s="596" t="s">
        <v>1552</v>
      </c>
      <c r="P3" s="645"/>
      <c r="Q3" s="391">
        <f>INT(P3/2)</f>
        <v>0</v>
      </c>
      <c r="S3" s="621"/>
      <c r="T3" s="622"/>
      <c r="U3" s="622"/>
      <c r="V3" s="622"/>
      <c r="W3" s="623"/>
      <c r="X3" s="5"/>
      <c r="Y3" s="309" t="str">
        <f>IF(Z3="","",1)</f>
        <v/>
      </c>
      <c r="Z3" s="674" t="str">
        <f>IF(AL2="任意特长","本职技能为：","")</f>
        <v/>
      </c>
      <c r="AA3" s="674"/>
      <c r="AB3" s="675"/>
      <c r="AC3" s="675"/>
      <c r="AD3" s="675"/>
      <c r="AE3" s="310" t="str">
        <f>IF(Z3="","","←")&amp;IF(AND(AN2=0,AO2=0),"←","")</f>
        <v/>
      </c>
      <c r="AF3" s="676" t="str">
        <f>IF(AND(AN2=0,AO2=0),"请清除左侧选择框内容","")</f>
        <v/>
      </c>
      <c r="AG3" s="676"/>
      <c r="AH3" s="237"/>
      <c r="AI3" s="129" t="e">
        <f>职业!V4</f>
        <v>#N/A</v>
      </c>
      <c r="AJ3" s="129" t="e">
        <f t="shared" ref="AJ3:AJ10" si="0">IF(AI3="任意特长",1,0)</f>
        <v>#N/A</v>
      </c>
      <c r="AK3" s="129"/>
      <c r="AL3" s="206" t="str">
        <f t="array" ref="AL3">IFERROR(INDEX($AI$2:$AI$10,SMALL(IF($AJ$2:$AJ$10=1,ROW($AI$2:$AI$10),99999),ROW($AI2))-1,1),"")</f>
        <v/>
      </c>
      <c r="AM3" s="129"/>
      <c r="AN3" s="129">
        <f>IF(Z4="本职技能为：",1,0)</f>
        <v>0</v>
      </c>
      <c r="AO3" s="129">
        <f t="shared" ref="AO3:AO6" si="1">IF(AB4="",1,0)</f>
        <v>1</v>
      </c>
      <c r="AP3" s="205"/>
      <c r="AQ3" s="205"/>
      <c r="AR3" s="205"/>
      <c r="AS3" s="1"/>
      <c r="AT3" s="16"/>
      <c r="AU3" s="16"/>
      <c r="AV3" s="16"/>
      <c r="AW3" s="16"/>
      <c r="AX3" s="16"/>
      <c r="AY3" s="16"/>
    </row>
    <row r="4" spans="2:51" ht="17.100000000000001" customHeight="1" x14ac:dyDescent="0.2">
      <c r="B4" s="330" t="s">
        <v>457</v>
      </c>
      <c r="C4" s="606"/>
      <c r="D4" s="606"/>
      <c r="E4" s="273" t="s">
        <v>1584</v>
      </c>
      <c r="F4" s="600" t="s">
        <v>1634</v>
      </c>
      <c r="G4" s="601"/>
      <c r="H4" s="652"/>
      <c r="I4" s="608"/>
      <c r="J4" s="590"/>
      <c r="K4" s="383">
        <f>INT(J3/5)</f>
        <v>0</v>
      </c>
      <c r="L4" s="595"/>
      <c r="M4" s="591"/>
      <c r="N4" s="384">
        <f>INT(M3/5)</f>
        <v>0</v>
      </c>
      <c r="O4" s="596"/>
      <c r="P4" s="645"/>
      <c r="Q4" s="391">
        <f>INT(P3/5)</f>
        <v>0</v>
      </c>
      <c r="S4" s="621"/>
      <c r="T4" s="622"/>
      <c r="U4" s="622"/>
      <c r="V4" s="622"/>
      <c r="W4" s="623"/>
      <c r="X4" s="5"/>
      <c r="Y4" s="309" t="str">
        <f>IF(Z4="","",2)</f>
        <v/>
      </c>
      <c r="Z4" s="674" t="str">
        <f>IF(AL3="任意特长","本职技能为：","")</f>
        <v/>
      </c>
      <c r="AA4" s="674"/>
      <c r="AB4" s="675"/>
      <c r="AC4" s="675"/>
      <c r="AD4" s="675"/>
      <c r="AE4" s="310" t="str">
        <f>IF(Z4="","","←")&amp;IF(AND(AN3=0,AO3=0),"←","")</f>
        <v/>
      </c>
      <c r="AF4" s="676" t="str">
        <f>IF(AND(AN3=0,AO3=0),"请清除左侧选择框内容","")</f>
        <v/>
      </c>
      <c r="AG4" s="676"/>
      <c r="AH4" s="237"/>
      <c r="AI4" s="129" t="e">
        <f>职业!V5</f>
        <v>#N/A</v>
      </c>
      <c r="AJ4" s="129" t="e">
        <f t="shared" si="0"/>
        <v>#N/A</v>
      </c>
      <c r="AK4" s="129"/>
      <c r="AL4" s="206" t="str">
        <f t="array" ref="AL4">IFERROR(INDEX($AI$2:$AI$10,SMALL(IF($AJ$2:$AJ$10=1,ROW($AI$2:$AI$10),99999),ROW($AI3))-1,1),"")</f>
        <v/>
      </c>
      <c r="AM4" s="129"/>
      <c r="AN4" s="129">
        <f>IF(Z5="本职技能为：",1,0)</f>
        <v>0</v>
      </c>
      <c r="AO4" s="129">
        <f t="shared" si="1"/>
        <v>1</v>
      </c>
      <c r="AP4" s="205"/>
      <c r="AQ4" s="205"/>
      <c r="AR4" s="205"/>
      <c r="AS4" s="1"/>
      <c r="AT4" s="16"/>
      <c r="AU4" s="16"/>
      <c r="AV4" s="16"/>
      <c r="AW4" s="16"/>
      <c r="AX4" s="16"/>
      <c r="AY4" s="16"/>
    </row>
    <row r="5" spans="2:51" ht="17.100000000000001" customHeight="1" x14ac:dyDescent="0.2">
      <c r="B5" s="329" t="s">
        <v>1</v>
      </c>
      <c r="C5" s="607"/>
      <c r="D5" s="607"/>
      <c r="E5" s="274" t="s">
        <v>1567</v>
      </c>
      <c r="F5" s="602"/>
      <c r="G5" s="603"/>
      <c r="H5" s="652"/>
      <c r="I5" s="609" t="s">
        <v>1553</v>
      </c>
      <c r="J5" s="591"/>
      <c r="K5" s="384">
        <f>INT(J5/2)</f>
        <v>0</v>
      </c>
      <c r="L5" s="596" t="s">
        <v>1554</v>
      </c>
      <c r="M5" s="590"/>
      <c r="N5" s="382">
        <f>INT(M5/2)</f>
        <v>0</v>
      </c>
      <c r="O5" s="595" t="s">
        <v>1555</v>
      </c>
      <c r="P5" s="591"/>
      <c r="Q5" s="388">
        <f>INT(P5/2)</f>
        <v>0</v>
      </c>
      <c r="S5" s="621"/>
      <c r="T5" s="622"/>
      <c r="U5" s="622"/>
      <c r="V5" s="622"/>
      <c r="W5" s="623"/>
      <c r="X5" s="5"/>
      <c r="Y5" s="309" t="str">
        <f>IF(Z5="","",3)</f>
        <v/>
      </c>
      <c r="Z5" s="674" t="str">
        <f t="shared" ref="Z5:Z7" si="2">IF(AL4="任意特长","本职技能为：","")</f>
        <v/>
      </c>
      <c r="AA5" s="674"/>
      <c r="AB5" s="675"/>
      <c r="AC5" s="675"/>
      <c r="AD5" s="675"/>
      <c r="AE5" s="310" t="str">
        <f>IF(Z5="","","←")&amp;IF(AND(AN4=0,AO4=0),"←","")</f>
        <v/>
      </c>
      <c r="AF5" s="676" t="str">
        <f t="shared" ref="AF5:AF7" si="3">IF(AND(AN4=0,AO4=0),"请清除左侧选择框内容","")</f>
        <v/>
      </c>
      <c r="AG5" s="676"/>
      <c r="AH5" s="237"/>
      <c r="AI5" s="129" t="e">
        <f>职业!V6</f>
        <v>#N/A</v>
      </c>
      <c r="AJ5" s="129" t="e">
        <f t="shared" si="0"/>
        <v>#N/A</v>
      </c>
      <c r="AK5" s="129"/>
      <c r="AL5" s="206" t="str">
        <f t="array" ref="AL5">IFERROR(INDEX($AI$2:$AI$10,SMALL(IF($AJ$2:$AJ$10=1,ROW($AI$2:$AI$10),99999),ROW($AI4))-1,1),"")</f>
        <v/>
      </c>
      <c r="AM5" s="129"/>
      <c r="AN5" s="129">
        <f>IF(Z6="本职技能为：",1,0)</f>
        <v>0</v>
      </c>
      <c r="AO5" s="129">
        <f t="shared" si="1"/>
        <v>1</v>
      </c>
      <c r="AP5" s="205"/>
      <c r="AQ5" s="205"/>
      <c r="AR5" s="205"/>
      <c r="AS5" s="1"/>
      <c r="AT5" s="16"/>
      <c r="AU5" s="16"/>
      <c r="AV5" s="16"/>
      <c r="AW5" s="16"/>
      <c r="AX5" s="16"/>
      <c r="AY5" s="16"/>
    </row>
    <row r="6" spans="2:51" ht="17.100000000000001" customHeight="1" x14ac:dyDescent="0.2">
      <c r="B6" s="330" t="s">
        <v>2</v>
      </c>
      <c r="C6" s="612"/>
      <c r="D6" s="612"/>
      <c r="E6" s="273" t="s">
        <v>1583</v>
      </c>
      <c r="F6" s="600"/>
      <c r="G6" s="601"/>
      <c r="H6" s="652"/>
      <c r="I6" s="609"/>
      <c r="J6" s="591"/>
      <c r="K6" s="385">
        <f>INT(J5/5)</f>
        <v>0</v>
      </c>
      <c r="L6" s="596"/>
      <c r="M6" s="590"/>
      <c r="N6" s="382">
        <f>INT(M5/5)</f>
        <v>0</v>
      </c>
      <c r="O6" s="595"/>
      <c r="P6" s="591"/>
      <c r="Q6" s="388">
        <f>INT(P5/5)</f>
        <v>0</v>
      </c>
      <c r="S6" s="621"/>
      <c r="T6" s="622"/>
      <c r="U6" s="622"/>
      <c r="V6" s="622"/>
      <c r="W6" s="623"/>
      <c r="X6" s="5"/>
      <c r="Y6" s="309" t="str">
        <f>IF(Z6="","",4)</f>
        <v/>
      </c>
      <c r="Z6" s="674" t="str">
        <f t="shared" si="2"/>
        <v/>
      </c>
      <c r="AA6" s="674"/>
      <c r="AB6" s="675"/>
      <c r="AC6" s="675"/>
      <c r="AD6" s="675"/>
      <c r="AE6" s="310" t="str">
        <f>IF(Z6="","","←")&amp;IF(AND(AN5=0,AO5=0),"←","")</f>
        <v/>
      </c>
      <c r="AF6" s="676" t="str">
        <f t="shared" si="3"/>
        <v/>
      </c>
      <c r="AG6" s="676"/>
      <c r="AH6" s="237"/>
      <c r="AI6" s="129" t="e">
        <f>职业!V7</f>
        <v>#N/A</v>
      </c>
      <c r="AJ6" s="129" t="e">
        <f t="shared" si="0"/>
        <v>#N/A</v>
      </c>
      <c r="AK6" s="129"/>
      <c r="AL6" s="206" t="str">
        <f t="array" ref="AL6">IFERROR(INDEX($AI$2:$AI$10,SMALL(IF($AJ$2:$AJ$10=1,ROW($AI$2:$AI$10),99999),ROW($AI5))-1,1),"")</f>
        <v/>
      </c>
      <c r="AM6" s="129"/>
      <c r="AN6" s="129">
        <f>IF(Z7="本职技能为：",1,0)</f>
        <v>0</v>
      </c>
      <c r="AO6" s="129">
        <f t="shared" si="1"/>
        <v>1</v>
      </c>
      <c r="AP6" s="205"/>
      <c r="AQ6" s="205"/>
      <c r="AR6" s="205"/>
      <c r="AS6" s="1"/>
      <c r="AT6" s="16"/>
      <c r="AU6" s="16"/>
      <c r="AV6" s="16"/>
      <c r="AW6" s="16"/>
      <c r="AX6" s="16"/>
      <c r="AY6" s="16"/>
    </row>
    <row r="7" spans="2:51" ht="17.100000000000001" customHeight="1" x14ac:dyDescent="0.2">
      <c r="B7" s="329" t="s">
        <v>68</v>
      </c>
      <c r="C7" s="607"/>
      <c r="D7" s="607"/>
      <c r="E7" s="607"/>
      <c r="F7" s="607"/>
      <c r="G7" s="613"/>
      <c r="H7" s="652"/>
      <c r="I7" s="610" t="s">
        <v>1556</v>
      </c>
      <c r="J7" s="590"/>
      <c r="K7" s="382">
        <f>INT(J7/2)</f>
        <v>0</v>
      </c>
      <c r="L7" s="595" t="s">
        <v>1557</v>
      </c>
      <c r="M7" s="598"/>
      <c r="N7" s="386">
        <f>INT(M7/2)</f>
        <v>0</v>
      </c>
      <c r="O7" s="596" t="s">
        <v>1558</v>
      </c>
      <c r="P7" s="593">
        <f>附表!F28</f>
        <v>8</v>
      </c>
      <c r="Q7" s="389" t="s">
        <v>589</v>
      </c>
      <c r="S7" s="621"/>
      <c r="T7" s="622"/>
      <c r="U7" s="622"/>
      <c r="V7" s="622"/>
      <c r="W7" s="623"/>
      <c r="X7" s="5"/>
      <c r="Y7" s="309" t="str">
        <f>IF(Z7="","",5)</f>
        <v/>
      </c>
      <c r="Z7" s="674" t="str">
        <f t="shared" si="2"/>
        <v/>
      </c>
      <c r="AA7" s="674"/>
      <c r="AB7" s="675"/>
      <c r="AC7" s="675"/>
      <c r="AD7" s="675"/>
      <c r="AE7" s="310" t="str">
        <f>IF(Z7="","","←")&amp;IF(AND(AN6=0,AO6=0),"←","")</f>
        <v/>
      </c>
      <c r="AF7" s="676" t="str">
        <f t="shared" si="3"/>
        <v/>
      </c>
      <c r="AG7" s="676"/>
      <c r="AH7" s="237"/>
      <c r="AI7" s="129" t="e">
        <f>职业!V8</f>
        <v>#N/A</v>
      </c>
      <c r="AJ7" s="129" t="e">
        <f t="shared" si="0"/>
        <v>#N/A</v>
      </c>
      <c r="AK7" s="129"/>
      <c r="AL7" s="129"/>
      <c r="AM7" s="129"/>
      <c r="AN7" s="129"/>
      <c r="AO7" s="129"/>
      <c r="AP7" s="205"/>
      <c r="AQ7" s="205"/>
      <c r="AR7" s="205"/>
      <c r="AS7" s="1"/>
      <c r="AT7" s="16"/>
      <c r="AU7" s="16"/>
      <c r="AV7" s="16"/>
      <c r="AW7" s="16"/>
      <c r="AX7" s="272"/>
      <c r="AY7" s="16"/>
    </row>
    <row r="8" spans="2:51" ht="17.100000000000001" customHeight="1" thickBot="1" x14ac:dyDescent="0.25">
      <c r="B8" s="331" t="s">
        <v>69</v>
      </c>
      <c r="C8" s="588"/>
      <c r="D8" s="588"/>
      <c r="E8" s="588"/>
      <c r="F8" s="588"/>
      <c r="G8" s="589"/>
      <c r="H8" s="652"/>
      <c r="I8" s="611"/>
      <c r="J8" s="592"/>
      <c r="K8" s="360">
        <f>INT(J7/5)</f>
        <v>0</v>
      </c>
      <c r="L8" s="597"/>
      <c r="M8" s="599"/>
      <c r="N8" s="387">
        <f>INT(M7/5)</f>
        <v>0</v>
      </c>
      <c r="O8" s="644"/>
      <c r="P8" s="594"/>
      <c r="Q8" s="390">
        <f>附表!F27-附表!F2-8</f>
        <v>0</v>
      </c>
      <c r="S8" s="624"/>
      <c r="T8" s="625"/>
      <c r="U8" s="625"/>
      <c r="V8" s="625"/>
      <c r="W8" s="626"/>
      <c r="X8" s="5"/>
      <c r="Y8" s="674" t="s">
        <v>1566</v>
      </c>
      <c r="Z8" s="674"/>
      <c r="AA8" s="674"/>
      <c r="AB8" s="444" t="s">
        <v>1627</v>
      </c>
      <c r="AC8" s="680" t="str">
        <f>IF($AB$8="否","使用经历包请选择“是”。","请先选择序号！")</f>
        <v>使用经历包请选择“是”。</v>
      </c>
      <c r="AD8" s="680"/>
      <c r="AE8" s="680"/>
      <c r="AF8" s="680"/>
      <c r="AG8" s="328"/>
      <c r="AH8" s="129"/>
      <c r="AI8" s="129" t="e">
        <f>职业!V9</f>
        <v>#N/A</v>
      </c>
      <c r="AJ8" s="129" t="e">
        <f t="shared" si="0"/>
        <v>#N/A</v>
      </c>
      <c r="AK8" s="129"/>
      <c r="AL8" s="129"/>
      <c r="AM8" s="129"/>
      <c r="AN8" s="129"/>
      <c r="AO8" s="129"/>
      <c r="AP8" s="205"/>
      <c r="AQ8" s="205"/>
      <c r="AR8" s="205"/>
      <c r="AS8" s="1"/>
      <c r="AT8" s="16"/>
      <c r="AU8" s="16"/>
      <c r="AV8" s="16"/>
      <c r="AW8" s="16"/>
      <c r="AX8" s="16"/>
      <c r="AY8" s="16"/>
    </row>
    <row r="9" spans="2:51" ht="17.25" thickBot="1" x14ac:dyDescent="0.4">
      <c r="B9" s="454" t="str">
        <f>IF(D9=" "," ","任意特长")</f>
        <v xml:space="preserve"> </v>
      </c>
      <c r="C9" s="454"/>
      <c r="D9" s="311" t="str">
        <f>IF(SUMIF(职业!V3:V11,"任意特长",职业!W3:W11)=0," ",SUMIF(职业!V3:V11,"任意特长",职业!W3:W11))</f>
        <v xml:space="preserve"> </v>
      </c>
      <c r="E9" s="581" t="str">
        <f>IF(K9=" ","","社交技能（☯）：4选")</f>
        <v/>
      </c>
      <c r="F9" s="581"/>
      <c r="G9" s="581"/>
      <c r="H9" s="581"/>
      <c r="I9" s="581"/>
      <c r="J9" s="581"/>
      <c r="K9" s="312" t="str">
        <f>IF(SUMIF(职业!V3:V11,"社交技能",职业!W3:W11)=0," ",SUMIF(职业!V3:V11,"社交技能",职业!W3:W11))</f>
        <v xml:space="preserve"> </v>
      </c>
      <c r="L9" s="5"/>
      <c r="M9" s="454" t="str">
        <f>IF(OR(F5="",F5=0),"",IF(职业!$Y$3=0," ","二选一：☆"))</f>
        <v/>
      </c>
      <c r="N9" s="454"/>
      <c r="O9" s="5"/>
      <c r="P9" s="454" t="str">
        <f>IF(OR(F5="",F5=0),"",IF(职业!Y5=0,"","二选一②:⊙"))</f>
        <v/>
      </c>
      <c r="Q9" s="454"/>
      <c r="R9" s="5"/>
      <c r="S9" s="455" t="str">
        <f>IF(OR(F5="",F5=0),"",IF(职业!Y7=0,"","二选一②:※"))</f>
        <v/>
      </c>
      <c r="T9" s="455"/>
      <c r="U9" s="313"/>
      <c r="V9" s="455" t="str">
        <f>IF(OR(F5="",F5=0),"",IF(职业!Y9=0," ","多选X:X"))</f>
        <v/>
      </c>
      <c r="W9" s="455"/>
      <c r="X9" s="5"/>
      <c r="AC9" s="325"/>
      <c r="AE9" s="325"/>
      <c r="AF9" s="325"/>
      <c r="AG9" s="325"/>
      <c r="AH9" s="129"/>
      <c r="AI9" s="129" t="e">
        <f>职业!V10</f>
        <v>#N/A</v>
      </c>
      <c r="AJ9" s="129" t="e">
        <f t="shared" si="0"/>
        <v>#N/A</v>
      </c>
      <c r="AK9" s="129"/>
      <c r="AL9" s="129"/>
      <c r="AM9" s="129"/>
      <c r="AN9" s="129"/>
      <c r="AO9" s="129"/>
      <c r="AP9" s="205"/>
      <c r="AQ9" s="205"/>
      <c r="AR9" s="205"/>
      <c r="AS9" s="205"/>
    </row>
    <row r="10" spans="2:51" ht="16.5" customHeight="1" x14ac:dyDescent="0.2">
      <c r="B10" s="630" t="s">
        <v>235</v>
      </c>
      <c r="C10" s="631"/>
      <c r="D10" s="634">
        <f>E10</f>
        <v>0</v>
      </c>
      <c r="E10" s="636">
        <f>INT((J5+J7)/10)</f>
        <v>0</v>
      </c>
      <c r="F10" s="572" t="s">
        <v>236</v>
      </c>
      <c r="G10" s="572"/>
      <c r="H10" s="582">
        <f>IF(AB8="是",POW-AD13,POW)</f>
        <v>0</v>
      </c>
      <c r="I10" s="638">
        <f>IF(ISBLANK(H10),MIN(J26,99-J26),INT(99-J26))</f>
        <v>99</v>
      </c>
      <c r="J10" s="640"/>
      <c r="K10" s="631" t="s">
        <v>590</v>
      </c>
      <c r="L10" s="631"/>
      <c r="M10" s="579"/>
      <c r="N10" s="642">
        <v>99</v>
      </c>
      <c r="O10" s="572" t="s">
        <v>591</v>
      </c>
      <c r="P10" s="572"/>
      <c r="Q10" s="574">
        <f>MP</f>
        <v>0</v>
      </c>
      <c r="R10" s="648">
        <f>P3/5</f>
        <v>0</v>
      </c>
      <c r="S10" s="650"/>
      <c r="T10" s="584" t="s">
        <v>1460</v>
      </c>
      <c r="U10" s="585"/>
      <c r="V10" s="646" t="s">
        <v>97</v>
      </c>
      <c r="W10" s="647"/>
      <c r="X10" s="5"/>
      <c r="Y10" s="666" t="str">
        <f>IF($AB$8="否","","经历包（可选规则：有故事的调查员）")</f>
        <v/>
      </c>
      <c r="Z10" s="666"/>
      <c r="AA10" s="666"/>
      <c r="AB10" s="666"/>
      <c r="AC10" s="666"/>
      <c r="AD10" s="666"/>
      <c r="AE10" s="666"/>
      <c r="AF10" s="666"/>
      <c r="AG10" s="325"/>
      <c r="AH10" s="129"/>
      <c r="AI10" s="129" t="e">
        <f>职业!V11</f>
        <v>#N/A</v>
      </c>
      <c r="AJ10" s="129" t="e">
        <f t="shared" si="0"/>
        <v>#N/A</v>
      </c>
      <c r="AK10" s="129"/>
      <c r="AL10" s="129"/>
      <c r="AM10" s="129"/>
      <c r="AN10" s="129"/>
      <c r="AO10" s="129"/>
      <c r="AP10" s="205"/>
      <c r="AQ10" s="205"/>
      <c r="AR10" s="205"/>
      <c r="AS10" s="205"/>
    </row>
    <row r="11" spans="2:51" ht="17.25" customHeight="1" thickBot="1" x14ac:dyDescent="0.25">
      <c r="B11" s="632"/>
      <c r="C11" s="633"/>
      <c r="D11" s="635"/>
      <c r="E11" s="637"/>
      <c r="F11" s="573"/>
      <c r="G11" s="573"/>
      <c r="H11" s="583"/>
      <c r="I11" s="639"/>
      <c r="J11" s="641"/>
      <c r="K11" s="633"/>
      <c r="L11" s="633"/>
      <c r="M11" s="580"/>
      <c r="N11" s="643"/>
      <c r="O11" s="573"/>
      <c r="P11" s="573"/>
      <c r="Q11" s="575"/>
      <c r="R11" s="649"/>
      <c r="S11" s="651"/>
      <c r="T11" s="586" t="s">
        <v>1461</v>
      </c>
      <c r="U11" s="587"/>
      <c r="V11" s="588" t="s">
        <v>99</v>
      </c>
      <c r="W11" s="589"/>
      <c r="X11" s="5"/>
      <c r="Y11" s="669" t="str">
        <f>IF($AB$8="否","","经历包名")</f>
        <v/>
      </c>
      <c r="Z11" s="669"/>
      <c r="AA11" s="670" t="str">
        <f>IF($AB$8="否","",IFERROR(LOOKUP($AF$11,职业及经历包!$A$121:$A$127,职业及经历包!B$121:B$127),""))</f>
        <v/>
      </c>
      <c r="AB11" s="670"/>
      <c r="AC11" s="670"/>
      <c r="AD11" s="670"/>
      <c r="AE11" s="411" t="str">
        <f>IF($AB$8="否","","序号")</f>
        <v/>
      </c>
      <c r="AF11" s="40"/>
      <c r="AG11" s="325"/>
      <c r="AH11" s="129"/>
      <c r="AI11" s="129"/>
      <c r="AJ11" s="205"/>
      <c r="AK11" s="205"/>
      <c r="AL11" s="205"/>
      <c r="AM11" s="205"/>
      <c r="AN11" s="205"/>
      <c r="AO11" s="205"/>
      <c r="AP11" s="205"/>
      <c r="AQ11" s="205"/>
      <c r="AR11" s="205"/>
      <c r="AS11" s="205"/>
    </row>
    <row r="12" spans="2:51" ht="17.25" customHeight="1" thickBot="1" x14ac:dyDescent="0.35">
      <c r="B12" s="453" t="str">
        <f>IF(F5=0," ","["&amp;LOOKUP(F5,职业及经历包!A2:A117,职业及经历包!B2:B117)&amp;"]的本职技能："&amp;LOOKUP(F5,职业及经历包!A2:A117,职业及经历包!G2:G117))</f>
        <v xml:space="preserve"> </v>
      </c>
      <c r="C12" s="453"/>
      <c r="D12" s="453"/>
      <c r="E12" s="453"/>
      <c r="F12" s="453"/>
      <c r="G12" s="453"/>
      <c r="H12" s="453"/>
      <c r="I12" s="453"/>
      <c r="J12" s="453"/>
      <c r="K12" s="453"/>
      <c r="L12" s="453"/>
      <c r="M12" s="453"/>
      <c r="N12" s="453"/>
      <c r="O12" s="453"/>
      <c r="P12" s="453"/>
      <c r="Q12" s="453"/>
      <c r="R12" s="453"/>
      <c r="S12" s="453"/>
      <c r="T12" s="453"/>
      <c r="U12" s="453"/>
      <c r="V12" s="453"/>
      <c r="W12" s="453"/>
      <c r="X12" s="145"/>
      <c r="Y12" s="669" t="str">
        <f>IF($AB$8="否","",职业及经历包!D120)</f>
        <v/>
      </c>
      <c r="Z12" s="669"/>
      <c r="AA12" s="670" t="str">
        <f>IF($AB$8="否","",IFERROR(LOOKUP($AF$11,职业及经历包!$A$121:$A$127,职业及经历包!D$121:D$127),""))</f>
        <v/>
      </c>
      <c r="AB12" s="670"/>
      <c r="AC12" s="670"/>
      <c r="AD12" s="670"/>
      <c r="AE12" s="670"/>
      <c r="AF12" s="670"/>
      <c r="AG12" s="325"/>
      <c r="AH12" s="129"/>
      <c r="AI12" s="129"/>
      <c r="AJ12" s="205"/>
      <c r="AK12" s="205"/>
      <c r="AL12" s="205"/>
      <c r="AM12" s="205"/>
      <c r="AN12" s="205"/>
      <c r="AO12" s="205"/>
      <c r="AP12" s="205"/>
      <c r="AQ12" s="205"/>
      <c r="AR12" s="205"/>
      <c r="AS12" s="205"/>
    </row>
    <row r="13" spans="2:51" ht="16.5" customHeight="1" x14ac:dyDescent="0.2">
      <c r="B13" s="549" t="s">
        <v>1421</v>
      </c>
      <c r="C13" s="550"/>
      <c r="D13" s="550"/>
      <c r="E13" s="550"/>
      <c r="F13" s="550"/>
      <c r="G13" s="550"/>
      <c r="H13" s="550"/>
      <c r="I13" s="550"/>
      <c r="J13" s="550"/>
      <c r="K13" s="550"/>
      <c r="L13" s="550"/>
      <c r="M13" s="550"/>
      <c r="N13" s="550"/>
      <c r="O13" s="550"/>
      <c r="P13" s="550"/>
      <c r="Q13" s="550"/>
      <c r="R13" s="550"/>
      <c r="S13" s="550"/>
      <c r="T13" s="550"/>
      <c r="U13" s="550"/>
      <c r="V13" s="550"/>
      <c r="W13" s="551"/>
      <c r="X13" s="5"/>
      <c r="Y13" s="669" t="str">
        <f>IF($AB$8="否","",职业及经历包!C120)</f>
        <v/>
      </c>
      <c r="Z13" s="669"/>
      <c r="AA13" s="670" t="str">
        <f>IF($AB$8="否","",IFERROR(LOOKUP($AF$11,职业及经历包!$A$121:$A$127,职业及经历包!C$121:C$127),""))</f>
        <v/>
      </c>
      <c r="AB13" s="670"/>
      <c r="AC13" s="670"/>
      <c r="AD13" s="40" t="str">
        <f>IF($AB$8="否","",IF($AA$13="","","0"))</f>
        <v/>
      </c>
      <c r="AE13" s="669" t="str">
        <f>IF($AB$8="否","",IF($AA$13="","","←此处输入"))</f>
        <v/>
      </c>
      <c r="AF13" s="669"/>
    </row>
    <row r="14" spans="2:51" ht="16.5" customHeight="1" x14ac:dyDescent="0.2">
      <c r="B14" s="332" t="s">
        <v>1076</v>
      </c>
      <c r="C14" s="275" t="s">
        <v>1006</v>
      </c>
      <c r="D14" s="576" t="s">
        <v>109</v>
      </c>
      <c r="E14" s="576"/>
      <c r="F14" s="275" t="s">
        <v>3</v>
      </c>
      <c r="G14" s="275" t="s">
        <v>8</v>
      </c>
      <c r="H14" s="275" t="s">
        <v>1</v>
      </c>
      <c r="I14" s="275" t="s">
        <v>4</v>
      </c>
      <c r="J14" s="576" t="s">
        <v>5</v>
      </c>
      <c r="K14" s="576"/>
      <c r="L14" s="578"/>
      <c r="M14" s="364" t="s">
        <v>480</v>
      </c>
      <c r="N14" s="275" t="s">
        <v>1006</v>
      </c>
      <c r="O14" s="576" t="s">
        <v>109</v>
      </c>
      <c r="P14" s="576"/>
      <c r="Q14" s="275" t="s">
        <v>3</v>
      </c>
      <c r="R14" s="275" t="s">
        <v>8</v>
      </c>
      <c r="S14" s="275" t="s">
        <v>1</v>
      </c>
      <c r="T14" s="275" t="s">
        <v>4</v>
      </c>
      <c r="U14" s="576" t="s">
        <v>5</v>
      </c>
      <c r="V14" s="576"/>
      <c r="W14" s="577"/>
      <c r="Y14" s="669" t="str">
        <f>IF($AB$8="否","",职业及经历包!F120)</f>
        <v/>
      </c>
      <c r="Z14" s="669"/>
      <c r="AA14" s="670" t="str">
        <f>IF($AB$8="否","",IFERROR(LOOKUP($AF$11,职业及经历包!$A$121:$A$127,职业及经历包!F$121:F$127),""))</f>
        <v/>
      </c>
      <c r="AB14" s="670"/>
      <c r="AC14" s="670"/>
      <c r="AD14" s="40" t="str">
        <f>IF($AB$8="否","",IF($AA$13="","",$AA$14))</f>
        <v/>
      </c>
      <c r="AE14" s="669" t="str">
        <f>IF(AB9="否","",IF($AA$14="","","←此处编辑"))</f>
        <v/>
      </c>
      <c r="AF14" s="669"/>
      <c r="AG14" s="325"/>
      <c r="AH14" s="5"/>
      <c r="AI14" s="5"/>
    </row>
    <row r="15" spans="2:51" ht="16.5" customHeight="1" x14ac:dyDescent="0.2">
      <c r="B15" s="333" t="s">
        <v>167</v>
      </c>
      <c r="C15" s="276" t="str">
        <f>IFERROR(IF(OR(COUNTIF(职业!$V$3:$V$11,$D15)=1,COUNTIF($AB$3:$AB$7,$D15)=1),"★",IF(COUNTIF(职业!$Y$3:$Z$3,$D15),"☆",IF(COUNTIF(职业!$Y$5:$Z$5,$D15),"⊙",IF(COUNTIF(职业!$Y$7:$Z$7,$D15),"※",IF(COUNTIF(职业!$Y$9:$AA$9,$D15),"×"," ")))))," ")</f>
        <v xml:space="preserve"> </v>
      </c>
      <c r="D15" s="568" t="s">
        <v>245</v>
      </c>
      <c r="E15" s="568"/>
      <c r="F15" s="277">
        <v>5</v>
      </c>
      <c r="G15" s="278"/>
      <c r="H15" s="278"/>
      <c r="I15" s="278"/>
      <c r="J15" s="277">
        <f t="shared" ref="J15:J48" si="4">SUM(F15:I15)</f>
        <v>5</v>
      </c>
      <c r="K15" s="277">
        <f t="shared" ref="K15:K48" si="5">INT(J15/2)</f>
        <v>2</v>
      </c>
      <c r="L15" s="365">
        <f t="shared" ref="L15:L48" si="6">INT(J15/5)</f>
        <v>1</v>
      </c>
      <c r="M15" s="361" t="s">
        <v>167</v>
      </c>
      <c r="N15" s="276" t="str">
        <f>IFERROR(IF(OR(COUNTIF(职业!$V$3:$V$11,$O15)=1,COUNTIF($AB$3:$AB$7,$O15)=1),"★",IF(COUNTIF(职业!$Y$3:$Z$3,$O15),"☆",IF(COUNTIF(职业!$Y$5:$Z$5,$O15),"⊙",IF(COUNTIF(职业!$Y$7:$Z$7,$O15),"※",IF(COUNTIF(职业!$Y$9:$AA$9,$O15),"×"," ")))))," ")</f>
        <v xml:space="preserve"> </v>
      </c>
      <c r="O15" s="567" t="s">
        <v>6</v>
      </c>
      <c r="P15" s="567"/>
      <c r="Q15" s="277">
        <v>5</v>
      </c>
      <c r="R15" s="278"/>
      <c r="S15" s="278"/>
      <c r="T15" s="278"/>
      <c r="U15" s="277">
        <f t="shared" ref="U15:U37" si="7">SUM(Q15:T15)</f>
        <v>5</v>
      </c>
      <c r="V15" s="277">
        <f>INT(U15/2)</f>
        <v>2</v>
      </c>
      <c r="W15" s="334">
        <f>INT(U15/5)</f>
        <v>1</v>
      </c>
      <c r="X15" s="5"/>
      <c r="Y15" s="669" t="str">
        <f>IF($AB$8="否","",职业及经历包!E120)</f>
        <v/>
      </c>
      <c r="Z15" s="669"/>
      <c r="AA15" s="668" t="str">
        <f>IF($AB$8="否","",IFERROR(LOOKUP($AF$11,职业及经历包!$A$121:$A$127,职业及经历包!E$121:E$127),""))</f>
        <v/>
      </c>
      <c r="AB15" s="668"/>
      <c r="AC15" s="668"/>
      <c r="AD15" s="668"/>
      <c r="AE15" s="668"/>
      <c r="AF15" s="668"/>
      <c r="AG15" s="325"/>
      <c r="AH15" s="5"/>
      <c r="AI15" s="5"/>
    </row>
    <row r="16" spans="2:51" ht="16.5" customHeight="1" x14ac:dyDescent="0.2">
      <c r="B16" s="335" t="s">
        <v>167</v>
      </c>
      <c r="C16" s="280" t="str">
        <f>IFERROR(IF(OR(COUNTIF(职业!$V$3:$V$11,$D16)=1,COUNTIF($AB$3:$AB$7,$D16)=1),"★",IF(COUNTIF(职业!$Y$3:$Z$3,$D16),"☆",IF(COUNTIF(职业!$Y$5:$Z$5,$D16),"⊙",IF(COUNTIF(职业!$Y$7:$Z$7,$D16),"※",IF(COUNTIF(职业!$Y$9:$AA$9,$D16),"×"," ")))))," ")</f>
        <v xml:space="preserve"> </v>
      </c>
      <c r="D16" s="569" t="s">
        <v>72</v>
      </c>
      <c r="E16" s="569"/>
      <c r="F16" s="281">
        <v>1</v>
      </c>
      <c r="G16" s="282"/>
      <c r="H16" s="282"/>
      <c r="I16" s="282"/>
      <c r="J16" s="281">
        <f t="shared" si="4"/>
        <v>1</v>
      </c>
      <c r="K16" s="281">
        <f t="shared" si="5"/>
        <v>0</v>
      </c>
      <c r="L16" s="366">
        <f t="shared" si="6"/>
        <v>0</v>
      </c>
      <c r="M16" s="362" t="s">
        <v>167</v>
      </c>
      <c r="N16" s="280" t="str">
        <f>IFERROR(IF(OR(COUNTIF(职业!$V$3:$V$11,$O16)=1,COUNTIF($AB$3:$AB$7,$O16)=1),"★",IF(COUNTIF(职业!$Y$3:$Z$3,$O16),"☆",IF(COUNTIF(职业!$Y$5:$Z$5,$O16),"⊙",IF(COUNTIF(职业!$Y$7:$Z$7,$O16),"※",IF(COUNTIF(职业!$Y$9:$AA$9,$O16),"×"," ")))))," ")</f>
        <v xml:space="preserve"> </v>
      </c>
      <c r="O16" s="569" t="s">
        <v>155</v>
      </c>
      <c r="P16" s="569"/>
      <c r="Q16" s="281">
        <v>20</v>
      </c>
      <c r="R16" s="282"/>
      <c r="S16" s="282"/>
      <c r="T16" s="282"/>
      <c r="U16" s="281">
        <f t="shared" si="7"/>
        <v>20</v>
      </c>
      <c r="V16" s="281">
        <f>INT(U16/2)</f>
        <v>10</v>
      </c>
      <c r="W16" s="336">
        <f>INT(U16/5)</f>
        <v>4</v>
      </c>
      <c r="X16" s="5"/>
      <c r="Y16" s="669"/>
      <c r="Z16" s="669"/>
      <c r="AA16" s="668"/>
      <c r="AB16" s="668"/>
      <c r="AC16" s="668"/>
      <c r="AD16" s="668"/>
      <c r="AE16" s="668"/>
      <c r="AF16" s="668"/>
      <c r="AG16" s="325"/>
      <c r="AH16" s="5"/>
      <c r="AI16" s="5"/>
    </row>
    <row r="17" spans="2:35" ht="16.5" customHeight="1" x14ac:dyDescent="0.2">
      <c r="B17" s="333" t="s">
        <v>167</v>
      </c>
      <c r="C17" s="276" t="str">
        <f>IFERROR(IF(OR(COUNTIF(职业!$V$3:$V$11,$D17)=1,COUNTIF($AB$3:$AB$7,$D17)=1),"★",IF(COUNTIF(职业!$Y$3:$Z$3,$D17),"☆",IF(COUNTIF(职业!$Y$5:$Z$5,$D17),"⊙",IF(COUNTIF(职业!$Y$7:$Z$7,$D17),"※",IF(COUNTIF(职业!$Y$9:$AA$9,$D17),"×"," ")))))," ")</f>
        <v xml:space="preserve"> </v>
      </c>
      <c r="D17" s="568" t="s">
        <v>192</v>
      </c>
      <c r="E17" s="568"/>
      <c r="F17" s="277">
        <v>5</v>
      </c>
      <c r="G17" s="278"/>
      <c r="H17" s="278"/>
      <c r="I17" s="278"/>
      <c r="J17" s="277">
        <f t="shared" si="4"/>
        <v>5</v>
      </c>
      <c r="K17" s="277">
        <f t="shared" si="5"/>
        <v>2</v>
      </c>
      <c r="L17" s="365">
        <f t="shared" si="6"/>
        <v>1</v>
      </c>
      <c r="M17" s="361" t="s">
        <v>167</v>
      </c>
      <c r="N17" s="276" t="str">
        <f>IFERROR(IF(OR(COUNTIF(职业!$V$3:$V$11,$O17)=1,COUNTIF($AB$3:$AB$7,$O17)=1),"★",IF(COUNTIF(职业!$Y$3:$Z$3,$O17),"☆",IF(COUNTIF(职业!$Y$5:$Z$5,$O17),"⊙",IF(COUNTIF(职业!$Y$7:$Z$7,$O17),"※",IF(COUNTIF(职业!$Y$9:$AA$9,$O17),"×"," ")))))," ")</f>
        <v xml:space="preserve"> </v>
      </c>
      <c r="O17" s="567" t="s">
        <v>83</v>
      </c>
      <c r="P17" s="567"/>
      <c r="Q17" s="277">
        <v>20</v>
      </c>
      <c r="R17" s="278"/>
      <c r="S17" s="278"/>
      <c r="T17" s="278"/>
      <c r="U17" s="277">
        <f t="shared" si="7"/>
        <v>20</v>
      </c>
      <c r="V17" s="277">
        <f t="shared" ref="V17:V37" si="8">INT(U17/2)</f>
        <v>10</v>
      </c>
      <c r="W17" s="334">
        <f t="shared" ref="W17:W37" si="9">INT(U17/5)</f>
        <v>4</v>
      </c>
      <c r="X17" s="5"/>
      <c r="Y17" s="669" t="str">
        <f>IF($AB$8="否","",职业及经历包!G120)</f>
        <v/>
      </c>
      <c r="Z17" s="669"/>
      <c r="AA17" s="667" t="str">
        <f>IF($AB$8="否","",IFERROR(LOOKUP($AF$11,职业及经历包!$A$121:$A$127,职业及经历包!G$121:G$127),""))</f>
        <v/>
      </c>
      <c r="AB17" s="667"/>
      <c r="AC17" s="667"/>
      <c r="AD17" s="667"/>
      <c r="AE17" s="667"/>
      <c r="AF17" s="667"/>
      <c r="AG17" s="325"/>
      <c r="AH17" s="5"/>
      <c r="AI17" s="5"/>
    </row>
    <row r="18" spans="2:35" x14ac:dyDescent="0.2">
      <c r="B18" s="335" t="s">
        <v>167</v>
      </c>
      <c r="C18" s="280" t="str">
        <f>IFERROR(IF(OR(COUNTIF(职业!$V$3:$V$11,$D18)=1,COUNTIF($AB$3:$AB$7,$D18)=1),"★",IF(COUNTIF(职业!$Y$3:$Z$3,$D18),"☆",IF(COUNTIF(职业!$Y$5:$Z$5,$D18),"⊙",IF(COUNTIF(职业!$Y$7:$Z$7,$D18),"※",IF(COUNTIF(职业!$Y$9:$AA$9,$D18),"×"," ")))))," ")</f>
        <v xml:space="preserve"> </v>
      </c>
      <c r="D18" s="569" t="s">
        <v>73</v>
      </c>
      <c r="E18" s="569"/>
      <c r="F18" s="281">
        <v>1</v>
      </c>
      <c r="G18" s="282"/>
      <c r="H18" s="282"/>
      <c r="I18" s="282"/>
      <c r="J18" s="281">
        <f t="shared" si="4"/>
        <v>1</v>
      </c>
      <c r="K18" s="281">
        <f t="shared" si="5"/>
        <v>0</v>
      </c>
      <c r="L18" s="366">
        <f t="shared" si="6"/>
        <v>0</v>
      </c>
      <c r="M18" s="362" t="s">
        <v>167</v>
      </c>
      <c r="N18" s="280" t="str">
        <f>IFERROR(IF(OR(COUNTIF(职业!$V$3:$V$11,$O18)=1,COUNTIF($AB$3:$AB$7,$O18)=1),"★",IF(COUNTIF(职业!$Y$3:$Z$3,$O18),"☆",IF(COUNTIF(职业!$Y$5:$Z$5,$O18),"⊙",IF(COUNTIF(职业!$Y$7:$Z$7,$O18),"※",IF(COUNTIF(职业!$Y$9:$AA$9,$O18),"×"," ")))))," ")</f>
        <v xml:space="preserve"> </v>
      </c>
      <c r="O18" s="569" t="s">
        <v>84</v>
      </c>
      <c r="P18" s="569"/>
      <c r="Q18" s="281">
        <v>1</v>
      </c>
      <c r="R18" s="282"/>
      <c r="S18" s="282"/>
      <c r="T18" s="282"/>
      <c r="U18" s="281">
        <f t="shared" si="7"/>
        <v>1</v>
      </c>
      <c r="V18" s="281">
        <f t="shared" si="8"/>
        <v>0</v>
      </c>
      <c r="W18" s="336">
        <f t="shared" si="9"/>
        <v>0</v>
      </c>
      <c r="X18" s="5"/>
      <c r="Y18" s="669"/>
      <c r="Z18" s="669"/>
      <c r="AA18" s="667"/>
      <c r="AB18" s="667"/>
      <c r="AC18" s="667"/>
      <c r="AD18" s="667"/>
      <c r="AE18" s="667"/>
      <c r="AF18" s="667"/>
      <c r="AG18" s="325"/>
      <c r="AH18" s="5"/>
      <c r="AI18" s="5"/>
    </row>
    <row r="19" spans="2:35" ht="16.5" customHeight="1" x14ac:dyDescent="0.2">
      <c r="B19" s="333" t="s">
        <v>167</v>
      </c>
      <c r="C19" s="276" t="str">
        <f>IFERROR(IF(OR(COUNTIF(职业!$V$3:$V$11,$D19)=1,COUNTIF($AB$3:$AB$7,$D19)=1),"★",IF(COUNTIF(职业!$Y$3:$Z$3,$D19),"☆",IF(COUNTIF(职业!$Y$5:$Z$5,$D19),"⊙",IF(COUNTIF(职业!$Y$7:$Z$7,$D19),"※",IF(COUNTIF(职业!$Y$9:$AA$9,$D19),"×"," ")))))," ")</f>
        <v xml:space="preserve"> </v>
      </c>
      <c r="D19" s="283" t="s">
        <v>921</v>
      </c>
      <c r="E19" s="284" t="s">
        <v>1537</v>
      </c>
      <c r="F19" s="277">
        <v>5</v>
      </c>
      <c r="G19" s="278"/>
      <c r="H19" s="278"/>
      <c r="I19" s="278"/>
      <c r="J19" s="277">
        <f t="shared" si="4"/>
        <v>5</v>
      </c>
      <c r="K19" s="277">
        <f t="shared" si="5"/>
        <v>2</v>
      </c>
      <c r="L19" s="365">
        <f t="shared" si="6"/>
        <v>1</v>
      </c>
      <c r="M19" s="361" t="s">
        <v>167</v>
      </c>
      <c r="N19" s="276" t="str">
        <f>IFERROR(IF(OR(COUNTIF(职业!$V$3:$V$11,$O19)=1,COUNTIF($AB$3:$AB$7,$O19)=1),"★",IF(COUNTIF(职业!$Y$3:$Z$3,$O19),"☆",IF(COUNTIF(职业!$Y$5:$Z$5,$O19),"⊙",IF(COUNTIF(职业!$Y$7:$Z$7,$O19),"※",IF(COUNTIF(职业!$Y$9:$AA$9,$O19),"×"," ")))))," ")</f>
        <v xml:space="preserve"> </v>
      </c>
      <c r="O19" s="567" t="s">
        <v>85</v>
      </c>
      <c r="P19" s="567"/>
      <c r="Q19" s="277">
        <v>10</v>
      </c>
      <c r="R19" s="278"/>
      <c r="S19" s="278"/>
      <c r="T19" s="278"/>
      <c r="U19" s="277">
        <f t="shared" si="7"/>
        <v>10</v>
      </c>
      <c r="V19" s="277">
        <f t="shared" si="8"/>
        <v>5</v>
      </c>
      <c r="W19" s="334">
        <f t="shared" si="9"/>
        <v>2</v>
      </c>
      <c r="X19" s="5"/>
      <c r="Y19" s="669"/>
      <c r="Z19" s="669"/>
      <c r="AA19" s="667"/>
      <c r="AB19" s="667"/>
      <c r="AC19" s="667"/>
      <c r="AD19" s="667"/>
      <c r="AE19" s="667"/>
      <c r="AF19" s="667"/>
      <c r="AG19" s="31"/>
      <c r="AH19" s="5"/>
      <c r="AI19" s="5"/>
    </row>
    <row r="20" spans="2:35" ht="16.5" customHeight="1" x14ac:dyDescent="0.2">
      <c r="B20" s="335" t="s">
        <v>167</v>
      </c>
      <c r="C20" s="280" t="str">
        <f>IFERROR(IF(OR(COUNTIF(职业!$V$3:$V$11,$D20)=1,COUNTIF($AB$3:$AB$7,$D20)=1),"★",IF(COUNTIF(职业!$Y$3:$Z$3,$D20),"☆",IF(COUNTIF(职业!$Y$5:$Z$5,$D20),"⊙",IF(COUNTIF(职业!$Y$7:$Z$7,$D20),"※",IF(COUNTIF(职业!$Y$9:$AA$9,$D20),"×"," ")))))," ")</f>
        <v xml:space="preserve"> </v>
      </c>
      <c r="D20" s="285" t="s">
        <v>922</v>
      </c>
      <c r="E20" s="286"/>
      <c r="F20" s="281">
        <v>5</v>
      </c>
      <c r="G20" s="282"/>
      <c r="H20" s="282"/>
      <c r="I20" s="282"/>
      <c r="J20" s="281">
        <f t="shared" si="4"/>
        <v>5</v>
      </c>
      <c r="K20" s="281">
        <f t="shared" si="5"/>
        <v>2</v>
      </c>
      <c r="L20" s="366">
        <f t="shared" si="6"/>
        <v>1</v>
      </c>
      <c r="M20" s="362" t="s">
        <v>167</v>
      </c>
      <c r="N20" s="280" t="str">
        <f>IFERROR(IF(OR(COUNTIF(职业!$V$3:$V$11,$O20)=1,COUNTIF($AB$3:$AB$7,$O20)=1),"★",IF(COUNTIF(职业!$Y$3:$Z$3,$O20),"☆",IF(COUNTIF(职业!$Y$5:$Z$5,$O20),"⊙",IF(COUNTIF(职业!$Y$7:$Z$7,$O20),"※",IF(COUNTIF(职业!$Y$9:$AA$9,$O20),"×"," ")))))," ")</f>
        <v xml:space="preserve"> </v>
      </c>
      <c r="O20" s="569" t="s">
        <v>193</v>
      </c>
      <c r="P20" s="569"/>
      <c r="Q20" s="281">
        <v>1</v>
      </c>
      <c r="R20" s="282"/>
      <c r="S20" s="282"/>
      <c r="T20" s="282"/>
      <c r="U20" s="281">
        <f t="shared" si="7"/>
        <v>1</v>
      </c>
      <c r="V20" s="281">
        <f t="shared" si="8"/>
        <v>0</v>
      </c>
      <c r="W20" s="336">
        <f t="shared" si="9"/>
        <v>0</v>
      </c>
      <c r="X20" s="5"/>
      <c r="Y20" s="669" t="str">
        <f>IF($AB$8="否","",职业及经历包!H120)</f>
        <v/>
      </c>
      <c r="Z20" s="669"/>
      <c r="AA20" s="667" t="str">
        <f>IF($AB$8="否","",IFERROR(LOOKUP($AF$11,职业及经历包!$A$121:$A$127,职业及经历包!H$121:H$127),""))</f>
        <v/>
      </c>
      <c r="AB20" s="667"/>
      <c r="AC20" s="667"/>
      <c r="AD20" s="667"/>
      <c r="AE20" s="667"/>
      <c r="AF20" s="667"/>
      <c r="AH20" s="5"/>
      <c r="AI20" s="5"/>
    </row>
    <row r="21" spans="2:35" ht="16.5" customHeight="1" x14ac:dyDescent="0.2">
      <c r="B21" s="333" t="s">
        <v>167</v>
      </c>
      <c r="C21" s="276" t="str">
        <f>IFERROR(IF(OR(COUNTIF(职业!$V$3:$V$11,$D21)=1,COUNTIF($AB$3:$AB$7,$D21)=1),"★",IF(COUNTIF(职业!$Y$3:$Z$3,$D21),"☆",IF(COUNTIF(职业!$Y$5:$Z$5,$D21),"⊙",IF(COUNTIF(职业!$Y$7:$Z$7,$D21),"※",IF(COUNTIF(职业!$Y$9:$AA$9,$D21),"×"," ")))))," ")</f>
        <v xml:space="preserve"> </v>
      </c>
      <c r="D21" s="283" t="s">
        <v>923</v>
      </c>
      <c r="E21" s="284"/>
      <c r="F21" s="277">
        <v>5</v>
      </c>
      <c r="G21" s="278"/>
      <c r="H21" s="278"/>
      <c r="I21" s="278"/>
      <c r="J21" s="277">
        <f t="shared" si="4"/>
        <v>5</v>
      </c>
      <c r="K21" s="277">
        <f t="shared" si="5"/>
        <v>2</v>
      </c>
      <c r="L21" s="365">
        <f t="shared" si="6"/>
        <v>1</v>
      </c>
      <c r="M21" s="361" t="s">
        <v>167</v>
      </c>
      <c r="N21" s="276" t="str">
        <f>IFERROR(IF(OR(COUNTIF(职业!$V$3:$V$11,$O21)=1,COUNTIF($AB$3:$AB$7,$O21)=1),"★",IF(COUNTIF(职业!$Y$3:$Z$3,$O21),"☆",IF(COUNTIF(职业!$Y$5:$Z$5,$O21),"⊙",IF(COUNTIF(职业!$Y$7:$Z$7,$O21),"※",IF(COUNTIF(职业!$Y$9:$AA$9,$O21),"×"," ")))))," ")</f>
        <v xml:space="preserve"> </v>
      </c>
      <c r="O21" s="567" t="s">
        <v>229</v>
      </c>
      <c r="P21" s="567"/>
      <c r="Q21" s="277">
        <v>10</v>
      </c>
      <c r="R21" s="278"/>
      <c r="S21" s="278"/>
      <c r="T21" s="278"/>
      <c r="U21" s="277">
        <f t="shared" si="7"/>
        <v>10</v>
      </c>
      <c r="V21" s="277">
        <f t="shared" si="8"/>
        <v>5</v>
      </c>
      <c r="W21" s="334">
        <f t="shared" si="9"/>
        <v>2</v>
      </c>
      <c r="X21" s="5"/>
      <c r="Y21" s="669"/>
      <c r="Z21" s="669"/>
      <c r="AA21" s="667"/>
      <c r="AB21" s="667"/>
      <c r="AC21" s="667"/>
      <c r="AD21" s="667"/>
      <c r="AE21" s="667"/>
      <c r="AF21" s="667"/>
      <c r="AH21" s="5"/>
      <c r="AI21" s="5"/>
    </row>
    <row r="22" spans="2:35" x14ac:dyDescent="0.2">
      <c r="B22" s="335" t="s">
        <v>167</v>
      </c>
      <c r="C22" s="280" t="str">
        <f>IFERROR(IF(OR(COUNTIF(职业!$V$3:$V$11,$D22)=1,COUNTIF($AB$3:$AB$7,$D22)=1),"★",IF(COUNTIF(职业!$Y$3:$Z$3,$D22),"☆",IF(COUNTIF(职业!$Y$5:$Z$5,$D22),"⊙",IF(COUNTIF(职业!$Y$7:$Z$7,$D22),"※",IF(COUNTIF(职业!$Y$9:$AA$9,$D22),"×"," ")))))," ")&amp;CHAR(10)&amp;IF($K$9=" "," ","☯")</f>
        <v xml:space="preserve"> 
 </v>
      </c>
      <c r="D22" s="569" t="s">
        <v>190</v>
      </c>
      <c r="E22" s="569"/>
      <c r="F22" s="281">
        <v>15</v>
      </c>
      <c r="G22" s="282"/>
      <c r="H22" s="282"/>
      <c r="I22" s="282"/>
      <c r="J22" s="281">
        <f t="shared" si="4"/>
        <v>15</v>
      </c>
      <c r="K22" s="281">
        <f t="shared" si="5"/>
        <v>7</v>
      </c>
      <c r="L22" s="366">
        <f t="shared" si="6"/>
        <v>3</v>
      </c>
      <c r="M22" s="362" t="s">
        <v>167</v>
      </c>
      <c r="N22" s="280" t="str">
        <f>IFERROR(IF(OR(COUNTIF(职业!$V$3:$V$11,$O22)=1,COUNTIF($AB$3:$AB$7,$O22)=1),"★",IF(COUNTIF(职业!$Y$3:$Z$3,$O22),"☆",IF(COUNTIF(职业!$Y$5:$Z$5,$O22),"⊙",IF(COUNTIF(职业!$Y$7:$Z$7,$O22),"※",IF(COUNTIF(职业!$Y$9:$AA$9,$O22),"×"," ")))))," ")</f>
        <v xml:space="preserve"> </v>
      </c>
      <c r="O22" s="569" t="s">
        <v>230</v>
      </c>
      <c r="P22" s="569"/>
      <c r="Q22" s="281">
        <v>10</v>
      </c>
      <c r="R22" s="282"/>
      <c r="S22" s="282"/>
      <c r="T22" s="282"/>
      <c r="U22" s="281">
        <f t="shared" si="7"/>
        <v>10</v>
      </c>
      <c r="V22" s="281">
        <f t="shared" si="8"/>
        <v>5</v>
      </c>
      <c r="W22" s="336">
        <f t="shared" si="9"/>
        <v>2</v>
      </c>
      <c r="X22" s="5"/>
      <c r="Y22" s="669"/>
      <c r="Z22" s="669"/>
      <c r="AA22" s="667"/>
      <c r="AB22" s="667"/>
      <c r="AC22" s="667"/>
      <c r="AD22" s="667"/>
      <c r="AE22" s="667"/>
      <c r="AF22" s="667"/>
      <c r="AH22" s="5"/>
      <c r="AI22" s="5"/>
    </row>
    <row r="23" spans="2:35" ht="17.25" thickBot="1" x14ac:dyDescent="0.25">
      <c r="B23" s="333" t="s">
        <v>167</v>
      </c>
      <c r="C23" s="276" t="str">
        <f>IFERROR(IF(OR(COUNTIF(职业!$V$3:$V$11,$D23)=1,COUNTIF($AB$3:$AB$7,$D23)=1),"★",IF(COUNTIF(职业!$Y$3:$Z$3,$D23),"☆",IF(COUNTIF(职业!$Y$5:$Z$5,$D23),"⊙",IF(COUNTIF(职业!$Y$7:$Z$7,$D23),"※",IF(COUNTIF(职业!$Y$9:$AA$9,$D23),"×"," ")))))," ")</f>
        <v xml:space="preserve"> </v>
      </c>
      <c r="D23" s="568" t="s">
        <v>74</v>
      </c>
      <c r="E23" s="568"/>
      <c r="F23" s="277">
        <v>20</v>
      </c>
      <c r="G23" s="278"/>
      <c r="H23" s="278"/>
      <c r="I23" s="278"/>
      <c r="J23" s="277">
        <f t="shared" si="4"/>
        <v>20</v>
      </c>
      <c r="K23" s="277">
        <f t="shared" si="5"/>
        <v>10</v>
      </c>
      <c r="L23" s="365">
        <f t="shared" si="6"/>
        <v>4</v>
      </c>
      <c r="M23" s="361" t="s">
        <v>167</v>
      </c>
      <c r="N23" s="276" t="str">
        <f>IFERROR(IF(OR(COUNTIF(职业!$V$3:$V$11,$O23)=1,COUNTIF($AB$3:$AB$7,$O23)=1),"★",IF(COUNTIF(职业!$Y$3:$Z$3,$O23),"☆",IF(COUNTIF(职业!$Y$5:$Z$5,$O23),"⊙",IF(COUNTIF(职业!$Y$7:$Z$7,$O23),"※",IF(COUNTIF(职业!$Y$9:$AA$9,$O23),"×"," ")))))," ")</f>
        <v xml:space="preserve"> </v>
      </c>
      <c r="O23" s="567" t="s">
        <v>86</v>
      </c>
      <c r="P23" s="567"/>
      <c r="Q23" s="277">
        <v>5</v>
      </c>
      <c r="R23" s="278"/>
      <c r="S23" s="278"/>
      <c r="T23" s="278"/>
      <c r="U23" s="277">
        <f t="shared" si="7"/>
        <v>5</v>
      </c>
      <c r="V23" s="277">
        <f t="shared" si="8"/>
        <v>2</v>
      </c>
      <c r="W23" s="334">
        <f t="shared" si="9"/>
        <v>1</v>
      </c>
      <c r="X23" s="5"/>
      <c r="AH23" s="5"/>
      <c r="AI23" s="5"/>
    </row>
    <row r="24" spans="2:35" ht="16.5" customHeight="1" x14ac:dyDescent="0.2">
      <c r="B24" s="335" t="s">
        <v>167</v>
      </c>
      <c r="C24" s="280" t="str">
        <f>IFERROR(IF(OR(COUNTIF(职业!$V$3:$V$11,$D24)=1,COUNTIF($AB$3:$AB$7,$D24)=1),"★",IF(COUNTIF(职业!$Y$3:$Z$3,$D24),"☆",IF(COUNTIF(职业!$Y$5:$Z$5,$D24),"⊙",IF(COUNTIF(职业!$Y$7:$Z$7,$D24),"※",IF(COUNTIF(职业!$Y$9:$AA$9,$D24),"×"," ")))))," ")</f>
        <v xml:space="preserve"> </v>
      </c>
      <c r="D24" s="569" t="s">
        <v>943</v>
      </c>
      <c r="E24" s="569"/>
      <c r="F24" s="281">
        <v>5</v>
      </c>
      <c r="G24" s="282"/>
      <c r="H24" s="282"/>
      <c r="I24" s="282"/>
      <c r="J24" s="281">
        <f t="shared" si="4"/>
        <v>5</v>
      </c>
      <c r="K24" s="281">
        <f t="shared" si="5"/>
        <v>2</v>
      </c>
      <c r="L24" s="366">
        <f t="shared" si="6"/>
        <v>1</v>
      </c>
      <c r="M24" s="362" t="s">
        <v>167</v>
      </c>
      <c r="N24" s="280" t="str">
        <f>IFERROR(IF(OR(COUNTIF(职业!$V$3:$V$11,$O24)=1,COUNTIF($AB$3:$AB$7,$O24)=1),"★",IF(COUNTIF(职业!$Y$3:$Z$3,$O24),"☆",IF(COUNTIF(职业!$Y$5:$Z$5,$O24),"⊙",IF(COUNTIF(职业!$Y$7:$Z$7,$O24),"※",IF(COUNTIF(职业!$Y$9:$AA$9,$O24),"×"," ")))))," ")</f>
        <v xml:space="preserve"> </v>
      </c>
      <c r="O24" s="569" t="s">
        <v>87</v>
      </c>
      <c r="P24" s="569"/>
      <c r="Q24" s="281">
        <v>1</v>
      </c>
      <c r="R24" s="282"/>
      <c r="S24" s="282"/>
      <c r="T24" s="282"/>
      <c r="U24" s="281">
        <f t="shared" si="7"/>
        <v>1</v>
      </c>
      <c r="V24" s="281">
        <f t="shared" si="8"/>
        <v>0</v>
      </c>
      <c r="W24" s="336">
        <f t="shared" si="9"/>
        <v>0</v>
      </c>
      <c r="X24" s="5"/>
      <c r="Y24" s="681" t="str">
        <f>IF(F4="自定义",IF(信誉参照表!V21="在此输入单位","资产（默认美元）","资产（"&amp;信誉参照表!V21&amp;"）"),"资产（默认美元）")</f>
        <v>资产（默认美元）</v>
      </c>
      <c r="Z24" s="682"/>
      <c r="AA24" s="682"/>
      <c r="AB24" s="682"/>
      <c r="AC24" s="682"/>
      <c r="AD24" s="682"/>
      <c r="AE24" s="682"/>
      <c r="AF24" s="683"/>
      <c r="AG24" s="5"/>
      <c r="AH24" s="5"/>
      <c r="AI24" s="5"/>
    </row>
    <row r="25" spans="2:35" ht="16.5" customHeight="1" x14ac:dyDescent="0.2">
      <c r="B25" s="333"/>
      <c r="C25" s="276" t="s">
        <v>1466</v>
      </c>
      <c r="D25" s="568" t="s">
        <v>154</v>
      </c>
      <c r="E25" s="568"/>
      <c r="F25" s="277">
        <v>0</v>
      </c>
      <c r="G25" s="278"/>
      <c r="H25" s="278"/>
      <c r="I25" s="278"/>
      <c r="J25" s="277">
        <f>SUM(F25:I25)</f>
        <v>0</v>
      </c>
      <c r="K25" s="277">
        <f t="shared" si="5"/>
        <v>0</v>
      </c>
      <c r="L25" s="365">
        <f t="shared" si="6"/>
        <v>0</v>
      </c>
      <c r="M25" s="361" t="s">
        <v>167</v>
      </c>
      <c r="N25" s="276" t="str">
        <f>IFERROR(IF(OR(COUNTIF(职业!$V$3:$V$11,$O25)=1,COUNTIF($AB$3:$AB$7,$O25)=1),"★",IF(COUNTIF(职业!$Y$3:$Z$3,$O25),"☆",IF(COUNTIF(职业!$Y$5:$Z$5,$O25),"⊙",IF(COUNTIF(职业!$Y$7:$Z$7,$O25),"※",IF(COUNTIF(职业!$Y$9:$AA$9,$O25),"×"," ")))))," ")&amp;CHAR(10)&amp;IF($K$9=" "," ","☯")</f>
        <v xml:space="preserve"> 
 </v>
      </c>
      <c r="O25" s="567" t="s">
        <v>57</v>
      </c>
      <c r="P25" s="567"/>
      <c r="Q25" s="277">
        <v>10</v>
      </c>
      <c r="R25" s="278"/>
      <c r="S25" s="278"/>
      <c r="T25" s="278"/>
      <c r="U25" s="277">
        <f t="shared" si="7"/>
        <v>10</v>
      </c>
      <c r="V25" s="277">
        <f t="shared" si="8"/>
        <v>5</v>
      </c>
      <c r="W25" s="334">
        <f t="shared" si="9"/>
        <v>2</v>
      </c>
      <c r="X25" s="5"/>
      <c r="Y25" s="687" t="s">
        <v>1635</v>
      </c>
      <c r="Z25" s="686"/>
      <c r="AA25" s="684" t="s">
        <v>1639</v>
      </c>
      <c r="AB25" s="686"/>
      <c r="AC25" s="684" t="s">
        <v>1638</v>
      </c>
      <c r="AD25" s="686"/>
      <c r="AE25" s="684" t="s">
        <v>1637</v>
      </c>
      <c r="AF25" s="685"/>
      <c r="AG25" s="5"/>
      <c r="AH25" s="5"/>
      <c r="AI25" s="5"/>
    </row>
    <row r="26" spans="2:35" ht="16.5" customHeight="1" x14ac:dyDescent="0.2">
      <c r="B26" s="335"/>
      <c r="C26" s="280" t="str">
        <f>IFERROR(IF(OR(COUNTIF(职业!$V$3:$V$11,$D26)=1,COUNTIF($AB$3:$AB$7,$D26)=1),"★",IF(COUNTIF(职业!$Y$3:$Z$3,$D26),"☆",IF(COUNTIF(职业!$Y$5:$Z$5,$D26),"⊙",IF(COUNTIF(职业!$Y$7:$Z$7,$D26),"※",IF(COUNTIF(职业!$Y$9:$AA$9,$D26),"×"," ")))))," ")</f>
        <v xml:space="preserve"> </v>
      </c>
      <c r="D26" s="569" t="s">
        <v>75</v>
      </c>
      <c r="E26" s="569"/>
      <c r="F26" s="281">
        <v>0</v>
      </c>
      <c r="G26" s="282"/>
      <c r="H26" s="282"/>
      <c r="I26" s="281" t="s">
        <v>24</v>
      </c>
      <c r="J26" s="281">
        <f t="shared" si="4"/>
        <v>0</v>
      </c>
      <c r="K26" s="281">
        <f t="shared" si="5"/>
        <v>0</v>
      </c>
      <c r="L26" s="366">
        <f t="shared" si="6"/>
        <v>0</v>
      </c>
      <c r="M26" s="362" t="s">
        <v>167</v>
      </c>
      <c r="N26" s="280" t="str">
        <f>IFERROR(IF(OR(COUNTIF(职业!$V$3:$V$11,$O26)=1,COUNTIF($AB$3:$AB$7,$O26)=1),"★",IF(COUNTIF(职业!$Y$3:$Z$3,$O26),"☆",IF(COUNTIF(职业!$Y$5:$Z$5,$O26),"⊙",IF(COUNTIF(职业!$Y$7:$Z$7,$O26),"※",IF(COUNTIF(职业!$Y$9:$AA$9,$O26),"×"," ")))))," ")</f>
        <v xml:space="preserve"> </v>
      </c>
      <c r="O26" s="287" t="s">
        <v>958</v>
      </c>
      <c r="P26" s="288"/>
      <c r="Q26" s="281">
        <v>1</v>
      </c>
      <c r="R26" s="282"/>
      <c r="S26" s="282"/>
      <c r="T26" s="282"/>
      <c r="U26" s="281">
        <f t="shared" si="7"/>
        <v>1</v>
      </c>
      <c r="V26" s="281">
        <f t="shared" si="8"/>
        <v>0</v>
      </c>
      <c r="W26" s="336">
        <f t="shared" si="9"/>
        <v>0</v>
      </c>
      <c r="X26" s="129">
        <f>IF(Y26="身无分文",1,IF(Y26="贫穷",2,IF(Y26="标准",3,IF(Y26="小康",4,IF(Y26="富裕",5,IF(Y26="富豪",6))))))</f>
        <v>1</v>
      </c>
      <c r="Y26" s="688" t="str">
        <f>LOOKUP(J25,{0,1,10,50,90,99},{"身无分文","贫穷","标准","小康","富裕","富豪"})</f>
        <v>身无分文</v>
      </c>
      <c r="Z26" s="689"/>
      <c r="AA26" s="690">
        <f>IF($F$4="1920s",VLOOKUP($X$26,信誉参照表!$E$6:$J$11,6,FALSE),IF($F$4="现代",VLOOKUP($X$26,信誉参照表!$K$6:$P$11,6,FALSE),VLOOKUP($X$26,信誉参照表!$Q$6:$V$11,6,FALSE)))</f>
        <v>10</v>
      </c>
      <c r="AB26" s="689"/>
      <c r="AC26" s="690" t="str">
        <f>IF($F$4="1920s",VLOOKUP($X$26,信誉参照表!$E$6:$J$11,5,FALSE),IF($F$4="现代",VLOOKUP($X$26,信誉参照表!$K$6:$P$11,5,FALSE),VLOOKUP($X$26,信誉参照表!$Q$6:$V$11,5,FALSE)))</f>
        <v>没有</v>
      </c>
      <c r="AD26" s="689"/>
      <c r="AE26" s="690">
        <f>IF($F$4="1920s",VLOOKUP($X$26,信誉参照表!$E$6:$J$11,4,FALSE),IF($F$4="现代",VLOOKUP($X$26,信誉参照表!$K$6:$P$11,4,FALSE),VLOOKUP($X$26,信誉参照表!$Q$6:$V$11,4,FALSE)))</f>
        <v>10</v>
      </c>
      <c r="AF26" s="691"/>
      <c r="AG26" s="5"/>
      <c r="AH26" s="5"/>
      <c r="AI26" s="5"/>
    </row>
    <row r="27" spans="2:35" x14ac:dyDescent="0.2">
      <c r="B27" s="333" t="s">
        <v>167</v>
      </c>
      <c r="C27" s="276" t="str">
        <f>IFERROR(IF(OR(COUNTIF(职业!$V$3:$V$11,$D27)=1,COUNTIF($AB$3:$AB$7,$D27)=1),"★",IF(COUNTIF(职业!$Y$3:$Z$3,$D27),"☆",IF(COUNTIF(职业!$Y$5:$Z$5,$D27),"⊙",IF(COUNTIF(职业!$Y$7:$Z$7,$D27),"※",IF(COUNTIF(职业!$Y$9:$AA$9,$D27),"×"," ")))))," ")</f>
        <v xml:space="preserve"> </v>
      </c>
      <c r="D27" s="568" t="s">
        <v>76</v>
      </c>
      <c r="E27" s="568"/>
      <c r="F27" s="277">
        <v>5</v>
      </c>
      <c r="G27" s="278"/>
      <c r="H27" s="278"/>
      <c r="I27" s="278"/>
      <c r="J27" s="277">
        <f t="shared" si="4"/>
        <v>5</v>
      </c>
      <c r="K27" s="277">
        <f t="shared" si="5"/>
        <v>2</v>
      </c>
      <c r="L27" s="365">
        <f t="shared" si="6"/>
        <v>1</v>
      </c>
      <c r="M27" s="361" t="s">
        <v>167</v>
      </c>
      <c r="N27" s="276" t="str">
        <f>IFERROR(IF(OR(COUNTIF(职业!$V$3:$V$11,$O27)=1,COUNTIF($AB$3:$AB$7,$O27)=1),"★",IF(COUNTIF(职业!$Y$3:$Z$3,$O27),"☆",IF(COUNTIF(职业!$Y$5:$Z$5,$O27),"⊙",IF(COUNTIF(职业!$Y$7:$Z$7,$O27),"※",IF(COUNTIF(职业!$Y$9:$AA$9,$O27),"×"," ")))))," ")</f>
        <v xml:space="preserve"> </v>
      </c>
      <c r="O27" s="567" t="s">
        <v>88</v>
      </c>
      <c r="P27" s="567"/>
      <c r="Q27" s="277">
        <v>1</v>
      </c>
      <c r="R27" s="278"/>
      <c r="S27" s="278"/>
      <c r="T27" s="278"/>
      <c r="U27" s="277">
        <f t="shared" si="7"/>
        <v>1</v>
      </c>
      <c r="V27" s="277">
        <f t="shared" si="8"/>
        <v>0</v>
      </c>
      <c r="W27" s="334">
        <f t="shared" si="9"/>
        <v>0</v>
      </c>
      <c r="X27" s="5"/>
      <c r="Y27" s="698" t="s">
        <v>1548</v>
      </c>
      <c r="Z27" s="699"/>
      <c r="AA27" s="692" t="str">
        <f>LOOKUP(J25,{0,1,10,50,90,99},{"连贫穷都够不上的人才能够叫做身无分文。","刚好买得起最廉价的屋顶，每天能够吃到一餐廉价食物。","舒适的生活水平，一日三餐，偶尔下馆子。","小康级别已经可以享受奢侈品的舒适了。","富裕级别就是享受超级奢侈品的时候了。","与富裕差不多，但钱已经只是一个代号了。你将是世界上最富有的人。"})</f>
        <v>连贫穷都够不上的人才能够叫做身无分文。</v>
      </c>
      <c r="AB27" s="693"/>
      <c r="AC27" s="693"/>
      <c r="AD27" s="693"/>
      <c r="AE27" s="693"/>
      <c r="AF27" s="694"/>
      <c r="AG27" s="5"/>
      <c r="AH27" s="5"/>
      <c r="AI27" s="5"/>
    </row>
    <row r="28" spans="2:35" ht="16.5" customHeight="1" x14ac:dyDescent="0.2">
      <c r="B28" s="335" t="s">
        <v>167</v>
      </c>
      <c r="C28" s="280" t="str">
        <f>IFERROR(IF(OR(COUNTIF(职业!$V$3:$V$11,$D28)=1,COUNTIF($AB$3:$AB$7,$D28)=1),"★",IF(COUNTIF(职业!$Y$3:$Z$3,$D28),"☆",IF(COUNTIF(职业!$Y$5:$Z$5,$D28),"⊙",IF(COUNTIF(职业!$Y$7:$Z$7,$D28),"※",IF(COUNTIF(职业!$Y$9:$AA$9,$D28),"×"," ")))))," ")</f>
        <v xml:space="preserve"> </v>
      </c>
      <c r="D28" s="569" t="s">
        <v>77</v>
      </c>
      <c r="E28" s="569"/>
      <c r="F28" s="281">
        <f>INT(M3/2)</f>
        <v>0</v>
      </c>
      <c r="G28" s="282"/>
      <c r="H28" s="282"/>
      <c r="I28" s="282"/>
      <c r="J28" s="281">
        <f t="shared" si="4"/>
        <v>0</v>
      </c>
      <c r="K28" s="281">
        <f t="shared" si="5"/>
        <v>0</v>
      </c>
      <c r="L28" s="366">
        <f t="shared" si="6"/>
        <v>0</v>
      </c>
      <c r="M28" s="362" t="s">
        <v>167</v>
      </c>
      <c r="N28" s="280" t="str">
        <f>IFERROR(IF(OR(COUNTIF(职业!$V$3:$V$11,$O28)=1,COUNTIF($AB$3:$AB$7,$O28)=1),"★",IF(COUNTIF(职业!$Y$3:$Z$3,$O28),"☆",IF(COUNTIF(职业!$Y$5:$Z$5,$O28),"⊙",IF(COUNTIF(职业!$Y$7:$Z$7,$O28),"※",IF(COUNTIF(职业!$Y$9:$AA$9,$O28),"×"," ")))))," ")</f>
        <v xml:space="preserve"> </v>
      </c>
      <c r="O28" s="569" t="s">
        <v>89</v>
      </c>
      <c r="P28" s="569"/>
      <c r="Q28" s="281">
        <v>10</v>
      </c>
      <c r="R28" s="282"/>
      <c r="S28" s="282"/>
      <c r="T28" s="282"/>
      <c r="U28" s="281">
        <f t="shared" si="7"/>
        <v>10</v>
      </c>
      <c r="V28" s="281">
        <f t="shared" si="8"/>
        <v>5</v>
      </c>
      <c r="W28" s="336">
        <f t="shared" si="9"/>
        <v>2</v>
      </c>
      <c r="Y28" s="700"/>
      <c r="Z28" s="701"/>
      <c r="AA28" s="695"/>
      <c r="AB28" s="696"/>
      <c r="AC28" s="696"/>
      <c r="AD28" s="696"/>
      <c r="AE28" s="696"/>
      <c r="AF28" s="697"/>
    </row>
    <row r="29" spans="2:35" x14ac:dyDescent="0.2">
      <c r="B29" s="333" t="s">
        <v>167</v>
      </c>
      <c r="C29" s="276" t="str">
        <f>IFERROR(IF(OR(COUNTIF(职业!$V$3:$V$11,$D29)=1,COUNTIF($AB$3:$AB$7,$D29)=1),"★",IF(COUNTIF(职业!$Y$3:$Z$3,$D29),"☆",IF(COUNTIF(职业!$Y$5:$Z$5,$D29),"⊙",IF(COUNTIF(职业!$Y$7:$Z$7,$D29),"※",IF(COUNTIF(职业!$Y$9:$AA$9,$D29),"×"," ")))))," ")</f>
        <v xml:space="preserve"> </v>
      </c>
      <c r="D29" s="568" t="s">
        <v>78</v>
      </c>
      <c r="E29" s="568"/>
      <c r="F29" s="277">
        <v>20</v>
      </c>
      <c r="G29" s="278"/>
      <c r="H29" s="278"/>
      <c r="I29" s="278"/>
      <c r="J29" s="277">
        <f t="shared" si="4"/>
        <v>20</v>
      </c>
      <c r="K29" s="277">
        <f t="shared" si="5"/>
        <v>10</v>
      </c>
      <c r="L29" s="365">
        <f t="shared" si="6"/>
        <v>4</v>
      </c>
      <c r="M29" s="361" t="s">
        <v>167</v>
      </c>
      <c r="N29" s="276" t="str">
        <f>IFERROR(IF(OR(COUNTIF(职业!$V$3:$V$11,$O29)=1,COUNTIF($AB$3:$AB$7,$O29)=1),"★",IF(COUNTIF(职业!$Y$3:$Z$3,$O29),"☆",IF(COUNTIF(职业!$Y$5:$Z$5,$O29),"⊙",IF(COUNTIF(职业!$Y$7:$Z$7,$O29),"※",IF(COUNTIF(职业!$Y$9:$AA$9,$O29),"×","")))))," ")&amp;(IF(F5=107,"×",""))</f>
        <v/>
      </c>
      <c r="O29" s="567" t="s">
        <v>946</v>
      </c>
      <c r="P29" s="567"/>
      <c r="Q29" s="277">
        <v>5</v>
      </c>
      <c r="R29" s="278"/>
      <c r="S29" s="278"/>
      <c r="T29" s="278"/>
      <c r="U29" s="277">
        <f t="shared" si="7"/>
        <v>5</v>
      </c>
      <c r="V29" s="277">
        <f t="shared" si="8"/>
        <v>2</v>
      </c>
      <c r="W29" s="334">
        <f t="shared" si="9"/>
        <v>1</v>
      </c>
      <c r="Y29" s="702" t="s">
        <v>1564</v>
      </c>
      <c r="Z29" s="703"/>
      <c r="AA29" s="714" t="str">
        <f>LOOKUP(J25,{0,1,10,50,90,99},{"大概只有睡大街。","最最最廉价的出租屋或睡袋旅馆。","普通的家或公寓，并关租赁还是自购。外出住普通的旅馆。","真材实料的住地，也许会有一些仆人。乡下估计还有小别墅。会住昂贵的宾馆。","豪华住所和有着大量仆人的庭院。乡下和别处有着别墅是定番，住总统套房。","钱已经只是一个代号。"})</f>
        <v>大概只有睡大街。</v>
      </c>
      <c r="AB29" s="715"/>
      <c r="AC29" s="715"/>
      <c r="AD29" s="715"/>
      <c r="AE29" s="715"/>
      <c r="AF29" s="716"/>
    </row>
    <row r="30" spans="2:35" x14ac:dyDescent="0.2">
      <c r="B30" s="335" t="s">
        <v>167</v>
      </c>
      <c r="C30" s="280" t="str">
        <f>IFERROR(IF(OR(COUNTIF(职业!$V$3:$V$11,$D30)=1,COUNTIF($AB$3:$AB$7,$D30)=1),"★",IF(COUNTIF(职业!$Y$3:$Z$3,$D30),"☆",IF(COUNTIF(职业!$Y$5:$Z$5,$D30),"⊙",IF(COUNTIF(职业!$Y$7:$Z$7,$D30),"※",IF(COUNTIF(职业!$Y$9:$AA$9,$D30),"×"," ")))))," ")</f>
        <v xml:space="preserve"> </v>
      </c>
      <c r="D30" s="569" t="s">
        <v>79</v>
      </c>
      <c r="E30" s="569"/>
      <c r="F30" s="281">
        <v>10</v>
      </c>
      <c r="G30" s="282"/>
      <c r="H30" s="282"/>
      <c r="I30" s="289"/>
      <c r="J30" s="281">
        <f t="shared" si="4"/>
        <v>10</v>
      </c>
      <c r="K30" s="281">
        <f t="shared" si="5"/>
        <v>5</v>
      </c>
      <c r="L30" s="366">
        <f t="shared" si="6"/>
        <v>2</v>
      </c>
      <c r="M30" s="362" t="s">
        <v>167</v>
      </c>
      <c r="N30" s="280" t="str">
        <f>IFERROR(IF(OR(COUNTIF(职业!$V$3:$V$11,$O30)=1,COUNTIF($AB$3:$AB$7,$O30)=1),"★",IF(COUNTIF(职业!$Y$3:$Z$3,$O30),"☆",IF(COUNTIF(职业!$Y$5:$Z$5,$O30),"⊙",IF(COUNTIF(职业!$Y$7:$Z$7,$O30),"※",IF(COUNTIF(职业!$Y$9:$AA$9,$O30),"×"," ")))))," ")</f>
        <v xml:space="preserve"> </v>
      </c>
      <c r="O30" s="285" t="s">
        <v>941</v>
      </c>
      <c r="P30" s="288" t="s">
        <v>1469</v>
      </c>
      <c r="Q30" s="281">
        <v>1</v>
      </c>
      <c r="R30" s="282"/>
      <c r="S30" s="282"/>
      <c r="T30" s="282"/>
      <c r="U30" s="281">
        <f t="shared" si="7"/>
        <v>1</v>
      </c>
      <c r="V30" s="281">
        <f t="shared" si="8"/>
        <v>0</v>
      </c>
      <c r="W30" s="336">
        <f t="shared" si="9"/>
        <v>0</v>
      </c>
      <c r="Y30" s="704"/>
      <c r="Z30" s="705"/>
      <c r="AA30" s="717"/>
      <c r="AB30" s="718"/>
      <c r="AC30" s="718"/>
      <c r="AD30" s="718"/>
      <c r="AE30" s="718"/>
      <c r="AF30" s="719"/>
    </row>
    <row r="31" spans="2:35" x14ac:dyDescent="0.2">
      <c r="B31" s="333" t="s">
        <v>167</v>
      </c>
      <c r="C31" s="276" t="str">
        <f>IFERROR(IF(OR(COUNTIF(职业!$V$3:$V$11,$D31)=1,COUNTIF($AB$3:$AB$7,$D31)=1),"★",IF(COUNTIF(职业!$Y$3:$Z$3,$D31),"☆",IF(COUNTIF(职业!$Y$5:$Z$5,$D31),"⊙",IF(COUNTIF(职业!$Y$7:$Z$7,$D31),"※",IF(COUNTIF(职业!$Y$9:$AA$9,$D31),"×"," ")))))," ")</f>
        <v xml:space="preserve"> </v>
      </c>
      <c r="D31" s="568" t="s">
        <v>913</v>
      </c>
      <c r="E31" s="568"/>
      <c r="F31" s="277">
        <v>1</v>
      </c>
      <c r="G31" s="278"/>
      <c r="H31" s="278"/>
      <c r="I31" s="278"/>
      <c r="J31" s="277">
        <f t="shared" si="4"/>
        <v>1</v>
      </c>
      <c r="K31" s="277">
        <f t="shared" si="5"/>
        <v>0</v>
      </c>
      <c r="L31" s="365">
        <f t="shared" si="6"/>
        <v>0</v>
      </c>
      <c r="M31" s="361" t="s">
        <v>167</v>
      </c>
      <c r="N31" s="276" t="str">
        <f>IFERROR(IF(OR(COUNTIF(职业!$V$3:$V$11,$O31)=1,COUNTIF($AB$3:$AB$7,$O31)=1),"★",IF(COUNTIF(职业!$Y$3:$Z$3,$O31),"☆",IF(COUNTIF(职业!$Y$5:$Z$5,$O31),"⊙",IF(COUNTIF(职业!$Y$7:$Z$7,$O31),"※",IF(COUNTIF(职业!$Y$9:$AA$9,$O31),"×"," ")))))," ")</f>
        <v xml:space="preserve"> </v>
      </c>
      <c r="O31" s="290" t="s">
        <v>926</v>
      </c>
      <c r="P31" s="291"/>
      <c r="Q31" s="277">
        <v>1</v>
      </c>
      <c r="R31" s="278"/>
      <c r="S31" s="278"/>
      <c r="T31" s="278"/>
      <c r="U31" s="277">
        <f t="shared" si="7"/>
        <v>1</v>
      </c>
      <c r="V31" s="277">
        <f t="shared" si="8"/>
        <v>0</v>
      </c>
      <c r="W31" s="334">
        <f t="shared" si="9"/>
        <v>0</v>
      </c>
      <c r="Y31" s="698" t="s">
        <v>1565</v>
      </c>
      <c r="Z31" s="699"/>
      <c r="AA31" s="708" t="str">
        <f>LOOKUP(J25,{0,1,10,50,90,99},{"步行，扒车或逃票上火车轮船。","最便宜的公众运输方式。反正只要赶便宜就对了，与之相伴的是不可靠。","会使用普通的旅行方式，不会用最高级。在现代来看，大概会有一辆自己的小车。","头等舱。会买高档车或同等的交通工具。","坐头等舱。现代社会估摸还会有很多豪车。","钱已经只是一个代号。"})</f>
        <v>步行，扒车或逃票上火车轮船。</v>
      </c>
      <c r="AB31" s="709"/>
      <c r="AC31" s="709"/>
      <c r="AD31" s="709"/>
      <c r="AE31" s="709"/>
      <c r="AF31" s="710"/>
    </row>
    <row r="32" spans="2:35" x14ac:dyDescent="0.2">
      <c r="B32" s="335" t="s">
        <v>167</v>
      </c>
      <c r="C32" s="292" t="str">
        <f>IFERROR(IF(OR(COUNTIF(职业!$V$3:$V$11,$D32)=1,COUNTIF($AB$3:$AB$7,$D32)=1),"★",IF(COUNTIF(职业!$Y$3:$Z$3,$D32),"☆",IF(COUNTIF(职业!$Y$5:$Z$5,$D32),"⊙",IF(COUNTIF(职业!$Y$7:$Z$7,$D32),"※",IF(COUNTIF(职业!$Y$9:$AA$9,$D32),"×"," ")))))," ")&amp;CHAR(10)&amp;IF($K$9=" "," ","☯")</f>
        <v xml:space="preserve"> 
 </v>
      </c>
      <c r="D32" s="569" t="s">
        <v>80</v>
      </c>
      <c r="E32" s="569"/>
      <c r="F32" s="281">
        <v>5</v>
      </c>
      <c r="G32" s="282"/>
      <c r="H32" s="282"/>
      <c r="I32" s="282"/>
      <c r="J32" s="281">
        <f t="shared" si="4"/>
        <v>5</v>
      </c>
      <c r="K32" s="281">
        <f t="shared" si="5"/>
        <v>2</v>
      </c>
      <c r="L32" s="366">
        <f t="shared" si="6"/>
        <v>1</v>
      </c>
      <c r="M32" s="362" t="s">
        <v>167</v>
      </c>
      <c r="N32" s="280" t="str">
        <f>IFERROR(IF(OR(COUNTIF(职业!$V$3:$V$11,$O32)=1,COUNTIF($AB$3:$AB$7,$O32)=1),"★",IF(COUNTIF(职业!$Y$3:$Z$3,$O32),"☆",IF(COUNTIF(职业!$Y$5:$Z$5,$O32),"⊙",IF(COUNTIF(职业!$Y$7:$Z$7,$O32),"※",IF(COUNTIF(职业!$Y$9:$AA$9,$O32),"×"," ")))))," ")</f>
        <v xml:space="preserve"> </v>
      </c>
      <c r="O32" s="287" t="s">
        <v>939</v>
      </c>
      <c r="P32" s="288"/>
      <c r="Q32" s="281">
        <v>1</v>
      </c>
      <c r="R32" s="282"/>
      <c r="S32" s="282"/>
      <c r="T32" s="282"/>
      <c r="U32" s="281">
        <f t="shared" si="7"/>
        <v>1</v>
      </c>
      <c r="V32" s="281">
        <f t="shared" si="8"/>
        <v>0</v>
      </c>
      <c r="W32" s="336">
        <f t="shared" si="9"/>
        <v>0</v>
      </c>
      <c r="Y32" s="706"/>
      <c r="Z32" s="707"/>
      <c r="AA32" s="711"/>
      <c r="AB32" s="712"/>
      <c r="AC32" s="712"/>
      <c r="AD32" s="712"/>
      <c r="AE32" s="712"/>
      <c r="AF32" s="713"/>
    </row>
    <row r="33" spans="1:32" x14ac:dyDescent="0.2">
      <c r="A33" s="314"/>
      <c r="B33" s="333" t="s">
        <v>167</v>
      </c>
      <c r="C33" s="276" t="str">
        <f>IFERROR(IF(OR(COUNTIF(职业!$V$3:$V$11,$E33)=1,COUNTIF($AB$3:$AB$7,$E33)=1),"★",IF(COUNTIF(职业!$Y$3:$Z$3,$E33),"☆",IF(COUNTIF(职业!$Y$5:$Z$5,$E33),"⊙",IF(COUNTIF(职业!$Y$7:$Z$7,$E33),"※",IF(COUNTIF(职业!$Y$9:$AA$9,$E33),"×"," ")))))," ")</f>
        <v xml:space="preserve"> </v>
      </c>
      <c r="D33" s="293" t="s">
        <v>1468</v>
      </c>
      <c r="E33" s="294" t="s">
        <v>1030</v>
      </c>
      <c r="F33" s="295">
        <v>25</v>
      </c>
      <c r="G33" s="278"/>
      <c r="H33" s="278"/>
      <c r="I33" s="278"/>
      <c r="J33" s="277">
        <f t="shared" si="4"/>
        <v>25</v>
      </c>
      <c r="K33" s="277">
        <f t="shared" si="5"/>
        <v>12</v>
      </c>
      <c r="L33" s="365">
        <f t="shared" si="6"/>
        <v>5</v>
      </c>
      <c r="M33" s="361" t="s">
        <v>167</v>
      </c>
      <c r="N33" s="276" t="str">
        <f>IFERROR(IF(OR(COUNTIF(职业!$V$3:$V$11,$O33)=1,COUNTIF($AB$3:$AB$7,$O33)=1),"★",IF(COUNTIF(职业!$Y$3:$Z$3,$O33),"☆",IF(COUNTIF(职业!$Y$5:$Z$5,$O33),"⊙",IF(COUNTIF(职业!$Y$7:$Z$7,$O33),"※",IF(COUNTIF(职业!$Y$9:$AA$9,$O33),"×"," ")))))," ")</f>
        <v xml:space="preserve"> </v>
      </c>
      <c r="O33" s="567" t="s">
        <v>91</v>
      </c>
      <c r="P33" s="567"/>
      <c r="Q33" s="277">
        <v>10</v>
      </c>
      <c r="R33" s="278"/>
      <c r="S33" s="278"/>
      <c r="T33" s="278"/>
      <c r="U33" s="277">
        <f t="shared" si="7"/>
        <v>10</v>
      </c>
      <c r="V33" s="277">
        <f t="shared" si="8"/>
        <v>5</v>
      </c>
      <c r="W33" s="334">
        <f t="shared" si="9"/>
        <v>2</v>
      </c>
      <c r="Y33" s="720" t="s">
        <v>1587</v>
      </c>
      <c r="Z33" s="721"/>
      <c r="AA33" s="721"/>
      <c r="AB33" s="721"/>
      <c r="AC33" s="721"/>
      <c r="AD33" s="721"/>
      <c r="AE33" s="721"/>
      <c r="AF33" s="722"/>
    </row>
    <row r="34" spans="1:32" ht="16.5" customHeight="1" x14ac:dyDescent="0.2">
      <c r="A34" s="314"/>
      <c r="B34" s="335" t="s">
        <v>167</v>
      </c>
      <c r="C34" s="280" t="str">
        <f>IFERROR(IF(OR(COUNTIF(职业!$V$3:$V$11,$D34)=1,COUNTIF($AB$3:$AB$7,$D34)=1),"★",IF(COUNTIF(职业!$Y$3:$Z$3,$D34),"☆",IF(COUNTIF(职业!$Y$5:$Z$5,$D34),"⊙",IF(COUNTIF(职业!$Y$7:$Z$7,$D34),"※",IF(COUNTIF(职业!$Y$9:$AA$9,$D34),"×"," ")))))," ")</f>
        <v xml:space="preserve"> </v>
      </c>
      <c r="D34" s="285" t="s">
        <v>927</v>
      </c>
      <c r="E34" s="288"/>
      <c r="F34" s="281" t="str">
        <f>IF(ISNA(LOOKUP(E34,分支技能!$H$4:$H$11,分支技能!$I$4:$I$11)),"0",LOOKUP(E34,分支技能!$H$4:$H$11,分支技能!$I$4:$I$11))</f>
        <v>0</v>
      </c>
      <c r="G34" s="282"/>
      <c r="H34" s="282"/>
      <c r="I34" s="282"/>
      <c r="J34" s="281">
        <f t="shared" si="4"/>
        <v>0</v>
      </c>
      <c r="K34" s="281">
        <f t="shared" si="5"/>
        <v>0</v>
      </c>
      <c r="L34" s="366">
        <f t="shared" si="6"/>
        <v>0</v>
      </c>
      <c r="M34" s="362" t="s">
        <v>167</v>
      </c>
      <c r="N34" s="280" t="str">
        <f>IFERROR(IF(OR(COUNTIF(职业!$V$3:$V$11,$O34)=1,COUNTIF($AB$3:$AB$7,$O34)=1),"★",IF(COUNTIF(职业!$Y$3:$Z$3,$O34),"☆",IF(COUNTIF(职业!$Y$5:$Z$5,$O34),"⊙",IF(COUNTIF(职业!$Y$7:$Z$7,$O34),"※",IF(COUNTIF(职业!$Y$9:$AA$9,$O34),"×"," ")))))," ")</f>
        <v xml:space="preserve"> </v>
      </c>
      <c r="O34" s="569" t="s">
        <v>231</v>
      </c>
      <c r="P34" s="569"/>
      <c r="Q34" s="281">
        <v>25</v>
      </c>
      <c r="R34" s="282"/>
      <c r="S34" s="282"/>
      <c r="T34" s="282"/>
      <c r="U34" s="281">
        <f t="shared" si="7"/>
        <v>25</v>
      </c>
      <c r="V34" s="281">
        <f t="shared" si="8"/>
        <v>12</v>
      </c>
      <c r="W34" s="336">
        <f t="shared" si="9"/>
        <v>5</v>
      </c>
      <c r="Y34" s="723"/>
      <c r="Z34" s="724"/>
      <c r="AA34" s="724"/>
      <c r="AB34" s="724"/>
      <c r="AC34" s="724"/>
      <c r="AD34" s="724"/>
      <c r="AE34" s="724"/>
      <c r="AF34" s="725"/>
    </row>
    <row r="35" spans="1:32" x14ac:dyDescent="0.2">
      <c r="A35" s="314"/>
      <c r="B35" s="333" t="s">
        <v>167</v>
      </c>
      <c r="C35" s="276" t="str">
        <f>IFERROR(IF(OR(COUNTIF(职业!$V$3:$V$11,$D35)=1,COUNTIF($AB$3:$AB$7,$D35)=1),"★",IF(COUNTIF(职业!$Y$3:$Z$3,$D35),"☆",IF(COUNTIF(职业!$Y$5:$Z$5,$D35),"⊙",IF(COUNTIF(职业!$Y$7:$Z$7,$D35),"※",IF(COUNTIF(职业!$Y$9:$AA$9,$D35),"×"," ")))))," ")</f>
        <v xml:space="preserve"> </v>
      </c>
      <c r="D35" s="293" t="s">
        <v>928</v>
      </c>
      <c r="E35" s="294"/>
      <c r="F35" s="295" t="str">
        <f>IF(ISNA(LOOKUP(E35,分支技能!$H$4:$H$11,分支技能!$I$4:$I$11)),"0",LOOKUP(E35,分支技能!$H$4:$H$11,分支技能!$I$4:$I$11))</f>
        <v>0</v>
      </c>
      <c r="G35" s="278"/>
      <c r="H35" s="278"/>
      <c r="I35" s="278"/>
      <c r="J35" s="277">
        <f t="shared" si="4"/>
        <v>0</v>
      </c>
      <c r="K35" s="277">
        <f t="shared" si="5"/>
        <v>0</v>
      </c>
      <c r="L35" s="365">
        <f t="shared" si="6"/>
        <v>0</v>
      </c>
      <c r="M35" s="361" t="s">
        <v>167</v>
      </c>
      <c r="N35" s="276" t="str">
        <f>IFERROR(IF(OR(COUNTIF(职业!$V$3:$V$11,$O35)=1,COUNTIF($AB$3:$AB$7,$O35)=1),"★",IF(COUNTIF(职业!$Y$3:$Z$3,$O35),"☆",IF(COUNTIF(职业!$Y$5:$Z$5,$O35),"⊙",IF(COUNTIF(职业!$Y$7:$Z$7,$O35),"※",IF(COUNTIF(职业!$Y$9:$AA$9,$O35),"×"," ")))))," ")</f>
        <v xml:space="preserve"> </v>
      </c>
      <c r="O35" s="567" t="s">
        <v>92</v>
      </c>
      <c r="P35" s="567"/>
      <c r="Q35" s="277">
        <v>20</v>
      </c>
      <c r="R35" s="278"/>
      <c r="S35" s="278"/>
      <c r="T35" s="278"/>
      <c r="U35" s="277">
        <f t="shared" si="7"/>
        <v>20</v>
      </c>
      <c r="V35" s="277">
        <f t="shared" si="8"/>
        <v>10</v>
      </c>
      <c r="W35" s="334">
        <f t="shared" si="9"/>
        <v>4</v>
      </c>
      <c r="Y35" s="723"/>
      <c r="Z35" s="724"/>
      <c r="AA35" s="724"/>
      <c r="AB35" s="724"/>
      <c r="AC35" s="724"/>
      <c r="AD35" s="724"/>
      <c r="AE35" s="724"/>
      <c r="AF35" s="725"/>
    </row>
    <row r="36" spans="1:32" ht="16.5" customHeight="1" thickBot="1" x14ac:dyDescent="0.25">
      <c r="A36" s="314"/>
      <c r="B36" s="335" t="s">
        <v>167</v>
      </c>
      <c r="C36" s="292" t="str">
        <f>IFERROR(IF(OR(COUNTIF(职业!$V$3:$V$11,$E36)=1,COUNTIF($AB$3:$AB$7,$E36)=1),"★",IF(COUNTIF(职业!$Y$3:$Z$3,$E36),"☆",IF(COUNTIF(职业!$Y$5:$Z$5,$E36),"⊙",IF(COUNTIF(职业!$Y$7:$Z$7,$E36),"※",IF(COUNTIF(职业!$Y$9:$AA$9,$E36),"×"," ")))))," ")</f>
        <v xml:space="preserve"> </v>
      </c>
      <c r="D36" s="296" t="s">
        <v>1057</v>
      </c>
      <c r="E36" s="297" t="s">
        <v>1044</v>
      </c>
      <c r="F36" s="281">
        <v>20</v>
      </c>
      <c r="G36" s="282"/>
      <c r="H36" s="282"/>
      <c r="I36" s="282"/>
      <c r="J36" s="281">
        <f t="shared" si="4"/>
        <v>20</v>
      </c>
      <c r="K36" s="281">
        <f t="shared" si="5"/>
        <v>10</v>
      </c>
      <c r="L36" s="366">
        <f t="shared" si="6"/>
        <v>4</v>
      </c>
      <c r="M36" s="362" t="s">
        <v>167</v>
      </c>
      <c r="N36" s="280" t="str">
        <f>IFERROR(IF(OR(COUNTIF(职业!$V$3:$V$11,$O36)=1,COUNTIF($AB$3:$AB$7,$O36)=1),"★",IF(COUNTIF(职业!$Y$3:$Z$3,$O36),"☆",IF(COUNTIF(职业!$Y$5:$Z$5,$O36),"⊙",IF(COUNTIF(职业!$Y$7:$Z$7,$O36),"※",IF(COUNTIF(职业!$Y$9:$AA$9,$O36),"×"," ")))))," ")</f>
        <v xml:space="preserve"> </v>
      </c>
      <c r="O36" s="287" t="s">
        <v>950</v>
      </c>
      <c r="P36" s="288"/>
      <c r="Q36" s="281">
        <v>10</v>
      </c>
      <c r="R36" s="282"/>
      <c r="S36" s="282"/>
      <c r="T36" s="282"/>
      <c r="U36" s="281">
        <f t="shared" si="7"/>
        <v>10</v>
      </c>
      <c r="V36" s="281">
        <f t="shared" si="8"/>
        <v>5</v>
      </c>
      <c r="W36" s="336">
        <f t="shared" si="9"/>
        <v>2</v>
      </c>
      <c r="Y36" s="726"/>
      <c r="Z36" s="727"/>
      <c r="AA36" s="727"/>
      <c r="AB36" s="727"/>
      <c r="AC36" s="727"/>
      <c r="AD36" s="727"/>
      <c r="AE36" s="727"/>
      <c r="AF36" s="728"/>
    </row>
    <row r="37" spans="1:32" ht="17.25" thickBot="1" x14ac:dyDescent="0.25">
      <c r="A37" s="314"/>
      <c r="B37" s="333" t="s">
        <v>167</v>
      </c>
      <c r="C37" s="276" t="str">
        <f>IFERROR(IF(OR(COUNTIF(职业!$V$3:$V$11,$D37)=1,COUNTIF($AB$3:$AB$7,$D37)=1),"★",IF(COUNTIF(职业!$Y$3:$Z$3,$D37),"☆",IF(COUNTIF(职业!$Y$5:$Z$5,$D37),"⊙",IF(COUNTIF(职业!$Y$7:$Z$7,$D37),"※",IF(COUNTIF(职业!$Y$9:$AA$9,$D37),"×"," ")))))," ")</f>
        <v xml:space="preserve"> </v>
      </c>
      <c r="D37" s="290" t="s">
        <v>929</v>
      </c>
      <c r="E37" s="298" t="s">
        <v>1536</v>
      </c>
      <c r="F37" s="277">
        <f>IF(ISNA(LOOKUP(E37,分支技能!K4:K10,分支技能!L4:L10)),"0",LOOKUP(E37,分支技能!K4:K10,分支技能!L4:L10))</f>
        <v>15</v>
      </c>
      <c r="G37" s="278"/>
      <c r="H37" s="278"/>
      <c r="I37" s="278"/>
      <c r="J37" s="277">
        <f t="shared" si="4"/>
        <v>15</v>
      </c>
      <c r="K37" s="277">
        <f t="shared" si="5"/>
        <v>7</v>
      </c>
      <c r="L37" s="365">
        <f t="shared" si="6"/>
        <v>3</v>
      </c>
      <c r="M37" s="361" t="s">
        <v>167</v>
      </c>
      <c r="N37" s="276" t="str">
        <f>IFERROR(IF(OR(COUNTIF(职业!$V$3:$V$11,$O37)=1,COUNTIF($AB$3:$AB$7,$O37)=1),"★",IF(COUNTIF(职业!$Y$3:$Z$3,$O37),"☆",IF(COUNTIF(职业!$Y$5:$Z$5,$O37),"⊙",IF(COUNTIF(职业!$Y$7:$Z$7,$O37),"※",IF(COUNTIF(职业!$Y$9:$AA$9,$O37),"×"," ")))))," ")</f>
        <v xml:space="preserve"> </v>
      </c>
      <c r="O37" s="567" t="s">
        <v>93</v>
      </c>
      <c r="P37" s="567"/>
      <c r="Q37" s="277">
        <v>20</v>
      </c>
      <c r="R37" s="278"/>
      <c r="S37" s="278"/>
      <c r="T37" s="278"/>
      <c r="U37" s="277">
        <f t="shared" si="7"/>
        <v>20</v>
      </c>
      <c r="V37" s="277">
        <f t="shared" si="8"/>
        <v>10</v>
      </c>
      <c r="W37" s="334">
        <f t="shared" si="9"/>
        <v>4</v>
      </c>
    </row>
    <row r="38" spans="1:32" ht="16.5" customHeight="1" x14ac:dyDescent="0.2">
      <c r="A38" s="314"/>
      <c r="B38" s="335" t="s">
        <v>167</v>
      </c>
      <c r="C38" s="280" t="str">
        <f>IFERROR(IF(OR(COUNTIF(职业!$V$3:$V$11,$D38)=1,COUNTIF($AB$3:$AB$7,$D38)=1),"★",IF(COUNTIF(职业!$Y$3:$Z$3,$D38),"☆",IF(COUNTIF(职业!$Y$5:$Z$5,$D38),"⊙",IF(COUNTIF(职业!$Y$7:$Z$7,$D38),"※",IF(COUNTIF(职业!$Y$9:$AA$9,$D38),"×"," ")))))," ")</f>
        <v xml:space="preserve"> </v>
      </c>
      <c r="D38" s="296" t="s">
        <v>930</v>
      </c>
      <c r="E38" s="286"/>
      <c r="F38" s="281" t="str">
        <f>IF(ISNA(LOOKUP(E38,分支技能!K4:K10,分支技能!L4:L10)),"0",LOOKUP(E38,分支技能!K4:K10,分支技能!L4:L10))</f>
        <v>0</v>
      </c>
      <c r="G38" s="282"/>
      <c r="H38" s="282"/>
      <c r="I38" s="282"/>
      <c r="J38" s="281">
        <f t="shared" si="4"/>
        <v>0</v>
      </c>
      <c r="K38" s="281">
        <f t="shared" si="5"/>
        <v>0</v>
      </c>
      <c r="L38" s="366">
        <f t="shared" si="6"/>
        <v>0</v>
      </c>
      <c r="M38" s="362" t="s">
        <v>167</v>
      </c>
      <c r="N38" s="280" t="str">
        <f>IFERROR(IF(OR(COUNTIF(职业!$V$3:$V$11,$O38)=1,COUNTIF($AB$3:$AB$7,$O38)=1),"★",IF(COUNTIF(职业!$Y$3:$Z$3,$O38),"☆",IF(COUNTIF(职业!$Y$5:$Z$5,$O38),"⊙",IF(COUNTIF(职业!$Y$7:$Z$7,$O38),"※",IF(COUNTIF(职业!$Y$9:$AA$9,$O38),"×"," ")))))," ")</f>
        <v xml:space="preserve"> </v>
      </c>
      <c r="O38" s="569" t="s">
        <v>1004</v>
      </c>
      <c r="P38" s="569"/>
      <c r="Q38" s="281">
        <v>5</v>
      </c>
      <c r="R38" s="282"/>
      <c r="S38" s="282"/>
      <c r="T38" s="282"/>
      <c r="U38" s="281">
        <f t="shared" ref="U38:U43" si="10">SUM(Q38:T38)</f>
        <v>5</v>
      </c>
      <c r="V38" s="281">
        <f t="shared" ref="V38:V43" si="11">INT(U38/2)</f>
        <v>2</v>
      </c>
      <c r="W38" s="336">
        <f t="shared" ref="W38:W43" si="12">INT(U38/5)</f>
        <v>1</v>
      </c>
      <c r="Y38" s="677" t="s">
        <v>233</v>
      </c>
      <c r="Z38" s="678"/>
      <c r="AA38" s="678"/>
      <c r="AB38" s="678"/>
      <c r="AC38" s="678"/>
      <c r="AD38" s="678"/>
      <c r="AE38" s="678"/>
      <c r="AF38" s="679"/>
    </row>
    <row r="39" spans="1:32" x14ac:dyDescent="0.2">
      <c r="B39" s="333" t="s">
        <v>167</v>
      </c>
      <c r="C39" s="276" t="str">
        <f>IFERROR(IF(OR(COUNTIF(职业!$V$3:$V$11,$D39)=1,COUNTIF($AB$3:$AB$7,$D39)=1),"★",IF(COUNTIF(职业!$Y$3:$Z$3,$D39),"☆",IF(COUNTIF(职业!$Y$5:$Z$5,$D39),"⊙",IF(COUNTIF(职业!$Y$7:$Z$7,$D39),"※",IF(COUNTIF(职业!$Y$9:$AA$9,$D39),"×"," ")))))," ")</f>
        <v xml:space="preserve"> </v>
      </c>
      <c r="D39" s="568" t="s">
        <v>234</v>
      </c>
      <c r="E39" s="568"/>
      <c r="F39" s="277">
        <v>30</v>
      </c>
      <c r="G39" s="278"/>
      <c r="H39" s="278"/>
      <c r="I39" s="278"/>
      <c r="J39" s="277">
        <f t="shared" si="4"/>
        <v>30</v>
      </c>
      <c r="K39" s="277">
        <f t="shared" si="5"/>
        <v>15</v>
      </c>
      <c r="L39" s="365">
        <f t="shared" si="6"/>
        <v>6</v>
      </c>
      <c r="M39" s="361" t="s">
        <v>167</v>
      </c>
      <c r="N39" s="276" t="str">
        <f>IFERROR(IF(OR(COUNTIF(职业!$V$3:$V$11,$O39)=1,COUNTIF($AB$3:$AB$7,$O39)=1),"★",IF(COUNTIF(职业!$Y$3:$Z$3,$O39),"☆",IF(COUNTIF(职业!$Y$5:$Z$5,$O39),"⊙",IF(COUNTIF(职业!$Y$7:$Z$7,$O39),"※",IF(COUNTIF(职业!$Y$9:$AA$9,$O39),"×"," ")))))," ")</f>
        <v xml:space="preserve"> </v>
      </c>
      <c r="O39" s="567" t="s">
        <v>1393</v>
      </c>
      <c r="P39" s="567"/>
      <c r="Q39" s="277">
        <v>1</v>
      </c>
      <c r="R39" s="278"/>
      <c r="S39" s="278"/>
      <c r="T39" s="278"/>
      <c r="U39" s="277">
        <f t="shared" si="10"/>
        <v>1</v>
      </c>
      <c r="V39" s="277">
        <f t="shared" si="11"/>
        <v>0</v>
      </c>
      <c r="W39" s="334">
        <f t="shared" si="12"/>
        <v>0</v>
      </c>
      <c r="Y39" s="671" t="s">
        <v>1585</v>
      </c>
      <c r="Z39" s="672"/>
      <c r="AA39" s="672"/>
      <c r="AB39" s="672"/>
      <c r="AC39" s="672"/>
      <c r="AD39" s="672"/>
      <c r="AE39" s="672"/>
      <c r="AF39" s="673"/>
    </row>
    <row r="40" spans="1:32" x14ac:dyDescent="0.2">
      <c r="B40" s="335" t="s">
        <v>167</v>
      </c>
      <c r="C40" s="280" t="str">
        <f>IFERROR(IF(OR(COUNTIF(职业!$V$3:$V$11,$D40)=1,COUNTIF($AB$3:$AB$7,$D40)=1),"★",IF(COUNTIF(职业!$Y$3:$Z$3,$D40),"☆",IF(COUNTIF(职业!$Y$5:$Z$5,$D40),"⊙",IF(COUNTIF(职业!$Y$7:$Z$7,$D40),"※",IF(COUNTIF(职业!$Y$9:$AA$9,$D40),"×"," ")))))," ")</f>
        <v xml:space="preserve"> </v>
      </c>
      <c r="D40" s="569" t="s">
        <v>191</v>
      </c>
      <c r="E40" s="569"/>
      <c r="F40" s="281">
        <v>5</v>
      </c>
      <c r="G40" s="282"/>
      <c r="H40" s="282"/>
      <c r="I40" s="282"/>
      <c r="J40" s="281">
        <f t="shared" si="4"/>
        <v>5</v>
      </c>
      <c r="K40" s="281">
        <f t="shared" si="5"/>
        <v>2</v>
      </c>
      <c r="L40" s="366">
        <f t="shared" si="6"/>
        <v>1</v>
      </c>
      <c r="M40" s="362" t="s">
        <v>167</v>
      </c>
      <c r="N40" s="280" t="str">
        <f>IFERROR(IF(OR(COUNTIF(职业!$V$3:$V$11,$O40)=1,COUNTIF($AB$3:$AB$7,$O40)=1),"★",IF(COUNTIF(职业!$Y$3:$Z$3,$O40),"☆",IF(COUNTIF(职业!$Y$5:$Z$5,$O40),"⊙",IF(COUNTIF(职业!$Y$7:$Z$7,$O40),"※",IF(COUNTIF(职业!$Y$9:$AA$9,$O40),"×"," ")))))," ")</f>
        <v xml:space="preserve"> </v>
      </c>
      <c r="O40" s="569" t="s">
        <v>1394</v>
      </c>
      <c r="P40" s="569"/>
      <c r="Q40" s="281">
        <v>1</v>
      </c>
      <c r="R40" s="282"/>
      <c r="S40" s="282"/>
      <c r="T40" s="282"/>
      <c r="U40" s="281">
        <f t="shared" si="10"/>
        <v>1</v>
      </c>
      <c r="V40" s="281">
        <f t="shared" si="11"/>
        <v>0</v>
      </c>
      <c r="W40" s="336">
        <f t="shared" si="12"/>
        <v>0</v>
      </c>
      <c r="Y40" s="735"/>
      <c r="Z40" s="736"/>
      <c r="AA40" s="736"/>
      <c r="AB40" s="736"/>
      <c r="AC40" s="736"/>
      <c r="AD40" s="736"/>
      <c r="AE40" s="736"/>
      <c r="AF40" s="737"/>
    </row>
    <row r="41" spans="1:32" x14ac:dyDescent="0.2">
      <c r="B41" s="333" t="s">
        <v>167</v>
      </c>
      <c r="C41" s="276" t="str">
        <f>IFERROR(IF(OR(COUNTIF(职业!$V$3:$V$11,$D41)=1,COUNTIF($AB$3:$AB$7,$D41)=1),"★",IF(COUNTIF(职业!$Y$3:$Z$3,$D41),"☆",IF(COUNTIF(职业!$Y$5:$Z$5,$D41),"⊙",IF(COUNTIF(职业!$Y$7:$Z$7,$D41),"※",IF(COUNTIF(职业!$Y$9:$AA$9,$D41),"×"," ")))))," ")&amp;CHAR(10)&amp;IF($K$9=" "," ","☯")</f>
        <v xml:space="preserve"> 
 </v>
      </c>
      <c r="D41" s="568" t="s">
        <v>81</v>
      </c>
      <c r="E41" s="568"/>
      <c r="F41" s="277">
        <v>15</v>
      </c>
      <c r="G41" s="278"/>
      <c r="H41" s="278"/>
      <c r="I41" s="278"/>
      <c r="J41" s="277">
        <f t="shared" si="4"/>
        <v>15</v>
      </c>
      <c r="K41" s="277">
        <f t="shared" si="5"/>
        <v>7</v>
      </c>
      <c r="L41" s="365">
        <f t="shared" si="6"/>
        <v>3</v>
      </c>
      <c r="M41" s="361" t="s">
        <v>167</v>
      </c>
      <c r="N41" s="276" t="str">
        <f>IFERROR(IF(OR(COUNTIF(职业!$V$3:$V$11,$O41)=1,COUNTIF($AB$3:$AB$7,$O41)=1),"★",IF(COUNTIF(职业!$Y$3:$Z$3,$O41),"☆",IF(COUNTIF(职业!$Y$5:$Z$5,$O41),"⊙",IF(COUNTIF(职业!$Y$7:$Z$7,$O41),"※",IF(COUNTIF(职业!$Y$9:$AA$9,$O41),"×"," ")))))," ")</f>
        <v xml:space="preserve"> </v>
      </c>
      <c r="O41" s="567" t="s">
        <v>1395</v>
      </c>
      <c r="P41" s="567"/>
      <c r="Q41" s="277">
        <v>1</v>
      </c>
      <c r="R41" s="278"/>
      <c r="S41" s="278"/>
      <c r="T41" s="278"/>
      <c r="U41" s="277">
        <f t="shared" si="10"/>
        <v>1</v>
      </c>
      <c r="V41" s="277">
        <f t="shared" si="11"/>
        <v>0</v>
      </c>
      <c r="W41" s="334">
        <f t="shared" si="12"/>
        <v>0</v>
      </c>
      <c r="Y41" s="671"/>
      <c r="Z41" s="672"/>
      <c r="AA41" s="672"/>
      <c r="AB41" s="672"/>
      <c r="AC41" s="672"/>
      <c r="AD41" s="672"/>
      <c r="AE41" s="672"/>
      <c r="AF41" s="673"/>
    </row>
    <row r="42" spans="1:32" x14ac:dyDescent="0.2">
      <c r="B42" s="335" t="s">
        <v>167</v>
      </c>
      <c r="C42" s="280" t="str">
        <f>IFERROR(IF(OR(COUNTIF(职业!$V$3:$V$11,$D42)=1,COUNTIF($AB$3:$AB$7,$D42)=1),"★",IF(COUNTIF(职业!$Y$3:$Z$3,$D42),"☆",IF(COUNTIF(职业!$Y$5:$Z$5,$D42),"⊙",IF(COUNTIF(职业!$Y$7:$Z$7,$D42),"※",IF(COUNTIF(职业!$Y$9:$AA$9,$D42),"×"," ")))))," ")</f>
        <v xml:space="preserve"> </v>
      </c>
      <c r="D42" s="569" t="s">
        <v>82</v>
      </c>
      <c r="E42" s="569"/>
      <c r="F42" s="281">
        <v>20</v>
      </c>
      <c r="G42" s="282"/>
      <c r="H42" s="282"/>
      <c r="I42" s="282"/>
      <c r="J42" s="281">
        <f t="shared" si="4"/>
        <v>20</v>
      </c>
      <c r="K42" s="281">
        <f t="shared" si="5"/>
        <v>10</v>
      </c>
      <c r="L42" s="366">
        <f t="shared" si="6"/>
        <v>4</v>
      </c>
      <c r="M42" s="362" t="s">
        <v>167</v>
      </c>
      <c r="N42" s="280" t="str">
        <f>IFERROR(IF(OR(COUNTIF(职业!$V$3:$V$11,$O42)=1,COUNTIF($AB$3:$AB$7,$O42)=1),"★",IF(COUNTIF(职业!$Y$3:$Z$3,$O42),"☆",IF(COUNTIF(职业!$Y$5:$Z$5,$O42),"⊙",IF(COUNTIF(职业!$Y$7:$Z$7,$O42),"※",IF(COUNTIF(职业!$Y$9:$AA$9,$O42),"×"," ")))))," ")</f>
        <v xml:space="preserve"> </v>
      </c>
      <c r="O42" s="569" t="s">
        <v>1396</v>
      </c>
      <c r="P42" s="569"/>
      <c r="Q42" s="281">
        <v>1</v>
      </c>
      <c r="R42" s="282"/>
      <c r="S42" s="282"/>
      <c r="T42" s="282"/>
      <c r="U42" s="281">
        <f t="shared" si="10"/>
        <v>1</v>
      </c>
      <c r="V42" s="281">
        <f t="shared" si="11"/>
        <v>0</v>
      </c>
      <c r="W42" s="336">
        <f t="shared" si="12"/>
        <v>0</v>
      </c>
      <c r="Y42" s="735"/>
      <c r="Z42" s="736"/>
      <c r="AA42" s="736"/>
      <c r="AB42" s="736"/>
      <c r="AC42" s="736"/>
      <c r="AD42" s="736"/>
      <c r="AE42" s="736"/>
      <c r="AF42" s="737"/>
    </row>
    <row r="43" spans="1:32" ht="16.5" customHeight="1" x14ac:dyDescent="0.2">
      <c r="B43" s="333" t="s">
        <v>167</v>
      </c>
      <c r="C43" s="276" t="str">
        <f>IFERROR(IF(OR(COUNTIF(职业!$V$3:$V$11,$D43)=1,COUNTIF($AB$3:$AB$7,$D43)=1),"★",IF(COUNTIF(职业!$Y$3:$Z$3,$D43),"☆",IF(COUNTIF(职业!$Y$5:$Z$5,$D43),"⊙",IF(COUNTIF(职业!$Y$7:$Z$7,$D43),"※",IF(COUNTIF(职业!$Y$9:$AA$9,$D43),"×"," ")))))," ")</f>
        <v xml:space="preserve"> </v>
      </c>
      <c r="D43" s="299" t="s">
        <v>932</v>
      </c>
      <c r="E43" s="294"/>
      <c r="F43" s="277">
        <v>1</v>
      </c>
      <c r="G43" s="278"/>
      <c r="H43" s="278"/>
      <c r="I43" s="278"/>
      <c r="J43" s="277">
        <f t="shared" si="4"/>
        <v>1</v>
      </c>
      <c r="K43" s="277">
        <f t="shared" si="5"/>
        <v>0</v>
      </c>
      <c r="L43" s="365">
        <f t="shared" si="6"/>
        <v>0</v>
      </c>
      <c r="M43" s="361" t="s">
        <v>167</v>
      </c>
      <c r="N43" s="276" t="str">
        <f>IFERROR(IF(OR(COUNTIF(职业!$V$3:$V$11,$O43)=1,COUNTIF($AB$3:$AB$7,$O43)=1),"★",IF(COUNTIF(职业!$Y$3:$Z$3,$O43),"☆",IF(COUNTIF(职业!$Y$5:$Z$5,$O43),"⊙",IF(COUNTIF(职业!$Y$7:$Z$7,$O43),"※",IF(COUNTIF(职业!$Y$9:$AA$9,$O43),"×"," ")))))," ")</f>
        <v xml:space="preserve"> </v>
      </c>
      <c r="O43" s="567" t="s">
        <v>1397</v>
      </c>
      <c r="P43" s="567"/>
      <c r="Q43" s="277">
        <v>1</v>
      </c>
      <c r="R43" s="278"/>
      <c r="S43" s="278"/>
      <c r="T43" s="278"/>
      <c r="U43" s="277">
        <f t="shared" si="10"/>
        <v>1</v>
      </c>
      <c r="V43" s="277">
        <f t="shared" si="11"/>
        <v>0</v>
      </c>
      <c r="W43" s="334">
        <f t="shared" si="12"/>
        <v>0</v>
      </c>
      <c r="Y43" s="671"/>
      <c r="Z43" s="672"/>
      <c r="AA43" s="672"/>
      <c r="AB43" s="672"/>
      <c r="AC43" s="672"/>
      <c r="AD43" s="672"/>
      <c r="AE43" s="672"/>
      <c r="AF43" s="673"/>
    </row>
    <row r="44" spans="1:32" x14ac:dyDescent="0.2">
      <c r="B44" s="335" t="s">
        <v>167</v>
      </c>
      <c r="C44" s="280" t="str">
        <f>IFERROR(IF(OR(COUNTIF(职业!$V$3:$V$11,$D44)=1,COUNTIF($AB$3:$AB$7,$D44)=1),"★",IF(COUNTIF(职业!$Y$3:$Z$3,$D44),"☆",IF(COUNTIF(职业!$Y$5:$Z$5,$D44),"⊙",IF(COUNTIF(职业!$Y$7:$Z$7,$D44),"※",IF(COUNTIF(职业!$Y$9:$AA$9,$D44),"×"," ")))))," ")</f>
        <v xml:space="preserve"> </v>
      </c>
      <c r="D44" s="287" t="s">
        <v>1398</v>
      </c>
      <c r="E44" s="288"/>
      <c r="F44" s="281">
        <v>1</v>
      </c>
      <c r="G44" s="282"/>
      <c r="H44" s="282"/>
      <c r="I44" s="282"/>
      <c r="J44" s="281">
        <f t="shared" si="4"/>
        <v>1</v>
      </c>
      <c r="K44" s="281">
        <f t="shared" si="5"/>
        <v>0</v>
      </c>
      <c r="L44" s="366">
        <f t="shared" si="6"/>
        <v>0</v>
      </c>
      <c r="M44" s="362" t="s">
        <v>167</v>
      </c>
      <c r="N44" s="280" t="str">
        <f>IFERROR(IF(OR(COUNTIF(职业!$V$3:$V$11,$O44)=1,COUNTIF($AB$3:$AB$7,$O44)=1),"★",IF(COUNTIF(职业!$Y$3:$Z$3,$O44),"☆",IF(COUNTIF(职业!$Y$5:$Z$5,$O44),"⊙",IF(COUNTIF(职业!$Y$7:$Z$7,$O44),"※",IF(COUNTIF(职业!$Y$9:$AA$9,$O44),"×"," ")))))," ")</f>
        <v xml:space="preserve"> </v>
      </c>
      <c r="O44" s="279" t="s">
        <v>1480</v>
      </c>
      <c r="P44" s="315"/>
      <c r="Q44" s="282">
        <v>1</v>
      </c>
      <c r="R44" s="282"/>
      <c r="S44" s="282"/>
      <c r="T44" s="282"/>
      <c r="U44" s="281">
        <f>IF(SUM(Q44:T44)&lt;&gt;0,SUM(Q44:T44),"")</f>
        <v>1</v>
      </c>
      <c r="V44" s="281">
        <f>IF(U44="","",INT(U44/2))</f>
        <v>0</v>
      </c>
      <c r="W44" s="336">
        <f>IF(U44="","",INT(U44/5))</f>
        <v>0</v>
      </c>
      <c r="Y44" s="735"/>
      <c r="Z44" s="736"/>
      <c r="AA44" s="736"/>
      <c r="AB44" s="736"/>
      <c r="AC44" s="736"/>
      <c r="AD44" s="736"/>
      <c r="AE44" s="736"/>
      <c r="AF44" s="737"/>
    </row>
    <row r="45" spans="1:32" ht="16.5" customHeight="1" x14ac:dyDescent="0.2">
      <c r="B45" s="333" t="s">
        <v>167</v>
      </c>
      <c r="C45" s="276" t="str">
        <f>IFERROR(IF(OR(COUNTIF(职业!$V$3:$V$11,$D45)=1,COUNTIF($AB$3:$AB$7,$D45)=1),"★",IF(COUNTIF(职业!$Y$3:$Z$3,$D45),"☆",IF(COUNTIF(职业!$Y$5:$Z$5,$D45),"⊙",IF(COUNTIF(职业!$Y$7:$Z$7,$D45),"※",IF(COUNTIF(职业!$Y$9:$AA$9,$D45),"×"," ")))))," ")</f>
        <v xml:space="preserve"> </v>
      </c>
      <c r="D45" s="300" t="s">
        <v>934</v>
      </c>
      <c r="E45" s="301"/>
      <c r="F45" s="277">
        <v>1</v>
      </c>
      <c r="G45" s="278"/>
      <c r="H45" s="278"/>
      <c r="I45" s="278"/>
      <c r="J45" s="277">
        <f t="shared" si="4"/>
        <v>1</v>
      </c>
      <c r="K45" s="277">
        <f t="shared" si="5"/>
        <v>0</v>
      </c>
      <c r="L45" s="365">
        <f t="shared" si="6"/>
        <v>0</v>
      </c>
      <c r="M45" s="361" t="s">
        <v>167</v>
      </c>
      <c r="N45" s="302" t="str">
        <f>(IF(N44="","",IF(OR(O45="",O45="可自设"),"","自设")))</f>
        <v/>
      </c>
      <c r="O45" s="571" t="s">
        <v>1538</v>
      </c>
      <c r="P45" s="571"/>
      <c r="Q45" s="278"/>
      <c r="R45" s="278"/>
      <c r="S45" s="278"/>
      <c r="T45" s="278"/>
      <c r="U45" s="277" t="str">
        <f>IF(SUM(Q45:T45)&lt;&gt;0,SUM(Q45:T45),"")</f>
        <v/>
      </c>
      <c r="V45" s="277" t="str">
        <f>IF(U45="","",INT(U45/2))</f>
        <v/>
      </c>
      <c r="W45" s="334" t="str">
        <f>IF(U45="","",INT(U45/5))</f>
        <v/>
      </c>
      <c r="Y45" s="671"/>
      <c r="Z45" s="672"/>
      <c r="AA45" s="672"/>
      <c r="AB45" s="672"/>
      <c r="AC45" s="672"/>
      <c r="AD45" s="672"/>
      <c r="AE45" s="672"/>
      <c r="AF45" s="673"/>
    </row>
    <row r="46" spans="1:32" x14ac:dyDescent="0.2">
      <c r="B46" s="335" t="s">
        <v>167</v>
      </c>
      <c r="C46" s="280" t="str">
        <f>IFERROR(IF(OR(COUNTIF(职业!$V$3:$V$11,$D46)=1,COUNTIF($AB$3:$AB$7,$D46)=1),"★",IF(COUNTIF(职业!$Y$3:$Z$3,$D46),"☆",IF(COUNTIF(职业!$Y$5:$Z$5,$D46),"⊙",IF(COUNTIF(职业!$Y$7:$Z$7,$D46),"※",IF(COUNTIF(职业!$Y$9:$AA$9,$D46),"×"," ")))))," ")</f>
        <v xml:space="preserve"> </v>
      </c>
      <c r="D46" s="287" t="s">
        <v>1399</v>
      </c>
      <c r="E46" s="288"/>
      <c r="F46" s="281">
        <f>P5</f>
        <v>0</v>
      </c>
      <c r="G46" s="282"/>
      <c r="H46" s="282"/>
      <c r="I46" s="282"/>
      <c r="J46" s="281">
        <f t="shared" si="4"/>
        <v>0</v>
      </c>
      <c r="K46" s="281">
        <f t="shared" si="5"/>
        <v>0</v>
      </c>
      <c r="L46" s="366">
        <f t="shared" si="6"/>
        <v>0</v>
      </c>
      <c r="M46" s="362" t="s">
        <v>167</v>
      </c>
      <c r="N46" s="280" t="str">
        <f>(IF(N45="","",IF(OR(O46="",O46="可自设"),"","自设")))</f>
        <v/>
      </c>
      <c r="O46" s="569" t="str">
        <f>IF(OR(O45="",O45="可自设"),"","可自设")</f>
        <v/>
      </c>
      <c r="P46" s="569"/>
      <c r="Q46" s="282"/>
      <c r="R46" s="282"/>
      <c r="S46" s="282"/>
      <c r="T46" s="282"/>
      <c r="U46" s="281" t="str">
        <f>IF(SUM(Q46:T46)&lt;&gt;0,SUM(Q46:T46),"")</f>
        <v/>
      </c>
      <c r="V46" s="281" t="str">
        <f>IF(U46="","",INT(U46/2))</f>
        <v/>
      </c>
      <c r="W46" s="336" t="str">
        <f>IF(U46="","",INT(U46/5))</f>
        <v/>
      </c>
      <c r="Y46" s="735"/>
      <c r="Z46" s="736"/>
      <c r="AA46" s="736"/>
      <c r="AB46" s="736"/>
      <c r="AC46" s="736"/>
      <c r="AD46" s="736"/>
      <c r="AE46" s="736"/>
      <c r="AF46" s="737"/>
    </row>
    <row r="47" spans="1:32" x14ac:dyDescent="0.2">
      <c r="B47" s="333" t="s">
        <v>167</v>
      </c>
      <c r="C47" s="276" t="str">
        <f>IFERROR(IF(OR(COUNTIF(职业!$V$3:$V$11,$D47)=1,COUNTIF($AB$3:$AB$7,$D47)=1),"★",IF(COUNTIF(职业!$Y$3:$Z$3,$D47),"☆",IF(COUNTIF(职业!$Y$5:$Z$5,$D47),"⊙",IF(COUNTIF(职业!$Y$7:$Z$7,$D47),"※",IF(COUNTIF(职业!$Y$9:$AA$9,$D47),"×"," ")))))," ")</f>
        <v xml:space="preserve"> </v>
      </c>
      <c r="D47" s="568" t="s">
        <v>94</v>
      </c>
      <c r="E47" s="568"/>
      <c r="F47" s="277">
        <v>20</v>
      </c>
      <c r="G47" s="278"/>
      <c r="H47" s="278"/>
      <c r="I47" s="278"/>
      <c r="J47" s="277">
        <f t="shared" si="4"/>
        <v>20</v>
      </c>
      <c r="K47" s="277">
        <f t="shared" si="5"/>
        <v>10</v>
      </c>
      <c r="L47" s="365">
        <f t="shared" si="6"/>
        <v>4</v>
      </c>
      <c r="M47" s="361" t="s">
        <v>167</v>
      </c>
      <c r="N47" s="302" t="str">
        <f>(IF(N46="","",IF(OR(O47="",O47="可自设"),"","自设")))</f>
        <v/>
      </c>
      <c r="O47" s="571" t="str">
        <f>IF(OR(O46="",O46="可自设"),"","可自设")</f>
        <v/>
      </c>
      <c r="P47" s="571"/>
      <c r="Q47" s="278"/>
      <c r="R47" s="278"/>
      <c r="S47" s="278"/>
      <c r="T47" s="278"/>
      <c r="U47" s="277" t="str">
        <f>IF(SUM(Q47:T47)&lt;&gt;0,SUM(Q47:T47),"")</f>
        <v/>
      </c>
      <c r="V47" s="277" t="str">
        <f>IF(U47="","",INT(U47/2))</f>
        <v/>
      </c>
      <c r="W47" s="334" t="str">
        <f>IF(U47="","",INT(U47/5))</f>
        <v/>
      </c>
      <c r="Y47" s="671"/>
      <c r="Z47" s="672"/>
      <c r="AA47" s="672"/>
      <c r="AB47" s="672"/>
      <c r="AC47" s="672"/>
      <c r="AD47" s="672"/>
      <c r="AE47" s="672"/>
      <c r="AF47" s="673"/>
    </row>
    <row r="48" spans="1:32" ht="17.25" thickBot="1" x14ac:dyDescent="0.25">
      <c r="B48" s="337" t="s">
        <v>167</v>
      </c>
      <c r="C48" s="338" t="str">
        <f>IFERROR(IF(OR(COUNTIF(职业!$V$3:$V$11,$D48)=1,COUNTIF($AB$3:$AB$7,$D48)=1),"★",IF(COUNTIF(职业!$Y$3:$Z$3,$D48),"☆",IF(COUNTIF(职业!$Y$5:$Z$5,$D48),"⊙",IF(COUNTIF(职业!$Y$7:$Z$7,$D48),"※",IF(COUNTIF(职业!$Y$9:$AA$9,$D48),"×"," ")))))," ")</f>
        <v xml:space="preserve"> </v>
      </c>
      <c r="D48" s="570" t="s">
        <v>1400</v>
      </c>
      <c r="E48" s="570"/>
      <c r="F48" s="339">
        <v>10</v>
      </c>
      <c r="G48" s="340"/>
      <c r="H48" s="340"/>
      <c r="I48" s="340"/>
      <c r="J48" s="339">
        <f t="shared" si="4"/>
        <v>10</v>
      </c>
      <c r="K48" s="339">
        <f t="shared" si="5"/>
        <v>5</v>
      </c>
      <c r="L48" s="367">
        <f t="shared" si="6"/>
        <v>2</v>
      </c>
      <c r="M48" s="363" t="s">
        <v>167</v>
      </c>
      <c r="N48" s="338" t="str">
        <f>(IF(N47="","",IF(OR(O48="",O48="可自设"),"","自设")))</f>
        <v/>
      </c>
      <c r="O48" s="570" t="str">
        <f>IF(OR(O47="",O47="可自设"),"","可自设")</f>
        <v/>
      </c>
      <c r="P48" s="570"/>
      <c r="Q48" s="340"/>
      <c r="R48" s="340"/>
      <c r="S48" s="340"/>
      <c r="T48" s="340"/>
      <c r="U48" s="339" t="str">
        <f>IF(SUM(Q48:T48)&lt;&gt;0,SUM(Q48:T48),"")</f>
        <v/>
      </c>
      <c r="V48" s="339" t="str">
        <f>IF(U48="","",INT(U48/2))</f>
        <v/>
      </c>
      <c r="W48" s="341" t="str">
        <f>IF(U48="","",INT(U48/5))</f>
        <v/>
      </c>
      <c r="Y48" s="735"/>
      <c r="Z48" s="736"/>
      <c r="AA48" s="736"/>
      <c r="AB48" s="736"/>
      <c r="AC48" s="736"/>
      <c r="AD48" s="736"/>
      <c r="AE48" s="736"/>
      <c r="AF48" s="737"/>
    </row>
    <row r="49" spans="2:32" ht="17.25" thickBot="1" x14ac:dyDescent="0.25">
      <c r="B49" s="316" t="str">
        <f>IF(F5=0," ","职业信用范围："&amp;LOOKUP(F5,职业及经历包!A2:A117,职业及经历包!D2:D117))</f>
        <v xml:space="preserve"> </v>
      </c>
      <c r="C49" s="316"/>
      <c r="D49" s="316"/>
      <c r="E49" s="316"/>
      <c r="F49" s="316"/>
      <c r="G49" s="316" t="str">
        <f>IFERROR(IF(F5=0," ","剩余职业点="&amp;IF(AB8="是",LOOKUP(F5,职业及经历包!A2:A117,职业及经历包!F2:F117)+AD14-SUM(人物卡!H15:H48,人物卡!S15:S48)&amp;"   剩余兴趣点="&amp;M7*2-SUM(I15:I48,T15:T48),LOOKUP(F5,职业及经历包!A2:A117,职业及经历包!F2:F117)-SUM(人物卡!H15:H48,人物卡!S15:S48)&amp;"   剩余兴趣点="&amp;M7*2-SUM(I15:I48,T15:T48))),“”)</f>
        <v xml:space="preserve"> </v>
      </c>
      <c r="H49" s="316"/>
      <c r="I49" s="316"/>
      <c r="J49" s="316"/>
      <c r="K49" s="316"/>
      <c r="L49" s="317"/>
      <c r="M49" s="5"/>
      <c r="N49" s="5"/>
      <c r="O49" s="5"/>
      <c r="P49" s="5"/>
      <c r="Q49" s="5"/>
      <c r="R49" s="317"/>
      <c r="S49" s="317"/>
      <c r="T49" s="317"/>
      <c r="U49" s="317"/>
      <c r="V49" s="317"/>
      <c r="W49" s="5"/>
      <c r="Y49" s="671"/>
      <c r="Z49" s="672"/>
      <c r="AA49" s="672"/>
      <c r="AB49" s="672"/>
      <c r="AC49" s="672"/>
      <c r="AD49" s="672"/>
      <c r="AE49" s="672"/>
      <c r="AF49" s="673"/>
    </row>
    <row r="50" spans="2:32" x14ac:dyDescent="0.2">
      <c r="B50" s="552" t="s">
        <v>184</v>
      </c>
      <c r="C50" s="553"/>
      <c r="D50" s="553"/>
      <c r="E50" s="553"/>
      <c r="F50" s="553"/>
      <c r="G50" s="553"/>
      <c r="H50" s="553"/>
      <c r="I50" s="553"/>
      <c r="J50" s="553"/>
      <c r="K50" s="553"/>
      <c r="L50" s="553"/>
      <c r="M50" s="553"/>
      <c r="N50" s="553"/>
      <c r="O50" s="553"/>
      <c r="P50" s="553"/>
      <c r="Q50" s="553"/>
      <c r="R50" s="554"/>
      <c r="T50" s="549" t="s">
        <v>10</v>
      </c>
      <c r="U50" s="550"/>
      <c r="V50" s="550"/>
      <c r="W50" s="551"/>
      <c r="Y50" s="735"/>
      <c r="Z50" s="736"/>
      <c r="AA50" s="736"/>
      <c r="AB50" s="736"/>
      <c r="AC50" s="736"/>
      <c r="AD50" s="736"/>
      <c r="AE50" s="736"/>
      <c r="AF50" s="737"/>
    </row>
    <row r="51" spans="2:32" ht="16.5" customHeight="1" thickBot="1" x14ac:dyDescent="0.25">
      <c r="B51" s="536" t="s">
        <v>224</v>
      </c>
      <c r="C51" s="537"/>
      <c r="D51" s="375" t="s">
        <v>227</v>
      </c>
      <c r="E51" s="379" t="s">
        <v>592</v>
      </c>
      <c r="F51" s="537" t="s">
        <v>188</v>
      </c>
      <c r="G51" s="537"/>
      <c r="H51" s="537"/>
      <c r="I51" s="537" t="s">
        <v>593</v>
      </c>
      <c r="J51" s="537"/>
      <c r="K51" s="557" t="s">
        <v>96</v>
      </c>
      <c r="L51" s="557"/>
      <c r="M51" s="303" t="s">
        <v>594</v>
      </c>
      <c r="N51" s="557" t="s">
        <v>596</v>
      </c>
      <c r="O51" s="557"/>
      <c r="P51" s="557" t="s">
        <v>595</v>
      </c>
      <c r="Q51" s="557"/>
      <c r="R51" s="343" t="s">
        <v>9</v>
      </c>
      <c r="S51" s="41"/>
      <c r="T51" s="562" t="s">
        <v>1559</v>
      </c>
      <c r="U51" s="563"/>
      <c r="V51" s="560" t="str">
        <f>LOOKUP(J3+J7,附表!A2:A32,附表!B2:B32)</f>
        <v>0</v>
      </c>
      <c r="W51" s="561"/>
      <c r="Y51" s="738"/>
      <c r="Z51" s="739"/>
      <c r="AA51" s="739"/>
      <c r="AB51" s="739"/>
      <c r="AC51" s="739"/>
      <c r="AD51" s="739"/>
      <c r="AE51" s="739"/>
      <c r="AF51" s="740"/>
    </row>
    <row r="52" spans="2:32" ht="16.5" customHeight="1" thickBot="1" x14ac:dyDescent="0.25">
      <c r="B52" s="546" t="s">
        <v>225</v>
      </c>
      <c r="C52" s="538"/>
      <c r="D52" s="376" t="s">
        <v>226</v>
      </c>
      <c r="E52" s="372" t="s">
        <v>55</v>
      </c>
      <c r="F52" s="319">
        <f>J33</f>
        <v>25</v>
      </c>
      <c r="G52" s="318">
        <f>INT(F52/2)</f>
        <v>12</v>
      </c>
      <c r="H52" s="318">
        <f>INT(F52/5)</f>
        <v>5</v>
      </c>
      <c r="I52" s="538" t="s">
        <v>1034</v>
      </c>
      <c r="J52" s="538"/>
      <c r="K52" s="538" t="s">
        <v>1035</v>
      </c>
      <c r="L52" s="538"/>
      <c r="M52" s="318" t="s">
        <v>1037</v>
      </c>
      <c r="N52" s="538">
        <v>1</v>
      </c>
      <c r="O52" s="538"/>
      <c r="P52" s="538" t="s">
        <v>1038</v>
      </c>
      <c r="Q52" s="538"/>
      <c r="R52" s="344" t="s">
        <v>1039</v>
      </c>
      <c r="S52" s="320"/>
      <c r="T52" s="562"/>
      <c r="U52" s="563"/>
      <c r="V52" s="560"/>
      <c r="W52" s="561"/>
    </row>
    <row r="53" spans="2:32" ht="16.5" customHeight="1" x14ac:dyDescent="0.2">
      <c r="B53" s="534"/>
      <c r="C53" s="535"/>
      <c r="D53" s="381"/>
      <c r="E53" s="380" t="str">
        <f>IF($D53=0,"请选择类型",VLOOKUP($D53,武器列表!$B$3:$I$106,2,FALSE))</f>
        <v>请选择类型</v>
      </c>
      <c r="F53" s="322"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322" t="str">
        <f>IF(F53="","",INT(F53/2))</f>
        <v/>
      </c>
      <c r="H53" s="322" t="str">
        <f>IF(F53="","",INT(F53/5))</f>
        <v/>
      </c>
      <c r="I53" s="548" t="str">
        <f>IF($D53=0,"",VLOOKUP($D53,武器列表!$B$3:$I$106,3,FALSE))</f>
        <v/>
      </c>
      <c r="J53" s="548"/>
      <c r="K53" s="539" t="str">
        <f>IF($D53=0,"",VLOOKUP($D53,武器列表!$B$3:$I$106,4,FALSE))</f>
        <v/>
      </c>
      <c r="L53" s="539"/>
      <c r="M53" s="322" t="str">
        <f>IF($D53=0,"",VLOOKUP($D53,武器列表!$B$3:$I$106,5,FALSE))</f>
        <v/>
      </c>
      <c r="N53" s="539" t="str">
        <f>IF($D53=0,"",VLOOKUP($D53,武器列表!$B$3:$I$106,6,FALSE))</f>
        <v/>
      </c>
      <c r="O53" s="539"/>
      <c r="P53" s="539" t="str">
        <f>IF($D53=0,"",VLOOKUP($D53,武器列表!$B$3:$I$106,7,FALSE))</f>
        <v/>
      </c>
      <c r="Q53" s="539"/>
      <c r="R53" s="345" t="str">
        <f>IF($D53=0,"",VLOOKUP($D53,武器列表!$B$3:$I$106,8,FALSE))</f>
        <v/>
      </c>
      <c r="S53" s="320"/>
      <c r="T53" s="564" t="s">
        <v>1560</v>
      </c>
      <c r="U53" s="565"/>
      <c r="V53" s="558">
        <f>LOOKUP(J3+J7,附表!A2:A32,附表!C2:C32)</f>
        <v>0</v>
      </c>
      <c r="W53" s="559"/>
      <c r="Y53" s="745" t="s">
        <v>1458</v>
      </c>
      <c r="Z53" s="746"/>
      <c r="AA53" s="746"/>
      <c r="AB53" s="746"/>
      <c r="AC53" s="746"/>
      <c r="AD53" s="746"/>
      <c r="AE53" s="746"/>
      <c r="AF53" s="747"/>
    </row>
    <row r="54" spans="2:32" x14ac:dyDescent="0.2">
      <c r="B54" s="555" t="str">
        <f>IF(D54="","",D54)</f>
        <v/>
      </c>
      <c r="C54" s="556"/>
      <c r="D54" s="377"/>
      <c r="E54" s="372" t="str">
        <f>IF(E53="请选择类型","",IF($D54=0,"请选择类型",VLOOKUP($D54,武器列表!$B$3:$I$106,2,FALSE)))</f>
        <v/>
      </c>
      <c r="F54" s="318"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8" t="str">
        <f>IF(F54="","",INT(F54/2))</f>
        <v/>
      </c>
      <c r="H54" s="318" t="str">
        <f>IF(F54="","",INT(F54/5))</f>
        <v/>
      </c>
      <c r="I54" s="547" t="str">
        <f>IF($D54=0,"",VLOOKUP($D54,武器列表!$B$3:$I$106,3,FALSE))</f>
        <v/>
      </c>
      <c r="J54" s="547"/>
      <c r="K54" s="538" t="str">
        <f>IF($D54=0,"",VLOOKUP($D54,武器列表!$B$3:$I$106,4,FALSE))</f>
        <v/>
      </c>
      <c r="L54" s="538"/>
      <c r="M54" s="318" t="str">
        <f>IF($D54=0,"",VLOOKUP($D54,武器列表!$B$3:$I$106,5,FALSE))</f>
        <v/>
      </c>
      <c r="N54" s="538" t="str">
        <f>IF($D54=0,"",VLOOKUP($D54,武器列表!$B$3:$I$106,6,FALSE))</f>
        <v/>
      </c>
      <c r="O54" s="538"/>
      <c r="P54" s="538" t="str">
        <f>IF($D54=0,"",VLOOKUP($D54,武器列表!$B$3:$I$106,7,FALSE))</f>
        <v/>
      </c>
      <c r="Q54" s="538"/>
      <c r="R54" s="344" t="str">
        <f>IF($D54=0,"",VLOOKUP($D54,武器列表!$B$3:$I$106,8,FALSE))</f>
        <v/>
      </c>
      <c r="S54" s="320"/>
      <c r="T54" s="564"/>
      <c r="U54" s="565"/>
      <c r="V54" s="558"/>
      <c r="W54" s="559"/>
      <c r="Y54" s="741" t="s">
        <v>1472</v>
      </c>
      <c r="Z54" s="742"/>
      <c r="AA54" s="743"/>
      <c r="AB54" s="686" t="s">
        <v>1459</v>
      </c>
      <c r="AC54" s="744"/>
      <c r="AD54" s="744"/>
      <c r="AE54" s="353" t="s">
        <v>1580</v>
      </c>
      <c r="AF54" s="354" t="s">
        <v>1581</v>
      </c>
    </row>
    <row r="55" spans="2:32" ht="16.5" customHeight="1" x14ac:dyDescent="0.2">
      <c r="B55" s="534"/>
      <c r="C55" s="535"/>
      <c r="D55" s="381"/>
      <c r="E55" s="371" t="str">
        <f>IF(OR(E54="请选择类型",E54=""),"",IF($D55=0,"请选择类型",VLOOKUP($D55,武器列表!$B$3:$I$106,2,FALSE)))</f>
        <v/>
      </c>
      <c r="F55" s="322"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21" t="str">
        <f>IF(F55="","",INT(F55/2))</f>
        <v/>
      </c>
      <c r="H55" s="321" t="str">
        <f>IF(F55="","",INT(F55/5))</f>
        <v/>
      </c>
      <c r="I55" s="548" t="str">
        <f>IF($D55=0,"",VLOOKUP($D55,武器列表!$B$3:$I$106,3,FALSE))</f>
        <v/>
      </c>
      <c r="J55" s="548"/>
      <c r="K55" s="539" t="str">
        <f>IF($D55=0,"",VLOOKUP($D55,武器列表!$B$3:$I$106,4,FALSE))</f>
        <v/>
      </c>
      <c r="L55" s="539"/>
      <c r="M55" s="322" t="str">
        <f>IF($D55=0,"",VLOOKUP($D55,武器列表!$B$3:$I$106,5,FALSE))</f>
        <v/>
      </c>
      <c r="N55" s="539" t="str">
        <f>IF($D55=0,"",VLOOKUP($D55,武器列表!$B$3:$I$106,6,FALSE))</f>
        <v/>
      </c>
      <c r="O55" s="539"/>
      <c r="P55" s="539" t="str">
        <f>IF($D55=0,"",VLOOKUP($D55,武器列表!$B$3:$I$106,7,FALSE))</f>
        <v/>
      </c>
      <c r="Q55" s="539"/>
      <c r="R55" s="345" t="str">
        <f>IF($D55=0,"",VLOOKUP($D55,武器列表!$B$3:$I$106,8,FALSE))</f>
        <v/>
      </c>
      <c r="S55" s="320"/>
      <c r="T55" s="562" t="s">
        <v>1561</v>
      </c>
      <c r="U55" s="563"/>
      <c r="V55" s="617">
        <f>J28</f>
        <v>0</v>
      </c>
      <c r="W55" s="342">
        <f>K28</f>
        <v>0</v>
      </c>
      <c r="Y55" s="456"/>
      <c r="Z55" s="457"/>
      <c r="AA55" s="458"/>
      <c r="AB55" s="466"/>
      <c r="AC55" s="467"/>
      <c r="AD55" s="467"/>
      <c r="AE55" s="434"/>
      <c r="AF55" s="435"/>
    </row>
    <row r="56" spans="2:32" x14ac:dyDescent="0.2">
      <c r="B56" s="566"/>
      <c r="C56" s="542"/>
      <c r="D56" s="377"/>
      <c r="E56" s="373"/>
      <c r="F56" s="323"/>
      <c r="G56" s="324" t="str">
        <f>IF(F56="","",INT(F56/2))</f>
        <v/>
      </c>
      <c r="H56" s="324" t="str">
        <f>IF(F56="","",INT(F56/5))</f>
        <v/>
      </c>
      <c r="I56" s="542"/>
      <c r="J56" s="542"/>
      <c r="K56" s="542"/>
      <c r="L56" s="542"/>
      <c r="M56" s="323"/>
      <c r="N56" s="542"/>
      <c r="O56" s="542"/>
      <c r="P56" s="542"/>
      <c r="Q56" s="542"/>
      <c r="R56" s="346"/>
      <c r="S56" s="320"/>
      <c r="T56" s="562"/>
      <c r="U56" s="563"/>
      <c r="V56" s="617"/>
      <c r="W56" s="342">
        <f>L28</f>
        <v>0</v>
      </c>
      <c r="Y56" s="459"/>
      <c r="Z56" s="460"/>
      <c r="AA56" s="461"/>
      <c r="AB56" s="460"/>
      <c r="AC56" s="460"/>
      <c r="AD56" s="462"/>
      <c r="AE56" s="436"/>
      <c r="AF56" s="437"/>
    </row>
    <row r="57" spans="2:32" ht="16.5" customHeight="1" thickBot="1" x14ac:dyDescent="0.25">
      <c r="B57" s="545"/>
      <c r="C57" s="541"/>
      <c r="D57" s="378"/>
      <c r="E57" s="374"/>
      <c r="F57" s="347"/>
      <c r="G57" s="348" t="str">
        <f>IF(F57="","",INT(F57/2))</f>
        <v/>
      </c>
      <c r="H57" s="348" t="str">
        <f>IF(F57="","",INT(F57/5))</f>
        <v/>
      </c>
      <c r="I57" s="541"/>
      <c r="J57" s="541"/>
      <c r="K57" s="541"/>
      <c r="L57" s="541"/>
      <c r="M57" s="347"/>
      <c r="N57" s="541"/>
      <c r="O57" s="541"/>
      <c r="P57" s="541"/>
      <c r="Q57" s="541"/>
      <c r="R57" s="349"/>
      <c r="S57" s="320"/>
      <c r="T57" s="543" t="s">
        <v>1562</v>
      </c>
      <c r="U57" s="544"/>
      <c r="V57" s="615">
        <v>0</v>
      </c>
      <c r="W57" s="616"/>
      <c r="Y57" s="456"/>
      <c r="Z57" s="457"/>
      <c r="AA57" s="458"/>
      <c r="AB57" s="466"/>
      <c r="AC57" s="467"/>
      <c r="AD57" s="467"/>
      <c r="AE57" s="434"/>
      <c r="AF57" s="435"/>
    </row>
    <row r="58" spans="2:32" ht="17.25" thickBot="1" x14ac:dyDescent="0.25">
      <c r="B58" s="540" t="s">
        <v>1586</v>
      </c>
      <c r="C58" s="540"/>
      <c r="D58" s="540"/>
      <c r="E58" s="540"/>
      <c r="F58" s="540"/>
      <c r="G58" s="540"/>
      <c r="H58" s="540"/>
      <c r="I58" s="540"/>
      <c r="J58" s="540"/>
      <c r="K58" s="540"/>
      <c r="L58" s="540"/>
      <c r="M58" s="540"/>
      <c r="N58" s="540"/>
      <c r="O58" s="540"/>
      <c r="P58" s="540"/>
      <c r="Q58" s="540"/>
      <c r="R58" s="540"/>
      <c r="S58" s="540"/>
      <c r="T58" s="540"/>
      <c r="U58" s="540"/>
      <c r="V58" s="540"/>
      <c r="W58" s="540"/>
      <c r="Y58" s="459"/>
      <c r="Z58" s="460"/>
      <c r="AA58" s="461"/>
      <c r="AB58" s="460"/>
      <c r="AC58" s="460"/>
      <c r="AD58" s="462"/>
      <c r="AE58" s="436"/>
      <c r="AF58" s="437"/>
    </row>
    <row r="59" spans="2:32" x14ac:dyDescent="0.2">
      <c r="B59" s="516" t="s">
        <v>1063</v>
      </c>
      <c r="C59" s="517"/>
      <c r="D59" s="517"/>
      <c r="E59" s="517"/>
      <c r="F59" s="517"/>
      <c r="G59" s="517"/>
      <c r="H59" s="517"/>
      <c r="I59" s="517"/>
      <c r="J59" s="517"/>
      <c r="K59" s="517"/>
      <c r="L59" s="517"/>
      <c r="M59" s="517"/>
      <c r="N59" s="517"/>
      <c r="O59" s="517"/>
      <c r="P59" s="517"/>
      <c r="Q59" s="517"/>
      <c r="R59" s="517"/>
      <c r="S59" s="517"/>
      <c r="T59" s="517"/>
      <c r="U59" s="517"/>
      <c r="V59" s="517"/>
      <c r="W59" s="518"/>
      <c r="Y59" s="456"/>
      <c r="Z59" s="457"/>
      <c r="AA59" s="458"/>
      <c r="AB59" s="466"/>
      <c r="AC59" s="467"/>
      <c r="AD59" s="467"/>
      <c r="AE59" s="434"/>
      <c r="AF59" s="435"/>
    </row>
    <row r="60" spans="2:32" x14ac:dyDescent="0.2">
      <c r="B60" s="751" t="s">
        <v>1546</v>
      </c>
      <c r="C60" s="519"/>
      <c r="D60" s="749" t="s">
        <v>1547</v>
      </c>
      <c r="E60" s="750"/>
      <c r="F60" s="519"/>
      <c r="G60" s="368" t="s">
        <v>1544</v>
      </c>
      <c r="H60" s="519" t="s">
        <v>1549</v>
      </c>
      <c r="I60" s="520"/>
      <c r="J60" s="520"/>
      <c r="K60" s="520"/>
      <c r="L60" s="520"/>
      <c r="M60" s="520"/>
      <c r="N60" s="520"/>
      <c r="O60" s="520"/>
      <c r="P60" s="520"/>
      <c r="Q60" s="520"/>
      <c r="R60" s="520"/>
      <c r="S60" s="520"/>
      <c r="T60" s="520"/>
      <c r="U60" s="520"/>
      <c r="V60" s="520"/>
      <c r="W60" s="521"/>
      <c r="Y60" s="459"/>
      <c r="Z60" s="460"/>
      <c r="AA60" s="461"/>
      <c r="AB60" s="460"/>
      <c r="AC60" s="460"/>
      <c r="AD60" s="462"/>
      <c r="AE60" s="436"/>
      <c r="AF60" s="437"/>
    </row>
    <row r="61" spans="2:32" ht="16.5" customHeight="1" x14ac:dyDescent="0.2">
      <c r="B61" s="522" t="s">
        <v>1059</v>
      </c>
      <c r="C61" s="523"/>
      <c r="D61" s="767"/>
      <c r="E61" s="768"/>
      <c r="F61" s="769"/>
      <c r="G61" s="369"/>
      <c r="H61" s="524" t="s">
        <v>1588</v>
      </c>
      <c r="I61" s="525"/>
      <c r="J61" s="525"/>
      <c r="K61" s="525"/>
      <c r="L61" s="525"/>
      <c r="M61" s="525"/>
      <c r="N61" s="525"/>
      <c r="O61" s="525"/>
      <c r="P61" s="525"/>
      <c r="Q61" s="525"/>
      <c r="R61" s="525"/>
      <c r="S61" s="525"/>
      <c r="T61" s="525"/>
      <c r="U61" s="525"/>
      <c r="V61" s="525"/>
      <c r="W61" s="526"/>
      <c r="Y61" s="456"/>
      <c r="Z61" s="457"/>
      <c r="AA61" s="458"/>
      <c r="AB61" s="466"/>
      <c r="AC61" s="467"/>
      <c r="AD61" s="467"/>
      <c r="AE61" s="434"/>
      <c r="AF61" s="435"/>
    </row>
    <row r="62" spans="2:32" ht="16.5" customHeight="1" x14ac:dyDescent="0.2">
      <c r="B62" s="752" t="s">
        <v>1437</v>
      </c>
      <c r="C62" s="753"/>
      <c r="D62" s="764"/>
      <c r="E62" s="765"/>
      <c r="F62" s="766"/>
      <c r="G62" s="370"/>
      <c r="H62" s="527"/>
      <c r="I62" s="528"/>
      <c r="J62" s="528"/>
      <c r="K62" s="528"/>
      <c r="L62" s="528"/>
      <c r="M62" s="528"/>
      <c r="N62" s="528"/>
      <c r="O62" s="528"/>
      <c r="P62" s="528"/>
      <c r="Q62" s="528"/>
      <c r="R62" s="528"/>
      <c r="S62" s="528"/>
      <c r="T62" s="528"/>
      <c r="U62" s="528"/>
      <c r="V62" s="528"/>
      <c r="W62" s="529"/>
      <c r="Y62" s="459"/>
      <c r="Z62" s="460"/>
      <c r="AA62" s="461"/>
      <c r="AB62" s="460"/>
      <c r="AC62" s="460"/>
      <c r="AD62" s="462"/>
      <c r="AE62" s="436"/>
      <c r="AF62" s="437"/>
    </row>
    <row r="63" spans="2:32" ht="17.25" customHeight="1" x14ac:dyDescent="0.2">
      <c r="B63" s="754" t="s">
        <v>1060</v>
      </c>
      <c r="C63" s="755"/>
      <c r="D63" s="767"/>
      <c r="E63" s="768"/>
      <c r="F63" s="769"/>
      <c r="G63" s="369"/>
      <c r="H63" s="527"/>
      <c r="I63" s="528"/>
      <c r="J63" s="528"/>
      <c r="K63" s="528"/>
      <c r="L63" s="528"/>
      <c r="M63" s="528"/>
      <c r="N63" s="528"/>
      <c r="O63" s="528"/>
      <c r="P63" s="528"/>
      <c r="Q63" s="528"/>
      <c r="R63" s="528"/>
      <c r="S63" s="528"/>
      <c r="T63" s="528"/>
      <c r="U63" s="528"/>
      <c r="V63" s="528"/>
      <c r="W63" s="529"/>
      <c r="Y63" s="456"/>
      <c r="Z63" s="457"/>
      <c r="AA63" s="458"/>
      <c r="AB63" s="466"/>
      <c r="AC63" s="467"/>
      <c r="AD63" s="467"/>
      <c r="AE63" s="434"/>
      <c r="AF63" s="435"/>
    </row>
    <row r="64" spans="2:32" ht="17.25" customHeight="1" x14ac:dyDescent="0.2">
      <c r="B64" s="752" t="s">
        <v>1061</v>
      </c>
      <c r="C64" s="753"/>
      <c r="D64" s="764"/>
      <c r="E64" s="765"/>
      <c r="F64" s="766"/>
      <c r="G64" s="370"/>
      <c r="H64" s="527"/>
      <c r="I64" s="528"/>
      <c r="J64" s="528"/>
      <c r="K64" s="528"/>
      <c r="L64" s="528"/>
      <c r="M64" s="528"/>
      <c r="N64" s="528"/>
      <c r="O64" s="528"/>
      <c r="P64" s="528"/>
      <c r="Q64" s="528"/>
      <c r="R64" s="528"/>
      <c r="S64" s="528"/>
      <c r="T64" s="528"/>
      <c r="U64" s="528"/>
      <c r="V64" s="528"/>
      <c r="W64" s="529"/>
      <c r="Y64" s="459"/>
      <c r="Z64" s="460"/>
      <c r="AA64" s="461"/>
      <c r="AB64" s="460"/>
      <c r="AC64" s="460"/>
      <c r="AD64" s="462"/>
      <c r="AE64" s="436"/>
      <c r="AF64" s="437"/>
    </row>
    <row r="65" spans="2:32" ht="17.25" customHeight="1" x14ac:dyDescent="0.2">
      <c r="B65" s="754" t="s">
        <v>1062</v>
      </c>
      <c r="C65" s="755"/>
      <c r="D65" s="767"/>
      <c r="E65" s="768"/>
      <c r="F65" s="769"/>
      <c r="G65" s="369"/>
      <c r="H65" s="527"/>
      <c r="I65" s="528"/>
      <c r="J65" s="528"/>
      <c r="K65" s="528"/>
      <c r="L65" s="528"/>
      <c r="M65" s="528"/>
      <c r="N65" s="528"/>
      <c r="O65" s="528"/>
      <c r="P65" s="528"/>
      <c r="Q65" s="528"/>
      <c r="R65" s="528"/>
      <c r="S65" s="528"/>
      <c r="T65" s="528"/>
      <c r="U65" s="528"/>
      <c r="V65" s="528"/>
      <c r="W65" s="529"/>
      <c r="Y65" s="456"/>
      <c r="Z65" s="457"/>
      <c r="AA65" s="458"/>
      <c r="AB65" s="466"/>
      <c r="AC65" s="467"/>
      <c r="AD65" s="467"/>
      <c r="AE65" s="434"/>
      <c r="AF65" s="435"/>
    </row>
    <row r="66" spans="2:32" ht="16.5" customHeight="1" x14ac:dyDescent="0.2">
      <c r="B66" s="752" t="s">
        <v>1438</v>
      </c>
      <c r="C66" s="753"/>
      <c r="D66" s="764"/>
      <c r="E66" s="765"/>
      <c r="F66" s="766"/>
      <c r="G66" s="370"/>
      <c r="H66" s="527"/>
      <c r="I66" s="528"/>
      <c r="J66" s="528"/>
      <c r="K66" s="528"/>
      <c r="L66" s="528"/>
      <c r="M66" s="528"/>
      <c r="N66" s="528"/>
      <c r="O66" s="528"/>
      <c r="P66" s="528"/>
      <c r="Q66" s="528"/>
      <c r="R66" s="528"/>
      <c r="S66" s="528"/>
      <c r="T66" s="528"/>
      <c r="U66" s="528"/>
      <c r="V66" s="528"/>
      <c r="W66" s="529"/>
      <c r="Y66" s="459"/>
      <c r="Z66" s="460"/>
      <c r="AA66" s="461"/>
      <c r="AB66" s="460"/>
      <c r="AC66" s="460"/>
      <c r="AD66" s="462"/>
      <c r="AE66" s="436"/>
      <c r="AF66" s="437"/>
    </row>
    <row r="67" spans="2:32" ht="16.5" customHeight="1" x14ac:dyDescent="0.2">
      <c r="B67" s="754" t="s">
        <v>1440</v>
      </c>
      <c r="C67" s="755"/>
      <c r="D67" s="758" t="s">
        <v>1436</v>
      </c>
      <c r="E67" s="759"/>
      <c r="F67" s="759"/>
      <c r="G67" s="760"/>
      <c r="H67" s="527"/>
      <c r="I67" s="528"/>
      <c r="J67" s="528"/>
      <c r="K67" s="528"/>
      <c r="L67" s="528"/>
      <c r="M67" s="528"/>
      <c r="N67" s="528"/>
      <c r="O67" s="528"/>
      <c r="P67" s="528"/>
      <c r="Q67" s="528"/>
      <c r="R67" s="528"/>
      <c r="S67" s="528"/>
      <c r="T67" s="528"/>
      <c r="U67" s="528"/>
      <c r="V67" s="528"/>
      <c r="W67" s="529"/>
      <c r="Y67" s="456"/>
      <c r="Z67" s="457"/>
      <c r="AA67" s="458"/>
      <c r="AB67" s="466"/>
      <c r="AC67" s="467"/>
      <c r="AD67" s="467"/>
      <c r="AE67" s="434"/>
      <c r="AF67" s="435"/>
    </row>
    <row r="68" spans="2:32" ht="16.5" customHeight="1" thickBot="1" x14ac:dyDescent="0.25">
      <c r="B68" s="756" t="s">
        <v>1439</v>
      </c>
      <c r="C68" s="757"/>
      <c r="D68" s="761" t="s">
        <v>1436</v>
      </c>
      <c r="E68" s="762"/>
      <c r="F68" s="762"/>
      <c r="G68" s="763"/>
      <c r="H68" s="530"/>
      <c r="I68" s="531"/>
      <c r="J68" s="531"/>
      <c r="K68" s="531"/>
      <c r="L68" s="531"/>
      <c r="M68" s="531"/>
      <c r="N68" s="531"/>
      <c r="O68" s="531"/>
      <c r="P68" s="531"/>
      <c r="Q68" s="531"/>
      <c r="R68" s="531"/>
      <c r="S68" s="531"/>
      <c r="T68" s="531"/>
      <c r="U68" s="531"/>
      <c r="V68" s="531"/>
      <c r="W68" s="532"/>
      <c r="Y68" s="463"/>
      <c r="Z68" s="464"/>
      <c r="AA68" s="465"/>
      <c r="AB68" s="464"/>
      <c r="AC68" s="464"/>
      <c r="AD68" s="748"/>
      <c r="AE68" s="438"/>
      <c r="AF68" s="439"/>
    </row>
    <row r="69" spans="2:32" ht="16.5" customHeight="1" thickBot="1" x14ac:dyDescent="0.25">
      <c r="H69" s="305"/>
      <c r="I69" s="305"/>
      <c r="J69" s="305"/>
      <c r="K69" s="305"/>
      <c r="L69" s="305"/>
      <c r="M69" s="305"/>
      <c r="N69" s="305"/>
      <c r="O69" s="305"/>
      <c r="P69" s="305"/>
      <c r="Q69" s="305"/>
      <c r="R69" s="305"/>
      <c r="S69" s="305"/>
      <c r="T69" s="305"/>
      <c r="U69" s="305"/>
      <c r="V69" s="305"/>
      <c r="W69" s="305"/>
    </row>
    <row r="70" spans="2:32" ht="16.5" customHeight="1" x14ac:dyDescent="0.2">
      <c r="B70" s="653" t="s">
        <v>25</v>
      </c>
      <c r="C70" s="654"/>
      <c r="D70" s="654"/>
      <c r="E70" s="654"/>
      <c r="F70" s="654"/>
      <c r="G70" s="655"/>
      <c r="I70" s="653" t="s">
        <v>1064</v>
      </c>
      <c r="J70" s="654"/>
      <c r="K70" s="654"/>
      <c r="L70" s="654"/>
      <c r="M70" s="655"/>
      <c r="O70" s="653" t="s">
        <v>1419</v>
      </c>
      <c r="P70" s="654"/>
      <c r="Q70" s="654"/>
      <c r="R70" s="654"/>
      <c r="S70" s="654"/>
      <c r="T70" s="654"/>
      <c r="U70" s="654"/>
      <c r="V70" s="654"/>
      <c r="W70" s="655"/>
      <c r="Y70" s="729" t="s">
        <v>1563</v>
      </c>
      <c r="Z70" s="730"/>
      <c r="AA70" s="730"/>
      <c r="AB70" s="730"/>
      <c r="AC70" s="730"/>
      <c r="AD70" s="730"/>
      <c r="AE70" s="730"/>
      <c r="AF70" s="731"/>
    </row>
    <row r="71" spans="2:32" ht="16.5" customHeight="1" x14ac:dyDescent="0.2">
      <c r="B71" s="770"/>
      <c r="C71" s="771"/>
      <c r="D71" s="771"/>
      <c r="E71" s="771"/>
      <c r="F71" s="771"/>
      <c r="G71" s="772"/>
      <c r="I71" s="656" t="s">
        <v>1582</v>
      </c>
      <c r="J71" s="657"/>
      <c r="K71" s="657"/>
      <c r="L71" s="657"/>
      <c r="M71" s="658"/>
      <c r="N71" s="327"/>
      <c r="O71" s="659" t="s">
        <v>70</v>
      </c>
      <c r="P71" s="660"/>
      <c r="Q71" s="663" t="s">
        <v>1058</v>
      </c>
      <c r="R71" s="513"/>
      <c r="S71" s="350" t="s">
        <v>26</v>
      </c>
      <c r="T71" s="350" t="s">
        <v>27</v>
      </c>
      <c r="U71" s="350" t="s">
        <v>28</v>
      </c>
      <c r="V71" s="350" t="s">
        <v>29</v>
      </c>
      <c r="W71" s="355" t="s">
        <v>30</v>
      </c>
      <c r="Y71" s="732"/>
      <c r="Z71" s="733"/>
      <c r="AA71" s="733"/>
      <c r="AB71" s="733"/>
      <c r="AC71" s="733"/>
      <c r="AD71" s="733"/>
      <c r="AE71" s="733"/>
      <c r="AF71" s="734"/>
    </row>
    <row r="72" spans="2:32" ht="16.5" customHeight="1" x14ac:dyDescent="0.2">
      <c r="B72" s="459"/>
      <c r="C72" s="460"/>
      <c r="D72" s="460"/>
      <c r="E72" s="460"/>
      <c r="F72" s="460"/>
      <c r="G72" s="773"/>
      <c r="I72" s="477"/>
      <c r="J72" s="478"/>
      <c r="K72" s="478"/>
      <c r="L72" s="478"/>
      <c r="M72" s="479"/>
      <c r="N72" s="327"/>
      <c r="O72" s="661"/>
      <c r="P72" s="662"/>
      <c r="Q72" s="664" t="s">
        <v>1418</v>
      </c>
      <c r="R72" s="665"/>
      <c r="S72" s="351" t="s">
        <v>32</v>
      </c>
      <c r="T72" s="351" t="s">
        <v>31</v>
      </c>
      <c r="U72" s="351" t="s">
        <v>33</v>
      </c>
      <c r="V72" s="351" t="s">
        <v>34</v>
      </c>
      <c r="W72" s="356">
        <v>1</v>
      </c>
      <c r="Y72" s="468" t="str">
        <f>输出!F14</f>
        <v xml:space="preserve">.st                                                 </v>
      </c>
      <c r="Z72" s="469"/>
      <c r="AA72" s="469"/>
      <c r="AB72" s="469"/>
      <c r="AC72" s="469"/>
      <c r="AD72" s="469"/>
      <c r="AE72" s="469"/>
      <c r="AF72" s="470"/>
    </row>
    <row r="73" spans="2:32" ht="16.5" customHeight="1" x14ac:dyDescent="0.2">
      <c r="B73" s="456"/>
      <c r="C73" s="457"/>
      <c r="D73" s="457"/>
      <c r="E73" s="457"/>
      <c r="F73" s="457"/>
      <c r="G73" s="774"/>
      <c r="I73" s="480"/>
      <c r="J73" s="481"/>
      <c r="K73" s="481"/>
      <c r="L73" s="481"/>
      <c r="M73" s="482"/>
      <c r="N73" s="327"/>
      <c r="O73" s="486" t="s">
        <v>110</v>
      </c>
      <c r="P73" s="487"/>
      <c r="Q73" s="487"/>
      <c r="R73" s="487"/>
      <c r="S73" s="487"/>
      <c r="T73" s="487"/>
      <c r="U73" s="487"/>
      <c r="V73" s="487"/>
      <c r="W73" s="488"/>
      <c r="Y73" s="468"/>
      <c r="Z73" s="469"/>
      <c r="AA73" s="469"/>
      <c r="AB73" s="469"/>
      <c r="AC73" s="469"/>
      <c r="AD73" s="469"/>
      <c r="AE73" s="469"/>
      <c r="AF73" s="470"/>
    </row>
    <row r="74" spans="2:32" x14ac:dyDescent="0.2">
      <c r="B74" s="459"/>
      <c r="C74" s="460"/>
      <c r="D74" s="460"/>
      <c r="E74" s="460"/>
      <c r="F74" s="460"/>
      <c r="G74" s="773"/>
      <c r="I74" s="477"/>
      <c r="J74" s="478"/>
      <c r="K74" s="478"/>
      <c r="L74" s="478"/>
      <c r="M74" s="479"/>
      <c r="N74" s="327"/>
      <c r="O74" s="489"/>
      <c r="P74" s="490"/>
      <c r="Q74" s="490"/>
      <c r="R74" s="490"/>
      <c r="S74" s="490"/>
      <c r="T74" s="490"/>
      <c r="U74" s="490"/>
      <c r="V74" s="490"/>
      <c r="W74" s="491"/>
      <c r="Y74" s="468"/>
      <c r="Z74" s="469"/>
      <c r="AA74" s="469"/>
      <c r="AB74" s="469"/>
      <c r="AC74" s="469"/>
      <c r="AD74" s="469"/>
      <c r="AE74" s="469"/>
      <c r="AF74" s="470"/>
    </row>
    <row r="75" spans="2:32" ht="16.5" customHeight="1" x14ac:dyDescent="0.2">
      <c r="B75" s="456"/>
      <c r="C75" s="457"/>
      <c r="D75" s="457"/>
      <c r="E75" s="457"/>
      <c r="F75" s="457"/>
      <c r="G75" s="774"/>
      <c r="I75" s="480"/>
      <c r="J75" s="481"/>
      <c r="K75" s="481"/>
      <c r="L75" s="481"/>
      <c r="M75" s="482"/>
      <c r="O75" s="492" t="s">
        <v>35</v>
      </c>
      <c r="P75" s="493"/>
      <c r="Q75" s="494"/>
      <c r="R75" s="495" t="s">
        <v>71</v>
      </c>
      <c r="S75" s="493"/>
      <c r="T75" s="493"/>
      <c r="U75" s="493"/>
      <c r="V75" s="493"/>
      <c r="W75" s="496"/>
      <c r="Y75" s="468"/>
      <c r="Z75" s="469"/>
      <c r="AA75" s="469"/>
      <c r="AB75" s="469"/>
      <c r="AC75" s="469"/>
      <c r="AD75" s="469"/>
      <c r="AE75" s="469"/>
      <c r="AF75" s="470"/>
    </row>
    <row r="76" spans="2:32" ht="17.25" customHeight="1" x14ac:dyDescent="0.2">
      <c r="B76" s="459"/>
      <c r="C76" s="460"/>
      <c r="D76" s="460"/>
      <c r="E76" s="460"/>
      <c r="F76" s="460"/>
      <c r="G76" s="773"/>
      <c r="I76" s="477"/>
      <c r="J76" s="478"/>
      <c r="K76" s="478"/>
      <c r="L76" s="478"/>
      <c r="M76" s="479"/>
      <c r="O76" s="492" t="s">
        <v>36</v>
      </c>
      <c r="P76" s="494"/>
      <c r="Q76" s="352" t="s">
        <v>39</v>
      </c>
      <c r="R76" s="352"/>
      <c r="S76" s="352"/>
      <c r="T76" s="352"/>
      <c r="U76" s="352"/>
      <c r="V76" s="352"/>
      <c r="W76" s="357"/>
      <c r="Y76" s="468"/>
      <c r="Z76" s="469"/>
      <c r="AA76" s="469"/>
      <c r="AB76" s="469"/>
      <c r="AC76" s="469"/>
      <c r="AD76" s="469"/>
      <c r="AE76" s="469"/>
      <c r="AF76" s="470"/>
    </row>
    <row r="77" spans="2:32" x14ac:dyDescent="0.2">
      <c r="B77" s="456"/>
      <c r="C77" s="457"/>
      <c r="D77" s="457"/>
      <c r="E77" s="457"/>
      <c r="F77" s="457"/>
      <c r="G77" s="774"/>
      <c r="I77" s="480"/>
      <c r="J77" s="481"/>
      <c r="K77" s="481"/>
      <c r="L77" s="481"/>
      <c r="M77" s="482"/>
      <c r="O77" s="492" t="s">
        <v>37</v>
      </c>
      <c r="P77" s="494"/>
      <c r="Q77" s="503" t="s">
        <v>40</v>
      </c>
      <c r="R77" s="504"/>
      <c r="S77" s="504"/>
      <c r="T77" s="504"/>
      <c r="U77" s="504"/>
      <c r="V77" s="504"/>
      <c r="W77" s="505"/>
      <c r="Y77" s="468"/>
      <c r="Z77" s="469"/>
      <c r="AA77" s="469"/>
      <c r="AB77" s="469"/>
      <c r="AC77" s="469"/>
      <c r="AD77" s="469"/>
      <c r="AE77" s="469"/>
      <c r="AF77" s="470"/>
    </row>
    <row r="78" spans="2:32" ht="16.5" customHeight="1" x14ac:dyDescent="0.2">
      <c r="B78" s="459"/>
      <c r="C78" s="460"/>
      <c r="D78" s="460"/>
      <c r="E78" s="460"/>
      <c r="F78" s="460"/>
      <c r="G78" s="773"/>
      <c r="I78" s="477"/>
      <c r="J78" s="478"/>
      <c r="K78" s="478"/>
      <c r="L78" s="478"/>
      <c r="M78" s="479"/>
      <c r="O78" s="512" t="s">
        <v>38</v>
      </c>
      <c r="P78" s="513"/>
      <c r="Q78" s="506" t="s">
        <v>1066</v>
      </c>
      <c r="R78" s="507"/>
      <c r="S78" s="507"/>
      <c r="T78" s="507"/>
      <c r="U78" s="507"/>
      <c r="V78" s="507"/>
      <c r="W78" s="508"/>
      <c r="Y78" s="468"/>
      <c r="Z78" s="469"/>
      <c r="AA78" s="469"/>
      <c r="AB78" s="469"/>
      <c r="AC78" s="469"/>
      <c r="AD78" s="469"/>
      <c r="AE78" s="469"/>
      <c r="AF78" s="470"/>
    </row>
    <row r="79" spans="2:32" ht="16.5" customHeight="1" x14ac:dyDescent="0.2">
      <c r="B79" s="456"/>
      <c r="C79" s="457"/>
      <c r="D79" s="457"/>
      <c r="E79" s="457"/>
      <c r="F79" s="457"/>
      <c r="G79" s="774"/>
      <c r="I79" s="480"/>
      <c r="J79" s="481"/>
      <c r="K79" s="481"/>
      <c r="L79" s="481"/>
      <c r="M79" s="482"/>
      <c r="O79" s="514"/>
      <c r="P79" s="515"/>
      <c r="Q79" s="509"/>
      <c r="R79" s="510"/>
      <c r="S79" s="510"/>
      <c r="T79" s="510"/>
      <c r="U79" s="510"/>
      <c r="V79" s="510"/>
      <c r="W79" s="511"/>
      <c r="Y79" s="468"/>
      <c r="Z79" s="469"/>
      <c r="AA79" s="469"/>
      <c r="AB79" s="469"/>
      <c r="AC79" s="469"/>
      <c r="AD79" s="469"/>
      <c r="AE79" s="469"/>
      <c r="AF79" s="470"/>
    </row>
    <row r="80" spans="2:32" ht="16.5" customHeight="1" thickBot="1" x14ac:dyDescent="0.25">
      <c r="B80" s="474"/>
      <c r="C80" s="475"/>
      <c r="D80" s="475"/>
      <c r="E80" s="475"/>
      <c r="F80" s="475"/>
      <c r="G80" s="476"/>
      <c r="I80" s="483"/>
      <c r="J80" s="484"/>
      <c r="K80" s="484"/>
      <c r="L80" s="484"/>
      <c r="M80" s="485"/>
      <c r="O80" s="497" t="s">
        <v>41</v>
      </c>
      <c r="P80" s="498"/>
      <c r="Q80" s="498"/>
      <c r="R80" s="499"/>
      <c r="S80" s="500" t="s">
        <v>42</v>
      </c>
      <c r="T80" s="501"/>
      <c r="U80" s="501"/>
      <c r="V80" s="501"/>
      <c r="W80" s="502"/>
      <c r="X80" s="358" t="str">
        <f>输出!F14</f>
        <v xml:space="preserve">.st                                                 </v>
      </c>
      <c r="Y80" s="471"/>
      <c r="Z80" s="472"/>
      <c r="AA80" s="472"/>
      <c r="AB80" s="472"/>
      <c r="AC80" s="472"/>
      <c r="AD80" s="472"/>
      <c r="AE80" s="472"/>
      <c r="AF80" s="473"/>
    </row>
    <row r="81" spans="15:53" x14ac:dyDescent="0.2">
      <c r="O81" s="451" t="s">
        <v>1646</v>
      </c>
      <c r="P81" s="451"/>
      <c r="Q81" s="451"/>
      <c r="T81" s="450">
        <v>43586</v>
      </c>
      <c r="U81" s="450"/>
      <c r="V81" s="449" t="s">
        <v>1625</v>
      </c>
      <c r="W81" s="449"/>
      <c r="AC81" s="614" t="s">
        <v>1489</v>
      </c>
      <c r="AD81" s="614"/>
      <c r="AE81" s="614"/>
      <c r="AF81" s="614"/>
    </row>
    <row r="82" spans="15:53" ht="16.5" customHeight="1" x14ac:dyDescent="0.2">
      <c r="Z82" s="306"/>
      <c r="AA82" s="306"/>
      <c r="AB82" s="306"/>
      <c r="AC82" s="306"/>
      <c r="AD82" s="306"/>
      <c r="AE82" s="306"/>
      <c r="AF82" s="306"/>
    </row>
    <row r="83" spans="15:53" x14ac:dyDescent="0.2">
      <c r="Z83" s="306"/>
      <c r="AA83" s="306"/>
      <c r="AB83" s="306"/>
      <c r="AC83" s="306"/>
      <c r="AD83" s="306"/>
      <c r="AE83" s="306"/>
      <c r="AF83" s="306"/>
    </row>
    <row r="84" spans="15:53" ht="16.5" customHeight="1" x14ac:dyDescent="0.2">
      <c r="AE84" s="306"/>
      <c r="AF84" s="306"/>
    </row>
    <row r="85" spans="15:53" x14ac:dyDescent="0.2">
      <c r="AE85" s="306"/>
      <c r="AF85" s="306"/>
    </row>
    <row r="86" spans="15:53" ht="16.5" customHeight="1" x14ac:dyDescent="0.2">
      <c r="AE86" s="306"/>
      <c r="AF86" s="306"/>
    </row>
    <row r="87" spans="15:53" x14ac:dyDescent="0.2">
      <c r="AE87" s="306"/>
      <c r="AF87" s="306"/>
      <c r="AG87" s="306"/>
      <c r="AH87" s="306"/>
    </row>
    <row r="88" spans="15:53" ht="17.25" customHeight="1" x14ac:dyDescent="0.2">
      <c r="AE88" s="306"/>
      <c r="AF88" s="306"/>
      <c r="AG88" s="306"/>
      <c r="AH88" s="306"/>
    </row>
    <row r="89" spans="15:53" ht="17.25" customHeight="1" x14ac:dyDescent="0.2">
      <c r="AE89" s="306"/>
      <c r="AF89" s="306"/>
      <c r="AG89" s="306"/>
      <c r="AH89" s="306"/>
    </row>
    <row r="90" spans="15:53" ht="16.5" customHeight="1" x14ac:dyDescent="0.2">
      <c r="AE90" s="306"/>
      <c r="AF90" s="306"/>
      <c r="AG90" s="306"/>
      <c r="AH90" s="306"/>
    </row>
    <row r="91" spans="15:53" x14ac:dyDescent="0.2">
      <c r="AE91" s="306"/>
      <c r="AF91" s="306"/>
      <c r="AG91" s="306"/>
      <c r="AH91" s="306"/>
    </row>
    <row r="92" spans="15:53" ht="16.5" customHeight="1" x14ac:dyDescent="0.2">
      <c r="AE92" s="306"/>
      <c r="AF92" s="306"/>
      <c r="AG92" s="306"/>
      <c r="AH92" s="306"/>
    </row>
    <row r="93" spans="15:53" x14ac:dyDescent="0.2">
      <c r="Q93" s="304"/>
      <c r="X93" s="306"/>
      <c r="AE93" s="306"/>
      <c r="AF93" s="306"/>
      <c r="AG93" s="306"/>
      <c r="AH93" s="306"/>
    </row>
    <row r="94" spans="15:53" ht="16.5" customHeight="1" x14ac:dyDescent="0.2">
      <c r="Q94" s="304"/>
      <c r="X94" s="306"/>
      <c r="AE94" s="306"/>
      <c r="AF94" s="306"/>
      <c r="AG94" s="306"/>
      <c r="AH94" s="306"/>
    </row>
    <row r="95" spans="15:53" x14ac:dyDescent="0.2">
      <c r="Q95" s="304"/>
      <c r="X95" s="306"/>
      <c r="AE95" s="306"/>
      <c r="AF95" s="306"/>
      <c r="AG95" s="306"/>
      <c r="AH95" s="306"/>
      <c r="AI95" s="306"/>
      <c r="AJ95" s="306"/>
      <c r="AK95" s="306"/>
      <c r="AL95" s="306"/>
      <c r="AM95" s="306"/>
      <c r="AN95" s="306"/>
      <c r="AO95" s="306"/>
      <c r="AP95" s="306"/>
      <c r="AQ95" s="306"/>
      <c r="AR95" s="306"/>
      <c r="AS95" s="306"/>
      <c r="AT95" s="306"/>
      <c r="AU95" s="306"/>
      <c r="AV95" s="306"/>
      <c r="AW95" s="306"/>
      <c r="AX95" s="306"/>
      <c r="AY95" s="306"/>
      <c r="AZ95" s="306"/>
      <c r="BA95" s="306"/>
    </row>
    <row r="96" spans="15:53" x14ac:dyDescent="0.2">
      <c r="Q96" s="304"/>
      <c r="X96" s="306"/>
      <c r="AE96" s="306"/>
      <c r="AF96" s="306"/>
      <c r="AG96" s="306"/>
      <c r="AH96" s="306"/>
      <c r="AI96" s="306"/>
      <c r="AJ96" s="306"/>
      <c r="AK96" s="306"/>
      <c r="AL96" s="306"/>
      <c r="AM96" s="306"/>
      <c r="AN96" s="306"/>
      <c r="AO96" s="306"/>
      <c r="AP96" s="306"/>
      <c r="AQ96" s="306"/>
      <c r="AR96" s="306"/>
      <c r="AS96" s="306"/>
      <c r="AT96" s="306"/>
      <c r="AU96" s="306"/>
      <c r="AV96" s="306"/>
      <c r="AW96" s="306"/>
      <c r="AX96" s="306"/>
      <c r="AY96" s="306"/>
      <c r="AZ96" s="306"/>
      <c r="BA96" s="306"/>
    </row>
    <row r="97" spans="17:53" x14ac:dyDescent="0.2">
      <c r="Q97" s="304"/>
      <c r="X97" s="306"/>
      <c r="AE97" s="306"/>
      <c r="AF97" s="306"/>
      <c r="AG97" s="306"/>
      <c r="AH97" s="306"/>
      <c r="AI97" s="306"/>
      <c r="AJ97" s="306"/>
      <c r="AK97" s="306"/>
      <c r="AL97" s="306"/>
      <c r="AM97" s="306"/>
      <c r="AN97" s="306"/>
      <c r="AO97" s="306"/>
      <c r="AP97" s="306"/>
      <c r="AQ97" s="306"/>
      <c r="AR97" s="306"/>
      <c r="AS97" s="306"/>
      <c r="AT97" s="306"/>
      <c r="AU97" s="306"/>
      <c r="AV97" s="306"/>
      <c r="AW97" s="306"/>
      <c r="AX97" s="306"/>
      <c r="AY97" s="306"/>
      <c r="AZ97" s="306"/>
      <c r="BA97" s="306"/>
    </row>
    <row r="98" spans="17:53" x14ac:dyDescent="0.2">
      <c r="Q98" s="304"/>
      <c r="X98" s="306"/>
      <c r="AE98" s="306"/>
      <c r="AF98" s="306"/>
      <c r="AG98" s="306"/>
      <c r="AH98" s="306"/>
    </row>
    <row r="99" spans="17:53" ht="16.5" customHeight="1" x14ac:dyDescent="0.2">
      <c r="Q99" s="304"/>
      <c r="X99" s="306"/>
      <c r="Y99" s="306"/>
      <c r="Z99" s="306"/>
      <c r="AA99" s="306"/>
      <c r="AB99" s="306"/>
      <c r="AC99" s="306"/>
      <c r="AD99" s="306"/>
      <c r="AE99" s="306"/>
      <c r="AF99" s="306"/>
      <c r="AG99" s="306"/>
      <c r="AH99" s="306"/>
    </row>
    <row r="100" spans="17:53" x14ac:dyDescent="0.2">
      <c r="Q100" s="304"/>
      <c r="X100" s="306"/>
      <c r="Y100" s="306"/>
      <c r="Z100" s="306"/>
      <c r="AA100" s="306"/>
      <c r="AB100" s="306"/>
      <c r="AC100" s="306"/>
      <c r="AD100" s="306"/>
      <c r="AE100" s="306"/>
      <c r="AF100" s="306"/>
      <c r="AG100" s="306"/>
      <c r="AH100" s="306"/>
    </row>
    <row r="101" spans="17:53" x14ac:dyDescent="0.2">
      <c r="Q101" s="304"/>
      <c r="X101" s="306"/>
      <c r="Y101" s="306"/>
      <c r="Z101" s="306"/>
      <c r="AA101" s="306"/>
      <c r="AB101" s="306"/>
      <c r="AC101" s="306"/>
      <c r="AD101" s="306"/>
      <c r="AE101" s="306"/>
      <c r="AF101" s="306"/>
      <c r="AG101" s="306"/>
      <c r="AH101" s="306"/>
    </row>
    <row r="102" spans="17:53" x14ac:dyDescent="0.2">
      <c r="X102" s="306"/>
      <c r="Y102" s="306"/>
      <c r="Z102" s="306"/>
      <c r="AA102" s="306"/>
      <c r="AB102" s="306"/>
      <c r="AC102" s="306"/>
      <c r="AD102" s="306"/>
      <c r="AE102" s="306"/>
      <c r="AF102" s="306"/>
      <c r="AG102" s="306"/>
      <c r="AH102" s="306"/>
    </row>
    <row r="103" spans="17:53" x14ac:dyDescent="0.2">
      <c r="X103" s="306"/>
      <c r="Y103" s="306"/>
      <c r="Z103" s="306"/>
      <c r="AA103" s="306"/>
      <c r="AB103" s="306"/>
      <c r="AC103" s="306"/>
      <c r="AD103" s="306"/>
      <c r="AE103" s="306"/>
      <c r="AF103" s="306"/>
      <c r="AG103" s="306"/>
      <c r="AH103" s="306"/>
    </row>
    <row r="104" spans="17:53" ht="16.5" customHeight="1" x14ac:dyDescent="0.2">
      <c r="X104" s="306"/>
      <c r="Y104" s="306"/>
      <c r="Z104" s="306"/>
      <c r="AA104" s="306"/>
      <c r="AB104" s="306"/>
      <c r="AC104" s="306"/>
      <c r="AD104" s="306"/>
      <c r="AE104" s="306"/>
      <c r="AF104" s="306"/>
      <c r="AG104" s="306"/>
      <c r="AH104" s="306"/>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B70 Y38 I70 AL33 B58:B59 AH31:AL31 Y24:AF24 Y25:Y26 AA25:AB25 B61:C68 AC81:AF81 T81:U81 Q71:Q72 S76:S80 S70:S74 O80 Q70:R70 P70:P80 O70:O78 Q73:R80 T70:T80 V70:W80 U70:U79 O81:Q81" name="技能表往下"/>
    <protectedRange sqref="X89:X101 AE89:AG101 Y99:AD101 Y55:AF68" name="区域1"/>
  </protectedRanges>
  <dataConsolidate/>
  <customSheetViews>
    <customSheetView guid="{111A6EAC-FF6E-44AB-B5F5-6EDFAC2B64B3}" scale="85" showGridLines="0" fitToPage="1">
      <selection activeCell="J3" sqref="J3:J4"/>
      <pageMargins left="0.7" right="0.7" top="0.75" bottom="0.75" header="0.3" footer="0.3"/>
      <pageSetup paperSize="9" scale="49" fitToWidth="0" orientation="portrait" r:id="rId1"/>
    </customSheetView>
  </customSheetViews>
  <mergeCells count="319">
    <mergeCell ref="B71:G71"/>
    <mergeCell ref="B72:G72"/>
    <mergeCell ref="B73:G73"/>
    <mergeCell ref="B74:G74"/>
    <mergeCell ref="B75:G75"/>
    <mergeCell ref="B76:G76"/>
    <mergeCell ref="B77:G77"/>
    <mergeCell ref="B78:G78"/>
    <mergeCell ref="B79:G79"/>
    <mergeCell ref="B70:G70"/>
    <mergeCell ref="D60:F60"/>
    <mergeCell ref="B60:C60"/>
    <mergeCell ref="B62:C62"/>
    <mergeCell ref="B63:C63"/>
    <mergeCell ref="B64:C64"/>
    <mergeCell ref="B65:C65"/>
    <mergeCell ref="B66:C66"/>
    <mergeCell ref="B67:C67"/>
    <mergeCell ref="B68:C68"/>
    <mergeCell ref="D67:G67"/>
    <mergeCell ref="D68:G68"/>
    <mergeCell ref="D66:F66"/>
    <mergeCell ref="D65:F65"/>
    <mergeCell ref="D64:F64"/>
    <mergeCell ref="D63:F63"/>
    <mergeCell ref="D62:F62"/>
    <mergeCell ref="D61:F61"/>
    <mergeCell ref="Y70:AF71"/>
    <mergeCell ref="Y40:AF40"/>
    <mergeCell ref="Y41:AF41"/>
    <mergeCell ref="Y42:AF42"/>
    <mergeCell ref="Y43:AF43"/>
    <mergeCell ref="Y44:AF44"/>
    <mergeCell ref="Y45:AF45"/>
    <mergeCell ref="Y46:AF46"/>
    <mergeCell ref="Y47:AF47"/>
    <mergeCell ref="Y48:AF48"/>
    <mergeCell ref="Y49:AF49"/>
    <mergeCell ref="Y50:AF50"/>
    <mergeCell ref="Y51:AF51"/>
    <mergeCell ref="AB55:AD55"/>
    <mergeCell ref="Y54:AA54"/>
    <mergeCell ref="AB54:AD54"/>
    <mergeCell ref="Y53:AF53"/>
    <mergeCell ref="AB68:AD68"/>
    <mergeCell ref="AB67:AD67"/>
    <mergeCell ref="Y8:AA8"/>
    <mergeCell ref="AA13:AC13"/>
    <mergeCell ref="AA14:AC14"/>
    <mergeCell ref="Y14:Z14"/>
    <mergeCell ref="Y13:Z13"/>
    <mergeCell ref="AA12:AF12"/>
    <mergeCell ref="Y38:AF38"/>
    <mergeCell ref="AC8:AF8"/>
    <mergeCell ref="Y24:AF24"/>
    <mergeCell ref="AE25:AF25"/>
    <mergeCell ref="AC25:AD25"/>
    <mergeCell ref="AA25:AB25"/>
    <mergeCell ref="Y25:Z25"/>
    <mergeCell ref="Y26:Z26"/>
    <mergeCell ref="AA26:AB26"/>
    <mergeCell ref="AC26:AD26"/>
    <mergeCell ref="AE26:AF26"/>
    <mergeCell ref="AA27:AF28"/>
    <mergeCell ref="Y27:Z28"/>
    <mergeCell ref="Y29:Z30"/>
    <mergeCell ref="Y31:Z32"/>
    <mergeCell ref="AA31:AF32"/>
    <mergeCell ref="AA29:AF30"/>
    <mergeCell ref="Y33:AF36"/>
    <mergeCell ref="Z3:AA3"/>
    <mergeCell ref="Z4:AA4"/>
    <mergeCell ref="Z5:AA5"/>
    <mergeCell ref="Z6:AA6"/>
    <mergeCell ref="Z7:AA7"/>
    <mergeCell ref="AB3:AD3"/>
    <mergeCell ref="AF3:AG3"/>
    <mergeCell ref="AF4:AG4"/>
    <mergeCell ref="AF5:AG5"/>
    <mergeCell ref="AF6:AG6"/>
    <mergeCell ref="AF7:AG7"/>
    <mergeCell ref="AB4:AD4"/>
    <mergeCell ref="AB5:AD5"/>
    <mergeCell ref="AB6:AD6"/>
    <mergeCell ref="AB7:AD7"/>
    <mergeCell ref="Y39:AF39"/>
    <mergeCell ref="Y12:Z12"/>
    <mergeCell ref="O14:P14"/>
    <mergeCell ref="O37:P37"/>
    <mergeCell ref="O38:P38"/>
    <mergeCell ref="O39:P39"/>
    <mergeCell ref="D27:E27"/>
    <mergeCell ref="D28:E28"/>
    <mergeCell ref="D29:E29"/>
    <mergeCell ref="O33:P33"/>
    <mergeCell ref="O34:P34"/>
    <mergeCell ref="AE13:AF13"/>
    <mergeCell ref="AE14:AF14"/>
    <mergeCell ref="O17:P17"/>
    <mergeCell ref="O16:P16"/>
    <mergeCell ref="O15:P15"/>
    <mergeCell ref="O29:P29"/>
    <mergeCell ref="O28:P28"/>
    <mergeCell ref="D24:E24"/>
    <mergeCell ref="D25:E25"/>
    <mergeCell ref="D26:E26"/>
    <mergeCell ref="O25:P25"/>
    <mergeCell ref="O24:P24"/>
    <mergeCell ref="O23:P23"/>
    <mergeCell ref="Y10:AF10"/>
    <mergeCell ref="AA17:AF19"/>
    <mergeCell ref="AA15:AF16"/>
    <mergeCell ref="Y17:Z19"/>
    <mergeCell ref="Y15:Z16"/>
    <mergeCell ref="AA20:AF22"/>
    <mergeCell ref="Y20:Z22"/>
    <mergeCell ref="Y11:Z11"/>
    <mergeCell ref="AA11:AD11"/>
    <mergeCell ref="O70:W70"/>
    <mergeCell ref="I70:M70"/>
    <mergeCell ref="I71:M71"/>
    <mergeCell ref="I72:M72"/>
    <mergeCell ref="I73:M73"/>
    <mergeCell ref="I74:M74"/>
    <mergeCell ref="I75:M75"/>
    <mergeCell ref="O71:P72"/>
    <mergeCell ref="Q71:R71"/>
    <mergeCell ref="Q72:R72"/>
    <mergeCell ref="AC81:AF81"/>
    <mergeCell ref="V57:W57"/>
    <mergeCell ref="V55:V56"/>
    <mergeCell ref="S2:W8"/>
    <mergeCell ref="I2:Q2"/>
    <mergeCell ref="B2:G2"/>
    <mergeCell ref="B10:C11"/>
    <mergeCell ref="K10:L11"/>
    <mergeCell ref="D10:D11"/>
    <mergeCell ref="E10:E11"/>
    <mergeCell ref="I10:I11"/>
    <mergeCell ref="J10:J11"/>
    <mergeCell ref="N10:N11"/>
    <mergeCell ref="O3:O4"/>
    <mergeCell ref="O5:O6"/>
    <mergeCell ref="O7:O8"/>
    <mergeCell ref="P3:P4"/>
    <mergeCell ref="P5:P6"/>
    <mergeCell ref="V10:W10"/>
    <mergeCell ref="R10:R11"/>
    <mergeCell ref="S10:S11"/>
    <mergeCell ref="H3:H4"/>
    <mergeCell ref="H5:H6"/>
    <mergeCell ref="H7:H8"/>
    <mergeCell ref="F6:G6"/>
    <mergeCell ref="F5:G5"/>
    <mergeCell ref="F4:G4"/>
    <mergeCell ref="C3:G3"/>
    <mergeCell ref="C4:D4"/>
    <mergeCell ref="C5:D5"/>
    <mergeCell ref="I3:I4"/>
    <mergeCell ref="I5:I6"/>
    <mergeCell ref="I7:I8"/>
    <mergeCell ref="C6:D6"/>
    <mergeCell ref="C7:G7"/>
    <mergeCell ref="C8:G8"/>
    <mergeCell ref="J3:J4"/>
    <mergeCell ref="J5:J6"/>
    <mergeCell ref="J7:J8"/>
    <mergeCell ref="P7:P8"/>
    <mergeCell ref="L3:L4"/>
    <mergeCell ref="L5:L6"/>
    <mergeCell ref="L7:L8"/>
    <mergeCell ref="M3:M4"/>
    <mergeCell ref="M5:M6"/>
    <mergeCell ref="M7:M8"/>
    <mergeCell ref="S9:T9"/>
    <mergeCell ref="O10:P11"/>
    <mergeCell ref="Q10:Q11"/>
    <mergeCell ref="U14:W14"/>
    <mergeCell ref="J14:L14"/>
    <mergeCell ref="B13:W13"/>
    <mergeCell ref="D14:E14"/>
    <mergeCell ref="B9:C9"/>
    <mergeCell ref="M10:M11"/>
    <mergeCell ref="E9:J9"/>
    <mergeCell ref="F10:G11"/>
    <mergeCell ref="H10:H11"/>
    <mergeCell ref="T10:U10"/>
    <mergeCell ref="T11:U11"/>
    <mergeCell ref="V11:W11"/>
    <mergeCell ref="O22:P22"/>
    <mergeCell ref="O21:P21"/>
    <mergeCell ref="D15:E15"/>
    <mergeCell ref="D16:E16"/>
    <mergeCell ref="D17:E17"/>
    <mergeCell ref="D18:E18"/>
    <mergeCell ref="D22:E22"/>
    <mergeCell ref="D23:E23"/>
    <mergeCell ref="O20:P20"/>
    <mergeCell ref="O19:P19"/>
    <mergeCell ref="O18:P18"/>
    <mergeCell ref="O35:P35"/>
    <mergeCell ref="O27:P27"/>
    <mergeCell ref="D39:E39"/>
    <mergeCell ref="D32:E32"/>
    <mergeCell ref="D31:E31"/>
    <mergeCell ref="D30:E30"/>
    <mergeCell ref="P51:Q51"/>
    <mergeCell ref="F51:H51"/>
    <mergeCell ref="B55:C55"/>
    <mergeCell ref="D47:E47"/>
    <mergeCell ref="D48:E48"/>
    <mergeCell ref="O45:P45"/>
    <mergeCell ref="O47:P47"/>
    <mergeCell ref="D42:E42"/>
    <mergeCell ref="D41:E41"/>
    <mergeCell ref="D40:E40"/>
    <mergeCell ref="O42:P42"/>
    <mergeCell ref="O43:P43"/>
    <mergeCell ref="O46:P46"/>
    <mergeCell ref="O48:P48"/>
    <mergeCell ref="O41:P41"/>
    <mergeCell ref="O40:P40"/>
    <mergeCell ref="T50:W50"/>
    <mergeCell ref="B50:R50"/>
    <mergeCell ref="B54:C54"/>
    <mergeCell ref="I51:J51"/>
    <mergeCell ref="K51:L51"/>
    <mergeCell ref="N51:O51"/>
    <mergeCell ref="V53:W54"/>
    <mergeCell ref="V51:W52"/>
    <mergeCell ref="T55:U56"/>
    <mergeCell ref="I56:J56"/>
    <mergeCell ref="N53:O53"/>
    <mergeCell ref="N54:O54"/>
    <mergeCell ref="N55:O55"/>
    <mergeCell ref="P55:Q55"/>
    <mergeCell ref="P52:Q52"/>
    <mergeCell ref="P54:Q54"/>
    <mergeCell ref="P53:Q53"/>
    <mergeCell ref="T51:U52"/>
    <mergeCell ref="T53:U54"/>
    <mergeCell ref="B56:C56"/>
    <mergeCell ref="K56:L56"/>
    <mergeCell ref="K52:L52"/>
    <mergeCell ref="P56:Q56"/>
    <mergeCell ref="T57:U57"/>
    <mergeCell ref="I57:J57"/>
    <mergeCell ref="B57:C57"/>
    <mergeCell ref="K55:L55"/>
    <mergeCell ref="B52:C52"/>
    <mergeCell ref="I54:J54"/>
    <mergeCell ref="I53:J53"/>
    <mergeCell ref="N52:O52"/>
    <mergeCell ref="I55:J55"/>
    <mergeCell ref="B59:W59"/>
    <mergeCell ref="H60:W60"/>
    <mergeCell ref="B61:C61"/>
    <mergeCell ref="H61:W68"/>
    <mergeCell ref="AB58:AD58"/>
    <mergeCell ref="B1:W1"/>
    <mergeCell ref="B53:C53"/>
    <mergeCell ref="B51:C51"/>
    <mergeCell ref="K54:L54"/>
    <mergeCell ref="K53:L53"/>
    <mergeCell ref="AB59:AD59"/>
    <mergeCell ref="AB60:AD60"/>
    <mergeCell ref="AB61:AD61"/>
    <mergeCell ref="AB62:AD62"/>
    <mergeCell ref="AB63:AD63"/>
    <mergeCell ref="AB64:AD64"/>
    <mergeCell ref="AB65:AD65"/>
    <mergeCell ref="AB66:AD66"/>
    <mergeCell ref="B58:W58"/>
    <mergeCell ref="K57:L57"/>
    <mergeCell ref="N56:O56"/>
    <mergeCell ref="N57:O57"/>
    <mergeCell ref="I52:J52"/>
    <mergeCell ref="P57:Q57"/>
    <mergeCell ref="Y72:AF80"/>
    <mergeCell ref="B80:G80"/>
    <mergeCell ref="I76:M76"/>
    <mergeCell ref="I77:M77"/>
    <mergeCell ref="I78:M78"/>
    <mergeCell ref="I79:M79"/>
    <mergeCell ref="I80:M80"/>
    <mergeCell ref="O73:W74"/>
    <mergeCell ref="O75:Q75"/>
    <mergeCell ref="R75:W75"/>
    <mergeCell ref="O80:R80"/>
    <mergeCell ref="S80:W80"/>
    <mergeCell ref="O76:P76"/>
    <mergeCell ref="O77:P77"/>
    <mergeCell ref="Q77:W77"/>
    <mergeCell ref="Q78:W79"/>
    <mergeCell ref="O78:P79"/>
    <mergeCell ref="V81:W81"/>
    <mergeCell ref="T81:U81"/>
    <mergeCell ref="O81:Q81"/>
    <mergeCell ref="Y2:AE2"/>
    <mergeCell ref="B12:W12"/>
    <mergeCell ref="P9:Q9"/>
    <mergeCell ref="V9:W9"/>
    <mergeCell ref="M9:N9"/>
    <mergeCell ref="Y55:AA55"/>
    <mergeCell ref="Y56:AA56"/>
    <mergeCell ref="AB56:AD56"/>
    <mergeCell ref="Y57:AA57"/>
    <mergeCell ref="Y58:AA58"/>
    <mergeCell ref="Y59:AA59"/>
    <mergeCell ref="Y60:AA60"/>
    <mergeCell ref="Y61:AA61"/>
    <mergeCell ref="Y62:AA62"/>
    <mergeCell ref="Y63:AA63"/>
    <mergeCell ref="Y64:AA64"/>
    <mergeCell ref="Y65:AA65"/>
    <mergeCell ref="Y66:AA66"/>
    <mergeCell ref="Y67:AA67"/>
    <mergeCell ref="Y68:AA68"/>
    <mergeCell ref="AB57:AD57"/>
  </mergeCells>
  <phoneticPr fontId="2" type="noConversion"/>
  <conditionalFormatting sqref="G49 R49:V49">
    <cfRule type="cellIs" dxfId="10" priority="525" operator="equal">
      <formula>"剩余职业点=0   剩余兴趣点=0"</formula>
    </cfRule>
  </conditionalFormatting>
  <conditionalFormatting sqref="C15:C48 N15:N44">
    <cfRule type="cellIs" dxfId="9" priority="14" operator="equal">
      <formula>"☯"</formula>
    </cfRule>
    <cfRule type="cellIs" dxfId="8" priority="15" operator="equal">
      <formula>"※"</formula>
    </cfRule>
    <cfRule type="cellIs" dxfId="7" priority="16" operator="equal">
      <formula>"⊙"</formula>
    </cfRule>
    <cfRule type="cellIs" dxfId="6" priority="17" operator="equal">
      <formula>"×"</formula>
    </cfRule>
    <cfRule type="cellIs" dxfId="5" priority="18" operator="equal">
      <formula>"☆"</formula>
    </cfRule>
    <cfRule type="cellIs" dxfId="4" priority="19" operator="equal">
      <formula>"★"</formula>
    </cfRule>
  </conditionalFormatting>
  <conditionalFormatting sqref="Y13:AF13 Y15:AF16 Y20:AF22 Y11 AA11 AE11:AF11">
    <cfRule type="notContainsBlanks" dxfId="3" priority="529">
      <formula>LEN(TRIM(Y11))&gt;0</formula>
    </cfRule>
  </conditionalFormatting>
  <conditionalFormatting sqref="Y10:AF10 Y12:AF22 Y11 AA11 AE11:AF11">
    <cfRule type="notContainsBlanks" dxfId="2" priority="528">
      <formula>LEN(TRIM(Y10))&gt;0</formula>
    </cfRule>
  </conditionalFormatting>
  <conditionalFormatting sqref="Y10:AF10">
    <cfRule type="notContainsBlanks" dxfId="1" priority="7">
      <formula>LEN(TRIM(Y10))&gt;0</formula>
    </cfRule>
  </conditionalFormatting>
  <dataValidations xWindow="192" yWindow="391" count="9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dataValidation allowBlank="1" showErrorMessage="1" sqref="E46 G60"/>
    <dataValidation allowBlank="1" showInputMessage="1" showErrorMessage="1" promptTitle="Fighting (不定) [无法孤注一骰]" prompt="格斗技能指的是一名角色在近距离战斗上的技能。你可以花费一定的点数来获得任何的专业化技能。" sqref="D33:D35"/>
    <dataValidation allowBlank="1" showInputMessage="1" showErrorMessage="1" promptTitle="Firearms (不定) [无法孤注一骰]" prompt="包括了各种形式的火器，也包括了弓箭和弩。" sqref="D36:D38"/>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type="custom" allowBlank="1" showInputMessage="1" showErrorMessage="1" promptTitle="规则说明" prompt="规则_x000a_若检定骰出了1，那么大成功发生。_x000a_泛大陆房规_x000a_若骰出了1-5,那么大成功发生。_x000a_（最终决定权在于KP）" sqref="W72">
      <formula1>1</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ErrorMessage="1" promptTitle="Tips" prompt="一般MOV不需要手动修改。" sqref="Q7"/>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7:B48 B15:B24 M15:M48">
      <formula1>"☐,☑"</formula1>
    </dataValidation>
    <dataValidation allowBlank="1" showInputMessage="1" showErrorMessage="1" promptTitle="说明" prompt="多选一还是多选二参见下方的[xxxx的本职技能具体内容]" sqref="V9:W9"/>
    <dataValidation type="list" allowBlank="1" showInputMessage="1" showErrorMessage="1" sqref="F4:G4">
      <formula1>"1920s,现代,自定义"</formula1>
    </dataValidation>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Diving (01%)" prompt="非常规技能，使用者接受过在深海游泳的使用以及维持潜水设备的训练，水下导航，合适的下潜配重，以及应对紧急情况的方法。" sqref="O39:P39"/>
    <dataValidation type="whole" errorStyle="warning" allowBlank="1" showErrorMessage="1" errorTitle="警告" error="人类力量范围为0~99" promptTitle="警告" sqref="J3:J4">
      <formula1>0</formula1>
      <formula2>99</formula2>
    </dataValidation>
    <dataValidation type="whole" errorStyle="warning" allowBlank="1" showInputMessage="1" showErrorMessage="1" errorTitle="警告" error="人类体质范围为0~99" sqref="J5:J6">
      <formula1>0</formula1>
      <formula2>99</formula2>
    </dataValidation>
    <dataValidation type="whole" errorStyle="warning" operator="greaterThanOrEqual" allowBlank="1" showInputMessage="1" errorTitle="警告" promptTitle="提示" prompt="部分人类体型可以超99" sqref="J7:J8">
      <formula1>15</formula1>
    </dataValidation>
    <dataValidation type="whole" errorStyle="warning" allowBlank="1" showInputMessage="1" showErrorMessage="1" errorTitle="警告" error="人类敏捷范围为0~99" sqref="M3:M4">
      <formula1>0</formula1>
      <formula2>99</formula2>
    </dataValidation>
    <dataValidation type="whole" errorStyle="warning" allowBlank="1" showInputMessage="1" showErrorMessage="1" errorTitle="警告" error="人类外貌范围为0~99" sqref="M5:M6">
      <formula1>0</formula1>
      <formula2>99</formula2>
    </dataValidation>
    <dataValidation type="whole" errorStyle="warning" allowBlank="1" showInputMessage="1" showErrorMessage="1" errorTitle="警告" error="人类智力范围为0~99" sqref="M7:M8">
      <formula1>0</formula1>
      <formula2>99</formula2>
    </dataValidation>
    <dataValidation type="whole" operator="greaterThanOrEqual" allowBlank="1" showInputMessage="1" showErrorMessage="1" promptTitle="提示" prompt="人类意志可以超越100，但这是特例" sqref="P3:P4">
      <formula1>0</formula1>
    </dataValidation>
    <dataValidation type="whole" errorStyle="warning" allowBlank="1" showInputMessage="1" showErrorMessage="1" errorTitle="警告" error="人类教育范围为0~99" sqref="P5:P6">
      <formula1>0</formula1>
      <formula2>99</formula2>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dataValidation errorStyle="information" operator="greaterTha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Q72"/>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B68"/>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formula1>"神志清醒,临时性疯狂,不定性疯狂"</formula1>
    </dataValidation>
    <dataValidation type="whole" errorStyle="warning" operator="greaterThanOrEqual" allowBlank="1" showErrorMessage="1" errorTitle="警告" error="3D6警告！！！" sqref="M10:M11">
      <formula1>15</formula1>
    </dataValidation>
    <dataValidation type="whole" errorStyle="warning" allowBlank="1" showErrorMessage="1" errorTitle="警告" error="理智超出上限！！" sqref="H10:H11">
      <formula1>0</formula1>
      <formula2>I10</formula2>
    </dataValidation>
    <dataValidation type="whole" operator="lessThan" allowBlank="1" showInputMessage="1" showErrorMessage="1" sqref="F15:F48">
      <formula1>0</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type="list" allowBlank="1" showInputMessage="1" showErrorMessage="1" sqref="P26">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qref="H25:I25"/>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dataValidation allowBlank="1" showErrorMessage="1" promptTitle="自设技能" prompt="添加自设技能时，单元格函数会被清空。" sqref="P44"/>
    <dataValidation type="list" allowBlank="1" showInputMessage="1" showErrorMessage="1" promptTitle="关键连接标记" prompt="请选择任意一个进行打勾，作为关键连接。" sqref="G61:G66">
      <formula1>"√, "</formula1>
    </dataValidation>
    <dataValidation type="list" allowBlank="1" showInputMessage="1" showErrorMessage="1" sqref="AB8">
      <formula1>"是,否"</formula1>
    </dataValidation>
    <dataValidation allowBlank="1" showInputMessage="1" showErrorMessage="1" promptTitle="习惯恐惧" prompt="遭遇特定神话存在(比如深潜者)时，玩家应记录其引发的理智损失累计值；累计损失不应超过单次遭遇该神话存在而损失的最大理智值。每个幕间成长阶段，将理智累计损失减少1 点。" sqref="AB54:AD54"/>
    <dataValidation allowBlank="1" showInputMessage="1" showErrorMessage="1" promptTitle="损失次数" prompt="每个调查员幕间成长时，玩家都应该将以下所有的次数都减1——时间就是最好的医生" sqref="AF54"/>
    <dataValidation allowBlank="1" showInputMessage="1" showErrorMessage="1" promptTitle="关键背景连接" prompt="纵观一下你调查员的背景，选出你认为最重要的一个描述。这就是关键连接：给予调查员所有描述以意义的事物。在角色卡上标记好它。纵观关键连接可以帮助调查员恢复SAN值（具体见第八章）。" sqref="B59:W59"/>
  </dataValidations>
  <hyperlinks>
    <hyperlink ref="AC81:AF81" r:id="rId2" display="快速车卡教程（误）"/>
  </hyperlinks>
  <pageMargins left="0.7" right="0.7" top="0.75" bottom="0.75" header="0.3" footer="0.3"/>
  <pageSetup paperSize="9" scale="62" fitToWidth="0" orientation="portrait" r:id="rId3"/>
  <ignoredErrors>
    <ignoredError sqref="N4 K3 K6:L6 K4:L4 O4 Q3 K8:L8 K7 N7 K5 N5 N3 Q5 Q7 N6:O6 N8:O8 Q6 Q4 N29 N25 C22 C36 C41" formula="1"/>
    <ignoredError sqref="O46:P48 Q10 Y2 B54:C54 AN2:AO2 C53 C55 Y10:AF10 H10 D10 Z20:AF20 Y21:AF22 Z17:AF17 Y18:AF19 Z15:AF15 Z14:AD14 Z12:AF12 AF13 Z13:AC13 Y16:AF16 Y17 Y15 Y13 AD13:AE13 Y12 Y14 AE14:AF14 Y20 AN3:AN6 Y26:AF26" unlockedFormula="1"/>
    <ignoredError sqref="AH2:AJ2 AI10:AJ10 AH8:AJ9 AI3 AJ3 AI4:AJ7" evalError="1"/>
  </ignoredErrors>
  <drawing r:id="rId4"/>
  <legacyDrawing r:id="rId5"/>
  <extLst>
    <ext xmlns:x14="http://schemas.microsoft.com/office/spreadsheetml/2009/9/main" uri="{CCE6A557-97BC-4b89-ADB6-D9C93CAAB3DF}">
      <x14:dataValidations xmlns:xm="http://schemas.microsoft.com/office/excel/2006/main" xWindow="192" yWindow="391" count="8">
        <x14:dataValidation type="list" allowBlank="1" showInputMessage="1" showErrorMessage="1">
          <x14:formula1>
            <xm:f>分支技能!$E$4:$E$16</xm:f>
          </x14:formula1>
          <xm:sqref>P30:P32</xm:sqref>
        </x14:dataValidation>
        <x14:dataValidation type="list" allowBlank="1" showInputMessage="1" showErrorMessage="1">
          <x14:formula1>
            <xm:f>职业及经历包!$A$2:$A$117</xm:f>
          </x14:formula1>
          <xm:sqref>F5:G5</xm:sqref>
        </x14:dataValidation>
        <x14:dataValidation type="list" allowBlank="1" showInputMessage="1" showErrorMessage="1">
          <x14:formula1>
            <xm:f>武器列表!$B$3:$B$106</xm:f>
          </x14:formula1>
          <xm:sqref>D54:D55</xm:sqref>
        </x14:dataValidation>
        <x14:dataValidation type="list" allowBlank="1" promptTitle="自选类型">
          <x14:formula1>
            <xm:f>武器列表!$B$3:$B$106</xm:f>
          </x14:formula1>
          <xm:sqref>D53</xm:sqref>
        </x14:dataValidation>
        <x14:dataValidation type="list" allowBlank="1" showInputMessage="1" showErrorMessage="1">
          <x14:formula1>
            <xm:f>分支技能!$B$4:$B$28</xm:f>
          </x14:formula1>
          <xm:sqref>E19:E20</xm:sqref>
        </x14:dataValidation>
        <x14:dataValidation type="list" allowBlank="1" showInputMessage="1" showErrorMessage="1">
          <x14:formula1>
            <xm:f>职业及经历包!$A$121:$A$128</xm:f>
          </x14:formula1>
          <xm:sqref>AF11</xm:sqref>
        </x14:dataValidation>
        <x14:dataValidation type="list" allowBlank="1" showInputMessage="1" showErrorMessage="1">
          <x14:formula1>
            <xm:f>职业及经历包!$M$2:$M$66</xm:f>
          </x14:formula1>
          <xm:sqref>AB3:AB7</xm:sqref>
        </x14:dataValidation>
        <x14:dataValidation type="custom" showInputMessage="1" showErrorMessage="1">
          <x14:formula1>
            <xm:f>IF(F5=0," ","["&amp;LOOKUP(F5,职业及经历包!A2:A117,职业及经历包!B2:B117)&amp;"]的本职技能："&amp;LOOKUP(F5,职业及经历包!A2:A117,职业及经历包!G2:G117))</xm:f>
          </x14:formula1>
          <xm:sqref>X12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1"/>
  <sheetViews>
    <sheetView showGridLines="0" workbookViewId="0">
      <selection activeCell="B39" sqref="B39"/>
    </sheetView>
  </sheetViews>
  <sheetFormatPr defaultColWidth="8.25" defaultRowHeight="16.5" x14ac:dyDescent="0.2"/>
  <cols>
    <col min="1" max="1" width="8.25" style="127"/>
    <col min="2" max="2" width="13" style="127" customWidth="1"/>
    <col min="3" max="10" width="8.25" style="127"/>
    <col min="11" max="11" width="11.25" style="127" bestFit="1" customWidth="1"/>
    <col min="12" max="16384" width="8.25" style="127"/>
  </cols>
  <sheetData>
    <row r="1" spans="1:16" ht="17.25" thickBot="1" x14ac:dyDescent="0.25">
      <c r="A1" s="778" t="s">
        <v>1514</v>
      </c>
      <c r="B1" s="778"/>
      <c r="C1" s="778"/>
      <c r="D1" s="778"/>
      <c r="E1" s="778"/>
      <c r="F1" s="778"/>
      <c r="G1" s="778"/>
      <c r="H1" s="778"/>
      <c r="I1" s="778"/>
      <c r="J1" s="778"/>
      <c r="K1" s="778"/>
      <c r="L1" s="778"/>
      <c r="M1" s="778"/>
      <c r="N1" s="778"/>
      <c r="O1" s="778"/>
      <c r="P1" s="778"/>
    </row>
    <row r="2" spans="1:16" s="128" customFormat="1" x14ac:dyDescent="0.2">
      <c r="B2" s="779" t="s">
        <v>1464</v>
      </c>
      <c r="C2" s="780"/>
      <c r="D2" s="129"/>
      <c r="E2" s="779" t="s">
        <v>7</v>
      </c>
      <c r="F2" s="780"/>
      <c r="G2" s="129"/>
      <c r="H2" s="779" t="s">
        <v>10</v>
      </c>
      <c r="I2" s="780"/>
      <c r="J2" s="129"/>
      <c r="K2" s="779" t="s">
        <v>54</v>
      </c>
      <c r="L2" s="780"/>
      <c r="M2" s="127"/>
      <c r="N2" s="128" t="s">
        <v>1275</v>
      </c>
      <c r="P2" s="127"/>
    </row>
    <row r="3" spans="1:16" x14ac:dyDescent="0.2">
      <c r="B3" s="130" t="s">
        <v>19</v>
      </c>
      <c r="C3" s="131" t="s">
        <v>20</v>
      </c>
      <c r="D3" s="5"/>
      <c r="E3" s="130" t="s">
        <v>174</v>
      </c>
      <c r="F3" s="131" t="s">
        <v>175</v>
      </c>
      <c r="G3" s="5"/>
      <c r="H3" s="130" t="s">
        <v>176</v>
      </c>
      <c r="I3" s="131" t="s">
        <v>177</v>
      </c>
      <c r="J3" s="5"/>
      <c r="K3" s="130" t="s">
        <v>174</v>
      </c>
      <c r="L3" s="131" t="s">
        <v>175</v>
      </c>
      <c r="N3" s="128" t="s">
        <v>19</v>
      </c>
      <c r="O3" s="128"/>
    </row>
    <row r="4" spans="1:16" x14ac:dyDescent="0.2">
      <c r="A4" s="775" t="s">
        <v>1413</v>
      </c>
      <c r="B4" s="132" t="s">
        <v>11</v>
      </c>
      <c r="C4" s="133">
        <v>5</v>
      </c>
      <c r="D4" s="134"/>
      <c r="E4" s="132" t="s">
        <v>13</v>
      </c>
      <c r="F4" s="133">
        <v>1</v>
      </c>
      <c r="G4" s="134"/>
      <c r="H4" s="132" t="s">
        <v>63</v>
      </c>
      <c r="I4" s="133">
        <v>5</v>
      </c>
      <c r="J4" s="134"/>
      <c r="K4" s="132" t="s">
        <v>98</v>
      </c>
      <c r="L4" s="133">
        <v>25</v>
      </c>
      <c r="N4" s="128" t="s">
        <v>94</v>
      </c>
      <c r="O4" s="128">
        <f>人物卡!J47</f>
        <v>20</v>
      </c>
    </row>
    <row r="5" spans="1:16" x14ac:dyDescent="0.2">
      <c r="A5" s="776"/>
      <c r="B5" s="135" t="s">
        <v>1403</v>
      </c>
      <c r="C5" s="136">
        <v>5</v>
      </c>
      <c r="D5" s="134"/>
      <c r="E5" s="135" t="s">
        <v>49</v>
      </c>
      <c r="F5" s="136">
        <v>1</v>
      </c>
      <c r="G5" s="134"/>
      <c r="H5" s="135" t="s">
        <v>64</v>
      </c>
      <c r="I5" s="136">
        <v>10</v>
      </c>
      <c r="J5" s="134"/>
      <c r="K5" s="135" t="s">
        <v>45</v>
      </c>
      <c r="L5" s="136">
        <v>15</v>
      </c>
      <c r="N5" s="128" t="s">
        <v>79</v>
      </c>
      <c r="O5" s="129">
        <f>人物卡!J30</f>
        <v>10</v>
      </c>
    </row>
    <row r="6" spans="1:16" x14ac:dyDescent="0.2">
      <c r="A6" s="776"/>
      <c r="B6" s="132" t="s">
        <v>172</v>
      </c>
      <c r="C6" s="133">
        <v>5</v>
      </c>
      <c r="D6" s="134"/>
      <c r="E6" s="132" t="s">
        <v>43</v>
      </c>
      <c r="F6" s="133">
        <v>1</v>
      </c>
      <c r="G6" s="134"/>
      <c r="H6" s="132" t="s">
        <v>1056</v>
      </c>
      <c r="I6" s="133">
        <v>25</v>
      </c>
      <c r="J6" s="134"/>
      <c r="K6" s="132" t="s">
        <v>189</v>
      </c>
      <c r="L6" s="133">
        <v>15</v>
      </c>
      <c r="N6" s="128" t="s">
        <v>884</v>
      </c>
      <c r="O6" s="129">
        <f>人物卡!U43</f>
        <v>1</v>
      </c>
    </row>
    <row r="7" spans="1:16" x14ac:dyDescent="0.2">
      <c r="A7" s="776"/>
      <c r="B7" s="135" t="s">
        <v>1404</v>
      </c>
      <c r="C7" s="136">
        <v>5</v>
      </c>
      <c r="D7" s="134"/>
      <c r="E7" s="135" t="s">
        <v>50</v>
      </c>
      <c r="F7" s="136">
        <v>1</v>
      </c>
      <c r="G7" s="134"/>
      <c r="H7" s="135" t="s">
        <v>66</v>
      </c>
      <c r="I7" s="136">
        <v>15</v>
      </c>
      <c r="J7" s="134"/>
      <c r="K7" s="135" t="s">
        <v>46</v>
      </c>
      <c r="L7" s="136">
        <v>10</v>
      </c>
      <c r="N7" s="128"/>
      <c r="O7" s="128"/>
    </row>
    <row r="8" spans="1:16" x14ac:dyDescent="0.2">
      <c r="A8" s="776"/>
      <c r="B8" s="132" t="s">
        <v>168</v>
      </c>
      <c r="C8" s="133">
        <v>5</v>
      </c>
      <c r="D8" s="134"/>
      <c r="E8" s="132" t="s">
        <v>44</v>
      </c>
      <c r="F8" s="133">
        <v>1</v>
      </c>
      <c r="G8" s="134"/>
      <c r="H8" s="132" t="s">
        <v>22</v>
      </c>
      <c r="I8" s="133">
        <v>20</v>
      </c>
      <c r="J8" s="134"/>
      <c r="K8" s="132" t="s">
        <v>65</v>
      </c>
      <c r="L8" s="133">
        <v>10</v>
      </c>
    </row>
    <row r="9" spans="1:16" x14ac:dyDescent="0.2">
      <c r="A9" s="776"/>
      <c r="B9" s="135" t="s">
        <v>1405</v>
      </c>
      <c r="C9" s="136">
        <v>5</v>
      </c>
      <c r="D9" s="134"/>
      <c r="E9" s="135" t="s">
        <v>51</v>
      </c>
      <c r="F9" s="136">
        <v>1</v>
      </c>
      <c r="G9" s="134"/>
      <c r="H9" s="135" t="s">
        <v>1276</v>
      </c>
      <c r="I9" s="136">
        <v>15</v>
      </c>
      <c r="J9" s="134"/>
      <c r="K9" s="135" t="s">
        <v>47</v>
      </c>
      <c r="L9" s="136">
        <v>20</v>
      </c>
    </row>
    <row r="10" spans="1:16" ht="17.25" thickBot="1" x14ac:dyDescent="0.25">
      <c r="A10" s="776"/>
      <c r="B10" s="132" t="s">
        <v>228</v>
      </c>
      <c r="C10" s="133">
        <v>5</v>
      </c>
      <c r="D10" s="134"/>
      <c r="E10" s="132" t="s">
        <v>171</v>
      </c>
      <c r="F10" s="133">
        <v>1</v>
      </c>
      <c r="G10" s="134"/>
      <c r="H10" s="132" t="s">
        <v>56</v>
      </c>
      <c r="I10" s="133">
        <v>10</v>
      </c>
      <c r="J10" s="134"/>
      <c r="K10" s="137" t="s">
        <v>48</v>
      </c>
      <c r="L10" s="138">
        <v>10</v>
      </c>
    </row>
    <row r="11" spans="1:16" ht="17.25" thickBot="1" x14ac:dyDescent="0.25">
      <c r="A11" s="776"/>
      <c r="B11" s="135" t="s">
        <v>1406</v>
      </c>
      <c r="C11" s="136">
        <v>5</v>
      </c>
      <c r="D11" s="134"/>
      <c r="E11" s="135" t="s">
        <v>52</v>
      </c>
      <c r="F11" s="136">
        <v>1</v>
      </c>
      <c r="G11" s="134"/>
      <c r="H11" s="139" t="s">
        <v>21</v>
      </c>
      <c r="I11" s="140">
        <v>20</v>
      </c>
      <c r="J11" s="134"/>
      <c r="K11" s="134"/>
      <c r="L11" s="134"/>
    </row>
    <row r="12" spans="1:16" x14ac:dyDescent="0.2">
      <c r="A12" s="776"/>
      <c r="B12" s="132" t="s">
        <v>1402</v>
      </c>
      <c r="C12" s="133">
        <v>5</v>
      </c>
      <c r="D12" s="134"/>
      <c r="E12" s="132" t="s">
        <v>14</v>
      </c>
      <c r="F12" s="133">
        <v>1</v>
      </c>
      <c r="G12" s="134"/>
      <c r="H12" s="134"/>
      <c r="I12" s="134"/>
      <c r="J12" s="134"/>
      <c r="K12" s="134"/>
      <c r="L12" s="134"/>
    </row>
    <row r="13" spans="1:16" x14ac:dyDescent="0.2">
      <c r="A13" s="776"/>
      <c r="B13" s="135" t="s">
        <v>1407</v>
      </c>
      <c r="C13" s="136">
        <v>5</v>
      </c>
      <c r="D13" s="134"/>
      <c r="E13" s="135" t="s">
        <v>15</v>
      </c>
      <c r="F13" s="136">
        <v>1</v>
      </c>
      <c r="G13" s="134"/>
      <c r="H13" s="134"/>
      <c r="I13" s="134"/>
      <c r="J13" s="134"/>
      <c r="K13" s="134"/>
      <c r="L13" s="134"/>
    </row>
    <row r="14" spans="1:16" x14ac:dyDescent="0.2">
      <c r="A14" s="776"/>
      <c r="B14" s="132" t="s">
        <v>12</v>
      </c>
      <c r="C14" s="133">
        <v>5</v>
      </c>
      <c r="D14" s="134"/>
      <c r="E14" s="132" t="s">
        <v>16</v>
      </c>
      <c r="F14" s="133">
        <v>1</v>
      </c>
      <c r="G14" s="134"/>
      <c r="H14" s="134"/>
      <c r="I14" s="134"/>
      <c r="J14" s="134"/>
      <c r="K14" s="134"/>
      <c r="L14" s="134"/>
    </row>
    <row r="15" spans="1:16" x14ac:dyDescent="0.2">
      <c r="A15" s="776"/>
      <c r="B15" s="135" t="s">
        <v>1408</v>
      </c>
      <c r="C15" s="136">
        <v>5</v>
      </c>
      <c r="D15" s="134"/>
      <c r="E15" s="135" t="s">
        <v>53</v>
      </c>
      <c r="F15" s="136">
        <v>1</v>
      </c>
      <c r="G15" s="134"/>
      <c r="H15" s="134"/>
      <c r="I15" s="134"/>
      <c r="J15" s="134"/>
      <c r="K15" s="134"/>
      <c r="L15" s="134"/>
    </row>
    <row r="16" spans="1:16" ht="17.25" thickBot="1" x14ac:dyDescent="0.25">
      <c r="A16" s="776"/>
      <c r="B16" s="132" t="s">
        <v>1401</v>
      </c>
      <c r="C16" s="133">
        <v>5</v>
      </c>
      <c r="D16" s="134"/>
      <c r="E16" s="137" t="s">
        <v>178</v>
      </c>
      <c r="F16" s="138">
        <v>1</v>
      </c>
      <c r="G16" s="134"/>
      <c r="H16" s="134"/>
      <c r="I16" s="134"/>
      <c r="J16" s="134"/>
      <c r="K16" s="134"/>
      <c r="L16" s="134"/>
    </row>
    <row r="17" spans="1:12" x14ac:dyDescent="0.2">
      <c r="A17" s="776"/>
      <c r="B17" s="135" t="s">
        <v>1409</v>
      </c>
      <c r="C17" s="136">
        <v>5</v>
      </c>
      <c r="D17" s="134"/>
      <c r="E17" s="134"/>
      <c r="F17" s="134"/>
      <c r="G17" s="134"/>
      <c r="H17" s="134"/>
      <c r="I17" s="134"/>
      <c r="J17" s="134"/>
      <c r="K17" s="134"/>
      <c r="L17" s="134"/>
    </row>
    <row r="18" spans="1:12" x14ac:dyDescent="0.2">
      <c r="A18" s="776"/>
      <c r="B18" s="132" t="s">
        <v>173</v>
      </c>
      <c r="C18" s="133">
        <v>5</v>
      </c>
      <c r="D18" s="134"/>
      <c r="E18" s="134"/>
      <c r="F18" s="134"/>
      <c r="G18" s="134"/>
      <c r="H18" s="134"/>
      <c r="I18" s="134"/>
      <c r="J18" s="134"/>
      <c r="K18" s="134"/>
      <c r="L18" s="134"/>
    </row>
    <row r="19" spans="1:12" x14ac:dyDescent="0.2">
      <c r="A19" s="776"/>
      <c r="B19" s="135" t="s">
        <v>1410</v>
      </c>
      <c r="C19" s="136">
        <v>5</v>
      </c>
      <c r="D19" s="134"/>
      <c r="E19" s="134"/>
      <c r="F19" s="134"/>
      <c r="G19" s="134"/>
      <c r="H19" s="134"/>
      <c r="I19" s="134"/>
      <c r="J19" s="134"/>
      <c r="K19" s="134"/>
      <c r="L19" s="134"/>
    </row>
    <row r="20" spans="1:12" x14ac:dyDescent="0.2">
      <c r="A20" s="776"/>
      <c r="B20" s="132" t="s">
        <v>579</v>
      </c>
      <c r="C20" s="133">
        <v>5</v>
      </c>
      <c r="D20" s="134"/>
      <c r="E20" s="134"/>
      <c r="F20" s="134"/>
      <c r="G20" s="134"/>
      <c r="H20" s="134"/>
      <c r="I20" s="134"/>
      <c r="J20" s="134"/>
      <c r="K20" s="134"/>
      <c r="L20" s="134"/>
    </row>
    <row r="21" spans="1:12" x14ac:dyDescent="0.2">
      <c r="A21" s="776"/>
      <c r="B21" s="135" t="s">
        <v>1411</v>
      </c>
      <c r="C21" s="136">
        <v>5</v>
      </c>
      <c r="D21" s="134"/>
      <c r="E21" s="134"/>
      <c r="F21" s="134"/>
      <c r="G21" s="134"/>
      <c r="J21" s="134"/>
      <c r="K21" s="134"/>
      <c r="L21" s="134"/>
    </row>
    <row r="22" spans="1:12" x14ac:dyDescent="0.2">
      <c r="A22" s="776"/>
      <c r="B22" s="132" t="s">
        <v>1412</v>
      </c>
      <c r="C22" s="133">
        <v>5</v>
      </c>
      <c r="D22" s="134"/>
      <c r="E22" s="134"/>
      <c r="F22" s="134"/>
      <c r="G22" s="134"/>
      <c r="J22" s="134"/>
      <c r="K22" s="134"/>
      <c r="L22" s="134"/>
    </row>
    <row r="23" spans="1:12" ht="17.25" thickBot="1" x14ac:dyDescent="0.25">
      <c r="A23" s="777"/>
      <c r="B23" s="141" t="s">
        <v>1470</v>
      </c>
      <c r="C23" s="142">
        <v>5</v>
      </c>
      <c r="D23" s="134"/>
      <c r="E23" s="134"/>
      <c r="F23" s="134"/>
      <c r="G23" s="134"/>
      <c r="J23" s="134"/>
      <c r="K23" s="134"/>
      <c r="L23" s="134"/>
    </row>
    <row r="24" spans="1:12" ht="17.25" customHeight="1" thickTop="1" x14ac:dyDescent="0.2">
      <c r="A24" s="775" t="s">
        <v>1414</v>
      </c>
      <c r="B24" s="135" t="s">
        <v>1509</v>
      </c>
      <c r="C24" s="136">
        <v>5</v>
      </c>
      <c r="D24" s="134"/>
      <c r="E24" s="134"/>
      <c r="F24" s="134"/>
      <c r="G24" s="134"/>
      <c r="J24" s="134"/>
      <c r="K24" s="134"/>
      <c r="L24" s="134"/>
    </row>
    <row r="25" spans="1:12" x14ac:dyDescent="0.2">
      <c r="A25" s="776"/>
      <c r="B25" s="132" t="s">
        <v>1510</v>
      </c>
      <c r="C25" s="133">
        <v>5</v>
      </c>
      <c r="D25" s="134"/>
      <c r="E25" s="134"/>
      <c r="F25" s="134"/>
      <c r="G25" s="134"/>
      <c r="J25" s="134"/>
      <c r="K25" s="134"/>
      <c r="L25" s="134"/>
    </row>
    <row r="26" spans="1:12" x14ac:dyDescent="0.2">
      <c r="A26" s="776"/>
      <c r="B26" s="135" t="s">
        <v>1511</v>
      </c>
      <c r="C26" s="136">
        <v>5</v>
      </c>
      <c r="D26" s="134"/>
      <c r="E26" s="134"/>
      <c r="F26" s="134"/>
      <c r="G26" s="134"/>
      <c r="J26" s="134"/>
      <c r="K26" s="134"/>
      <c r="L26" s="134"/>
    </row>
    <row r="27" spans="1:12" x14ac:dyDescent="0.2">
      <c r="A27" s="776"/>
      <c r="B27" s="132" t="s">
        <v>1512</v>
      </c>
      <c r="C27" s="133">
        <v>5</v>
      </c>
      <c r="D27" s="134"/>
      <c r="E27" s="134"/>
      <c r="F27" s="134"/>
      <c r="G27" s="134"/>
      <c r="J27" s="134"/>
      <c r="K27" s="134"/>
      <c r="L27" s="134"/>
    </row>
    <row r="28" spans="1:12" ht="17.25" thickBot="1" x14ac:dyDescent="0.25">
      <c r="A28" s="777"/>
      <c r="B28" s="139" t="s">
        <v>1513</v>
      </c>
      <c r="C28" s="140">
        <v>5</v>
      </c>
    </row>
    <row r="29" spans="1:12" x14ac:dyDescent="0.2">
      <c r="A29" s="204"/>
      <c r="B29" s="204"/>
    </row>
    <row r="30" spans="1:12" x14ac:dyDescent="0.2">
      <c r="A30" s="204"/>
      <c r="B30" s="204"/>
    </row>
    <row r="31" spans="1:12" x14ac:dyDescent="0.2">
      <c r="A31" s="204"/>
      <c r="B31" s="204"/>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ref="K5:L10">
    <sortCondition ref="K4"/>
  </sortState>
  <customSheetViews>
    <customSheetView guid="{111A6EAC-FF6E-44AB-B5F5-6EDFAC2B64B3}" showGridLines="0">
      <selection activeCell="J16" sqref="J16"/>
      <pageMargins left="0.7" right="0.7" top="0.75" bottom="0.75" header="0.3" footer="0.3"/>
      <pageSetup paperSize="9" orientation="portrait" r:id="rId1"/>
    </customSheetView>
  </customSheetViews>
  <mergeCells count="7">
    <mergeCell ref="A24:A28"/>
    <mergeCell ref="A4:A23"/>
    <mergeCell ref="A1:P1"/>
    <mergeCell ref="B2:C2"/>
    <mergeCell ref="E2:F2"/>
    <mergeCell ref="H2:I2"/>
    <mergeCell ref="K2:L2"/>
  </mergeCells>
  <phoneticPr fontId="2" type="noConversion"/>
  <dataValidations xWindow="408" yWindow="547"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Axe (15%)" prompt="使用长柄斧的技能。如果是短柄小斧则使用打架。如果拿来投掷，使用投掷技能。" sqref="H7"/>
    <dataValidation allowBlank="1" showInputMessage="1" showErrorMessage="1" promptTitle="Chainsaw (10%)" prompt="即电锯_x000a_第一个量产的瓦斯动力的链锯于1927 年面世；早期也有各种版本存在。" sqref="H5"/>
    <dataValidation allowBlank="1" showInputMessage="1" showErrorMessage="1" promptTitle="Flail (10%)" prompt="双节棍、流星锤和其他中世纪武器。" sqref="H10"/>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Spear (20%)" prompt="长矛和鱼叉。如果拿来投掷，使用投掷技能。" sqref="H11"/>
    <dataValidation allowBlank="1" showInputMessage="1" showErrorMessage="1" promptTitle="Sword (20%)" prompt="所有半米长以上的刃器。" sqref="H8"/>
    <dataValidation allowBlank="1" showInputMessage="1" showErrorMessage="1" promptTitle="Whip (05%)" prompt="套牛绳和鞭子。" sqref="H4"/>
    <dataValidation allowBlank="1" showInputMessage="1" showErrorMessage="1" promptTitle="Bow (15%)" prompt="用于弓、十字弓、中世纪长弓、强力合成弓。" sqref="K6"/>
    <dataValidation allowBlank="1" showInputMessage="1" showErrorMessage="1" promptTitle="Flamethrower (10%)" prompt="喷射可燃性液体或瓦斯的武器。可以由使用者带着或是安装在交通工具上。" sqref="K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Heavy Weapons (10%)" prompt="用于榴弹发射器、反坦克火箭等。" sqref="K10"/>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Submachine Gun (15%)" prompt="用于发射任何一把机械手枪或是半机枪；也包括使用连发的突击步枪。" sqref="K5"/>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Technical Drawing (05%)" prompt="技术制图，主要是建筑师凭此设计建筑的说法（自行脑补，以下省略XX字）" sqref="B19"/>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P130"/>
  <sheetViews>
    <sheetView showGridLines="0" zoomScaleNormal="100" workbookViewId="0">
      <pane ySplit="1" topLeftCell="A2" activePane="bottomLeft" state="frozen"/>
      <selection pane="bottomLeft" activeCell="C127" sqref="C127"/>
    </sheetView>
  </sheetViews>
  <sheetFormatPr defaultColWidth="9" defaultRowHeight="16.5" x14ac:dyDescent="0.2"/>
  <cols>
    <col min="1" max="1" width="4.625" style="231" customWidth="1"/>
    <col min="2" max="2" width="10.5" style="224" customWidth="1"/>
    <col min="3" max="3" width="11.375" style="224" customWidth="1"/>
    <col min="4" max="4" width="8.875" style="232" customWidth="1"/>
    <col min="5" max="5" width="23.875" style="231" customWidth="1"/>
    <col min="6" max="6" width="7.375" style="231" customWidth="1"/>
    <col min="7" max="7" width="120" style="231" customWidth="1"/>
    <col min="8" max="8" width="23.875" style="224" customWidth="1"/>
    <col min="9" max="10" width="9.875" style="225" customWidth="1"/>
    <col min="11" max="11" width="13.125" style="124" customWidth="1"/>
    <col min="12" max="12" width="13.75" style="6" customWidth="1"/>
    <col min="13" max="13" width="17.625" style="6" customWidth="1"/>
    <col min="14" max="14" width="17.125" style="6" customWidth="1"/>
    <col min="15" max="15" width="10.625" style="6" customWidth="1"/>
    <col min="16" max="16" width="8.5" style="6" customWidth="1"/>
    <col min="17" max="17" width="14.375" style="6" customWidth="1"/>
    <col min="18" max="18" width="18.75" style="6" customWidth="1"/>
    <col min="19" max="20" width="9" style="6"/>
    <col min="21" max="21" width="11.375" style="6" customWidth="1"/>
    <col min="22" max="16384" width="9" style="6"/>
  </cols>
  <sheetData>
    <row r="1" spans="1:172" ht="17.25" thickBot="1" x14ac:dyDescent="0.25">
      <c r="A1" s="207" t="s">
        <v>18</v>
      </c>
      <c r="B1" s="782" t="s">
        <v>1</v>
      </c>
      <c r="C1" s="782"/>
      <c r="D1" s="208" t="s">
        <v>1545</v>
      </c>
      <c r="E1" s="209" t="s">
        <v>61</v>
      </c>
      <c r="F1" s="209" t="s">
        <v>23</v>
      </c>
      <c r="G1" s="210" t="s">
        <v>17</v>
      </c>
      <c r="H1" s="211"/>
      <c r="I1" s="211"/>
      <c r="J1" s="211"/>
      <c r="K1" s="123"/>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row>
    <row r="2" spans="1:172" x14ac:dyDescent="0.2">
      <c r="A2" s="212">
        <v>0</v>
      </c>
      <c r="B2" s="794" t="s">
        <v>100</v>
      </c>
      <c r="C2" s="794"/>
      <c r="D2" s="794"/>
      <c r="E2" s="794"/>
      <c r="F2" s="794"/>
      <c r="G2" s="795"/>
      <c r="H2" s="786" t="s">
        <v>1422</v>
      </c>
      <c r="I2" s="796" t="s">
        <v>1272</v>
      </c>
      <c r="J2" s="797"/>
      <c r="K2" s="123"/>
      <c r="L2" s="42"/>
      <c r="M2" s="78" t="s">
        <v>245</v>
      </c>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row>
    <row r="3" spans="1:172" ht="17.25" customHeight="1" x14ac:dyDescent="0.2">
      <c r="A3" s="213">
        <v>1</v>
      </c>
      <c r="B3" s="214" t="str">
        <f>IF(C3="","自定义职业",C3)</f>
        <v>自定义职业</v>
      </c>
      <c r="C3" s="144"/>
      <c r="D3" s="215" t="s">
        <v>1543</v>
      </c>
      <c r="E3" s="216"/>
      <c r="F3" s="217">
        <f>IF(E3=0,EDU*4,EDU*2+职业及经历包!E3*2)</f>
        <v>0</v>
      </c>
      <c r="G3" s="218"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86"/>
      <c r="I3" s="798" t="s">
        <v>1540</v>
      </c>
      <c r="J3" s="799"/>
      <c r="K3" s="123"/>
      <c r="L3" s="42"/>
      <c r="M3" s="78" t="s">
        <v>72</v>
      </c>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row>
    <row r="4" spans="1:172" x14ac:dyDescent="0.2">
      <c r="A4" s="212">
        <v>2</v>
      </c>
      <c r="B4" s="787" t="s">
        <v>58</v>
      </c>
      <c r="C4" s="787"/>
      <c r="D4" s="219" t="s">
        <v>59</v>
      </c>
      <c r="E4" s="219" t="s">
        <v>1500</v>
      </c>
      <c r="F4" s="220">
        <f>EDU*4</f>
        <v>0</v>
      </c>
      <c r="G4" s="221" t="s">
        <v>597</v>
      </c>
      <c r="H4" s="786"/>
      <c r="I4" s="790" t="s">
        <v>1540</v>
      </c>
      <c r="J4" s="791"/>
      <c r="K4" s="123"/>
      <c r="L4" s="42"/>
      <c r="M4" s="78" t="s">
        <v>192</v>
      </c>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row>
    <row r="5" spans="1:172" x14ac:dyDescent="0.2">
      <c r="A5" s="213">
        <v>3</v>
      </c>
      <c r="B5" s="788" t="s">
        <v>62</v>
      </c>
      <c r="C5" s="788"/>
      <c r="D5" s="222" t="s">
        <v>60</v>
      </c>
      <c r="E5" s="223" t="s">
        <v>1501</v>
      </c>
      <c r="F5" s="217">
        <f>EDU*2+DEX*2</f>
        <v>0</v>
      </c>
      <c r="G5" s="218" t="s">
        <v>598</v>
      </c>
      <c r="H5" s="786"/>
      <c r="I5" s="790" t="s">
        <v>1540</v>
      </c>
      <c r="J5" s="791"/>
      <c r="K5" s="123"/>
      <c r="L5" s="42"/>
      <c r="M5" s="78" t="s">
        <v>73</v>
      </c>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row>
    <row r="6" spans="1:172" x14ac:dyDescent="0.2">
      <c r="A6" s="212">
        <v>4</v>
      </c>
      <c r="B6" s="787" t="s">
        <v>1278</v>
      </c>
      <c r="C6" s="787"/>
      <c r="D6" s="219" t="s">
        <v>1124</v>
      </c>
      <c r="E6" s="219" t="s">
        <v>1125</v>
      </c>
      <c r="F6" s="220">
        <f>APP*2+EDU*2</f>
        <v>0</v>
      </c>
      <c r="G6" s="221" t="s">
        <v>1126</v>
      </c>
      <c r="H6" s="786"/>
      <c r="I6" s="790" t="s">
        <v>1542</v>
      </c>
      <c r="J6" s="791"/>
      <c r="K6" s="123"/>
      <c r="L6" s="42"/>
      <c r="M6" s="78" t="s">
        <v>921</v>
      </c>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row>
    <row r="7" spans="1:172" ht="16.5" customHeight="1" x14ac:dyDescent="0.2">
      <c r="A7" s="213">
        <v>5</v>
      </c>
      <c r="B7" s="788" t="s">
        <v>1279</v>
      </c>
      <c r="C7" s="788"/>
      <c r="D7" s="222" t="s">
        <v>1127</v>
      </c>
      <c r="E7" s="223" t="s">
        <v>1128</v>
      </c>
      <c r="F7" s="217">
        <f>APP*2+EDU*2</f>
        <v>0</v>
      </c>
      <c r="G7" s="218" t="s">
        <v>1129</v>
      </c>
      <c r="H7" s="786"/>
      <c r="I7" s="790" t="s">
        <v>1542</v>
      </c>
      <c r="J7" s="791"/>
      <c r="K7" s="123"/>
      <c r="L7" s="42"/>
      <c r="M7" s="78" t="s">
        <v>922</v>
      </c>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42"/>
    </row>
    <row r="8" spans="1:172" x14ac:dyDescent="0.2">
      <c r="A8" s="212">
        <v>6</v>
      </c>
      <c r="B8" s="787" t="s">
        <v>1280</v>
      </c>
      <c r="C8" s="787"/>
      <c r="D8" s="219" t="s">
        <v>1130</v>
      </c>
      <c r="E8" s="219" t="s">
        <v>1131</v>
      </c>
      <c r="F8" s="220">
        <f>EDU*2+MAX(STR,DEX)*2</f>
        <v>0</v>
      </c>
      <c r="G8" s="221" t="s">
        <v>1132</v>
      </c>
      <c r="H8" s="786"/>
      <c r="I8" s="790" t="s">
        <v>1542</v>
      </c>
      <c r="J8" s="791"/>
      <c r="M8" s="78" t="s">
        <v>923</v>
      </c>
      <c r="N8" s="42"/>
    </row>
    <row r="9" spans="1:172" x14ac:dyDescent="0.2">
      <c r="A9" s="213">
        <v>7</v>
      </c>
      <c r="B9" s="788" t="s">
        <v>1281</v>
      </c>
      <c r="C9" s="788"/>
      <c r="D9" s="222" t="s">
        <v>1133</v>
      </c>
      <c r="E9" s="223" t="s">
        <v>1077</v>
      </c>
      <c r="F9" s="217">
        <f>EDU*4</f>
        <v>0</v>
      </c>
      <c r="G9" s="218" t="s">
        <v>1134</v>
      </c>
      <c r="H9" s="786"/>
      <c r="I9" s="790" t="s">
        <v>1542</v>
      </c>
      <c r="J9" s="791"/>
      <c r="M9" s="78" t="s">
        <v>190</v>
      </c>
      <c r="N9" s="42"/>
    </row>
    <row r="10" spans="1:172" ht="17.25" thickBot="1" x14ac:dyDescent="0.25">
      <c r="A10" s="212">
        <v>8</v>
      </c>
      <c r="B10" s="787" t="s">
        <v>1282</v>
      </c>
      <c r="C10" s="787"/>
      <c r="D10" s="219" t="s">
        <v>1135</v>
      </c>
      <c r="E10" s="219" t="s">
        <v>1136</v>
      </c>
      <c r="F10" s="220">
        <f>EDU*2+MAX(APP,POW)*2</f>
        <v>0</v>
      </c>
      <c r="G10" s="221" t="s">
        <v>1137</v>
      </c>
      <c r="H10" s="786"/>
      <c r="I10" s="792" t="s">
        <v>1542</v>
      </c>
      <c r="J10" s="793"/>
      <c r="M10" s="78" t="s">
        <v>74</v>
      </c>
      <c r="N10" s="42"/>
    </row>
    <row r="11" spans="1:172" ht="17.25" customHeight="1" x14ac:dyDescent="0.2">
      <c r="A11" s="213">
        <v>9</v>
      </c>
      <c r="B11" s="788" t="s">
        <v>1283</v>
      </c>
      <c r="C11" s="788"/>
      <c r="D11" s="222" t="s">
        <v>1138</v>
      </c>
      <c r="E11" s="223" t="s">
        <v>1077</v>
      </c>
      <c r="F11" s="217">
        <f>EDU*4</f>
        <v>0</v>
      </c>
      <c r="G11" s="218" t="s">
        <v>1139</v>
      </c>
      <c r="I11" s="789"/>
      <c r="J11" s="789"/>
      <c r="M11" s="78" t="s">
        <v>943</v>
      </c>
      <c r="N11" s="42"/>
    </row>
    <row r="12" spans="1:172" x14ac:dyDescent="0.2">
      <c r="A12" s="212">
        <v>10</v>
      </c>
      <c r="B12" s="787" t="s">
        <v>1284</v>
      </c>
      <c r="C12" s="787"/>
      <c r="D12" s="219" t="s">
        <v>1140</v>
      </c>
      <c r="E12" s="219" t="s">
        <v>1141</v>
      </c>
      <c r="F12" s="220">
        <f>EDU*4</f>
        <v>0</v>
      </c>
      <c r="G12" s="221" t="s">
        <v>1142</v>
      </c>
      <c r="M12" s="78" t="s">
        <v>154</v>
      </c>
      <c r="N12" s="42"/>
    </row>
    <row r="13" spans="1:172" x14ac:dyDescent="0.2">
      <c r="A13" s="213">
        <v>11</v>
      </c>
      <c r="B13" s="788" t="s">
        <v>1285</v>
      </c>
      <c r="C13" s="788"/>
      <c r="D13" s="222" t="s">
        <v>1096</v>
      </c>
      <c r="E13" s="223" t="s">
        <v>1141</v>
      </c>
      <c r="F13" s="217">
        <f>EDU*4</f>
        <v>0</v>
      </c>
      <c r="G13" s="218" t="s">
        <v>1143</v>
      </c>
      <c r="M13" s="78" t="s">
        <v>75</v>
      </c>
      <c r="N13" s="42"/>
    </row>
    <row r="14" spans="1:172" x14ac:dyDescent="0.2">
      <c r="A14" s="212">
        <v>12</v>
      </c>
      <c r="B14" s="787" t="s">
        <v>1286</v>
      </c>
      <c r="C14" s="787"/>
      <c r="D14" s="219" t="s">
        <v>1144</v>
      </c>
      <c r="E14" s="219" t="s">
        <v>1141</v>
      </c>
      <c r="F14" s="220">
        <f>EDU*4</f>
        <v>0</v>
      </c>
      <c r="G14" s="221" t="s">
        <v>1145</v>
      </c>
      <c r="M14" s="78" t="s">
        <v>76</v>
      </c>
      <c r="N14" s="42"/>
    </row>
    <row r="15" spans="1:172" ht="17.25" customHeight="1" x14ac:dyDescent="0.2">
      <c r="A15" s="213">
        <v>13</v>
      </c>
      <c r="B15" s="788" t="s">
        <v>1287</v>
      </c>
      <c r="C15" s="788"/>
      <c r="D15" s="222" t="s">
        <v>1146</v>
      </c>
      <c r="E15" s="223" t="s">
        <v>1147</v>
      </c>
      <c r="F15" s="217">
        <f>EDU*2+MAX(DEX,POW)*2</f>
        <v>0</v>
      </c>
      <c r="G15" s="218" t="s">
        <v>1148</v>
      </c>
      <c r="M15" s="78" t="s">
        <v>77</v>
      </c>
      <c r="N15" s="42"/>
    </row>
    <row r="16" spans="1:172" ht="17.25" customHeight="1" x14ac:dyDescent="0.2">
      <c r="A16" s="212">
        <v>14</v>
      </c>
      <c r="B16" s="787" t="s">
        <v>1288</v>
      </c>
      <c r="C16" s="787"/>
      <c r="D16" s="219" t="s">
        <v>1149</v>
      </c>
      <c r="E16" s="219" t="s">
        <v>1502</v>
      </c>
      <c r="F16" s="220">
        <f>EDU*2+MAX(STR,DEX)*2</f>
        <v>0</v>
      </c>
      <c r="G16" s="221" t="s">
        <v>1150</v>
      </c>
      <c r="M16" s="78" t="s">
        <v>78</v>
      </c>
      <c r="N16" s="42"/>
    </row>
    <row r="17" spans="1:14" ht="16.5" customHeight="1" x14ac:dyDescent="0.2">
      <c r="A17" s="213">
        <v>15</v>
      </c>
      <c r="B17" s="788" t="s">
        <v>1289</v>
      </c>
      <c r="C17" s="788"/>
      <c r="D17" s="222" t="s">
        <v>1151</v>
      </c>
      <c r="E17" s="223" t="s">
        <v>1094</v>
      </c>
      <c r="F17" s="217">
        <f>EDU*2+MAX(STR,DEX)*2</f>
        <v>0</v>
      </c>
      <c r="G17" s="218" t="s">
        <v>1152</v>
      </c>
      <c r="M17" s="78" t="s">
        <v>79</v>
      </c>
      <c r="N17" s="42"/>
    </row>
    <row r="18" spans="1:14" x14ac:dyDescent="0.2">
      <c r="A18" s="212">
        <v>16</v>
      </c>
      <c r="B18" s="787" t="s">
        <v>1290</v>
      </c>
      <c r="C18" s="787"/>
      <c r="D18" s="219" t="s">
        <v>1083</v>
      </c>
      <c r="E18" s="219" t="s">
        <v>1077</v>
      </c>
      <c r="F18" s="220">
        <f>EDU*4</f>
        <v>0</v>
      </c>
      <c r="G18" s="221" t="s">
        <v>1153</v>
      </c>
      <c r="M18" s="78" t="s">
        <v>913</v>
      </c>
      <c r="N18" s="42"/>
    </row>
    <row r="19" spans="1:14" ht="16.5" customHeight="1" x14ac:dyDescent="0.2">
      <c r="A19" s="213">
        <v>17</v>
      </c>
      <c r="B19" s="788" t="s">
        <v>1291</v>
      </c>
      <c r="C19" s="788"/>
      <c r="D19" s="222" t="s">
        <v>1154</v>
      </c>
      <c r="E19" s="223" t="s">
        <v>1128</v>
      </c>
      <c r="F19" s="217">
        <f>EDU*2+APP*2</f>
        <v>0</v>
      </c>
      <c r="G19" s="218" t="s">
        <v>1155</v>
      </c>
      <c r="M19" s="78" t="s">
        <v>80</v>
      </c>
      <c r="N19" s="42"/>
    </row>
    <row r="20" spans="1:14" ht="16.5" customHeight="1" x14ac:dyDescent="0.2">
      <c r="A20" s="212">
        <v>18</v>
      </c>
      <c r="B20" s="787" t="s">
        <v>1292</v>
      </c>
      <c r="C20" s="787"/>
      <c r="D20" s="219" t="s">
        <v>1093</v>
      </c>
      <c r="E20" s="219" t="s">
        <v>1094</v>
      </c>
      <c r="F20" s="220">
        <f>EDU*2+MAX(STR,DEX)*2</f>
        <v>0</v>
      </c>
      <c r="G20" s="221" t="s">
        <v>1156</v>
      </c>
      <c r="M20" s="78" t="s">
        <v>1030</v>
      </c>
      <c r="N20" s="42"/>
    </row>
    <row r="21" spans="1:14" x14ac:dyDescent="0.2">
      <c r="A21" s="213">
        <v>19</v>
      </c>
      <c r="B21" s="788" t="s">
        <v>1293</v>
      </c>
      <c r="C21" s="788"/>
      <c r="D21" s="222" t="s">
        <v>1102</v>
      </c>
      <c r="E21" s="223" t="s">
        <v>1077</v>
      </c>
      <c r="F21" s="217">
        <f>EDU*4</f>
        <v>0</v>
      </c>
      <c r="G21" s="218" t="s">
        <v>1157</v>
      </c>
      <c r="M21" s="78" t="s">
        <v>927</v>
      </c>
      <c r="N21" s="42"/>
    </row>
    <row r="22" spans="1:14" ht="16.5" customHeight="1" x14ac:dyDescent="0.2">
      <c r="A22" s="212">
        <v>20</v>
      </c>
      <c r="B22" s="787" t="s">
        <v>1294</v>
      </c>
      <c r="C22" s="787"/>
      <c r="D22" s="219" t="s">
        <v>1083</v>
      </c>
      <c r="E22" s="219" t="s">
        <v>1094</v>
      </c>
      <c r="F22" s="220">
        <f>EDU*2+MAX(STR,DEX)*2</f>
        <v>0</v>
      </c>
      <c r="G22" s="221" t="s">
        <v>1158</v>
      </c>
      <c r="M22" s="78" t="s">
        <v>928</v>
      </c>
      <c r="N22" s="42"/>
    </row>
    <row r="23" spans="1:14" ht="16.5" customHeight="1" x14ac:dyDescent="0.2">
      <c r="A23" s="213">
        <v>21</v>
      </c>
      <c r="B23" s="788" t="s">
        <v>1295</v>
      </c>
      <c r="C23" s="788"/>
      <c r="D23" s="222" t="s">
        <v>1159</v>
      </c>
      <c r="E23" s="223" t="s">
        <v>1160</v>
      </c>
      <c r="F23" s="217">
        <f>EDU*2+STR*2</f>
        <v>0</v>
      </c>
      <c r="G23" s="218" t="s">
        <v>1161</v>
      </c>
      <c r="M23" s="78" t="s">
        <v>1044</v>
      </c>
      <c r="N23" s="42"/>
    </row>
    <row r="24" spans="1:14" x14ac:dyDescent="0.2">
      <c r="A24" s="212">
        <v>22</v>
      </c>
      <c r="B24" s="787" t="s">
        <v>1296</v>
      </c>
      <c r="C24" s="787"/>
      <c r="D24" s="219" t="s">
        <v>1099</v>
      </c>
      <c r="E24" s="219" t="s">
        <v>1077</v>
      </c>
      <c r="F24" s="220">
        <f>EDU*4</f>
        <v>0</v>
      </c>
      <c r="G24" s="221" t="s">
        <v>1162</v>
      </c>
      <c r="M24" s="78" t="s">
        <v>929</v>
      </c>
      <c r="N24" s="42"/>
    </row>
    <row r="25" spans="1:14" x14ac:dyDescent="0.2">
      <c r="A25" s="213">
        <v>23</v>
      </c>
      <c r="B25" s="788" t="s">
        <v>1297</v>
      </c>
      <c r="C25" s="788"/>
      <c r="D25" s="222" t="s">
        <v>1159</v>
      </c>
      <c r="E25" s="223" t="s">
        <v>1077</v>
      </c>
      <c r="F25" s="217">
        <f>EDU*4</f>
        <v>0</v>
      </c>
      <c r="G25" s="218" t="s">
        <v>1163</v>
      </c>
      <c r="M25" s="78" t="s">
        <v>930</v>
      </c>
      <c r="N25" s="42"/>
    </row>
    <row r="26" spans="1:14" x14ac:dyDescent="0.2">
      <c r="A26" s="212">
        <v>24</v>
      </c>
      <c r="B26" s="787" t="s">
        <v>1298</v>
      </c>
      <c r="C26" s="787"/>
      <c r="D26" s="219" t="s">
        <v>1164</v>
      </c>
      <c r="E26" s="219" t="s">
        <v>1077</v>
      </c>
      <c r="F26" s="220">
        <f>EDU*4</f>
        <v>0</v>
      </c>
      <c r="G26" s="221" t="s">
        <v>1165</v>
      </c>
      <c r="M26" s="78" t="s">
        <v>234</v>
      </c>
      <c r="N26" s="42"/>
    </row>
    <row r="27" spans="1:14" x14ac:dyDescent="0.2">
      <c r="A27" s="213">
        <v>25</v>
      </c>
      <c r="B27" s="788" t="s">
        <v>1299</v>
      </c>
      <c r="C27" s="788"/>
      <c r="D27" s="222" t="s">
        <v>1164</v>
      </c>
      <c r="E27" s="223" t="s">
        <v>1077</v>
      </c>
      <c r="F27" s="217">
        <f>EDU*4</f>
        <v>0</v>
      </c>
      <c r="G27" s="218" t="s">
        <v>1166</v>
      </c>
      <c r="M27" s="78" t="s">
        <v>191</v>
      </c>
      <c r="N27" s="42"/>
    </row>
    <row r="28" spans="1:14" ht="17.25" customHeight="1" x14ac:dyDescent="0.2">
      <c r="A28" s="212">
        <v>26</v>
      </c>
      <c r="B28" s="787" t="s">
        <v>1300</v>
      </c>
      <c r="C28" s="787"/>
      <c r="D28" s="219" t="s">
        <v>1111</v>
      </c>
      <c r="E28" s="219" t="s">
        <v>1503</v>
      </c>
      <c r="F28" s="220">
        <f>EDU*2+MAX(STR,DEX)*2</f>
        <v>0</v>
      </c>
      <c r="G28" s="221" t="s">
        <v>1167</v>
      </c>
      <c r="M28" s="78" t="s">
        <v>81</v>
      </c>
      <c r="N28" s="42"/>
    </row>
    <row r="29" spans="1:14" ht="16.5" customHeight="1" x14ac:dyDescent="0.2">
      <c r="A29" s="213">
        <v>27</v>
      </c>
      <c r="B29" s="788" t="s">
        <v>1301</v>
      </c>
      <c r="C29" s="788"/>
      <c r="D29" s="222" t="s">
        <v>1135</v>
      </c>
      <c r="E29" s="223" t="s">
        <v>1092</v>
      </c>
      <c r="F29" s="217">
        <f>EDU*2+DEX*2</f>
        <v>0</v>
      </c>
      <c r="G29" s="218" t="s">
        <v>1168</v>
      </c>
      <c r="M29" s="78" t="s">
        <v>82</v>
      </c>
      <c r="N29" s="42"/>
    </row>
    <row r="30" spans="1:14" ht="17.25" customHeight="1" x14ac:dyDescent="0.2">
      <c r="A30" s="212">
        <v>28</v>
      </c>
      <c r="B30" s="787" t="s">
        <v>1302</v>
      </c>
      <c r="C30" s="787"/>
      <c r="D30" s="219" t="s">
        <v>1080</v>
      </c>
      <c r="E30" s="219" t="s">
        <v>1504</v>
      </c>
      <c r="F30" s="220">
        <f>EDU*2+MAX(STR,DEX)*2</f>
        <v>0</v>
      </c>
      <c r="G30" s="221" t="s">
        <v>1169</v>
      </c>
      <c r="M30" s="78" t="s">
        <v>932</v>
      </c>
      <c r="N30" s="42"/>
    </row>
    <row r="31" spans="1:14" ht="17.25" customHeight="1" x14ac:dyDescent="0.2">
      <c r="A31" s="213">
        <v>29</v>
      </c>
      <c r="B31" s="788" t="s">
        <v>1303</v>
      </c>
      <c r="C31" s="788"/>
      <c r="D31" s="222" t="s">
        <v>1170</v>
      </c>
      <c r="E31" s="223" t="s">
        <v>1502</v>
      </c>
      <c r="F31" s="217">
        <f>EDU*2+MAX(STR,DEX)*2</f>
        <v>0</v>
      </c>
      <c r="G31" s="218" t="s">
        <v>1171</v>
      </c>
      <c r="M31" s="78" t="s">
        <v>933</v>
      </c>
      <c r="N31" s="42"/>
    </row>
    <row r="32" spans="1:14" ht="17.25" customHeight="1" x14ac:dyDescent="0.2">
      <c r="A32" s="212">
        <v>30</v>
      </c>
      <c r="B32" s="787" t="s">
        <v>1304</v>
      </c>
      <c r="C32" s="787"/>
      <c r="D32" s="219" t="s">
        <v>1172</v>
      </c>
      <c r="E32" s="219" t="s">
        <v>1505</v>
      </c>
      <c r="F32" s="220">
        <f>EDU*2+STR*2</f>
        <v>0</v>
      </c>
      <c r="G32" s="221" t="s">
        <v>1173</v>
      </c>
      <c r="M32" s="78" t="s">
        <v>934</v>
      </c>
      <c r="N32" s="42"/>
    </row>
    <row r="33" spans="1:14" ht="17.25" customHeight="1" x14ac:dyDescent="0.2">
      <c r="A33" s="213">
        <v>31</v>
      </c>
      <c r="B33" s="788" t="s">
        <v>1305</v>
      </c>
      <c r="C33" s="788"/>
      <c r="D33" s="222" t="s">
        <v>1174</v>
      </c>
      <c r="E33" s="223" t="s">
        <v>1501</v>
      </c>
      <c r="F33" s="217">
        <f>EDU*2+DEX*2</f>
        <v>0</v>
      </c>
      <c r="G33" s="218" t="s">
        <v>1175</v>
      </c>
      <c r="M33" s="78" t="s">
        <v>519</v>
      </c>
      <c r="N33" s="42"/>
    </row>
    <row r="34" spans="1:14" ht="17.25" customHeight="1" x14ac:dyDescent="0.2">
      <c r="A34" s="212">
        <v>32</v>
      </c>
      <c r="B34" s="787" t="s">
        <v>1306</v>
      </c>
      <c r="C34" s="787"/>
      <c r="D34" s="219" t="s">
        <v>1176</v>
      </c>
      <c r="E34" s="219" t="s">
        <v>1506</v>
      </c>
      <c r="F34" s="220">
        <f>APP*2+EDU*2</f>
        <v>0</v>
      </c>
      <c r="G34" s="221" t="s">
        <v>1177</v>
      </c>
      <c r="M34" s="78" t="s">
        <v>6</v>
      </c>
      <c r="N34" s="42"/>
    </row>
    <row r="35" spans="1:14" ht="17.25" customHeight="1" x14ac:dyDescent="0.2">
      <c r="A35" s="213">
        <v>33</v>
      </c>
      <c r="B35" s="788" t="s">
        <v>1307</v>
      </c>
      <c r="C35" s="788"/>
      <c r="D35" s="222" t="s">
        <v>1178</v>
      </c>
      <c r="E35" s="223" t="s">
        <v>1507</v>
      </c>
      <c r="F35" s="217">
        <f>EDU*2+MAX(APP,DEX)*2</f>
        <v>0</v>
      </c>
      <c r="G35" s="218" t="s">
        <v>1179</v>
      </c>
      <c r="M35" s="78" t="s">
        <v>155</v>
      </c>
      <c r="N35" s="42"/>
    </row>
    <row r="36" spans="1:14" ht="17.25" customHeight="1" x14ac:dyDescent="0.2">
      <c r="A36" s="212">
        <v>34</v>
      </c>
      <c r="B36" s="787" t="s">
        <v>1308</v>
      </c>
      <c r="C36" s="787"/>
      <c r="D36" s="219" t="s">
        <v>1180</v>
      </c>
      <c r="E36" s="219" t="s">
        <v>1506</v>
      </c>
      <c r="F36" s="220">
        <f>APP*2+EDU*2</f>
        <v>0</v>
      </c>
      <c r="G36" s="221" t="s">
        <v>1181</v>
      </c>
      <c r="M36" s="78" t="s">
        <v>83</v>
      </c>
      <c r="N36" s="42"/>
    </row>
    <row r="37" spans="1:14" ht="17.25" customHeight="1" x14ac:dyDescent="0.2">
      <c r="A37" s="213">
        <v>35</v>
      </c>
      <c r="B37" s="788" t="s">
        <v>1309</v>
      </c>
      <c r="C37" s="788"/>
      <c r="D37" s="222" t="s">
        <v>1102</v>
      </c>
      <c r="E37" s="223" t="s">
        <v>1506</v>
      </c>
      <c r="F37" s="217">
        <f>APP*2+EDU*2</f>
        <v>0</v>
      </c>
      <c r="G37" s="218" t="s">
        <v>1182</v>
      </c>
      <c r="M37" s="78" t="s">
        <v>84</v>
      </c>
      <c r="N37" s="42"/>
    </row>
    <row r="38" spans="1:14" x14ac:dyDescent="0.2">
      <c r="A38" s="212">
        <v>36</v>
      </c>
      <c r="B38" s="787" t="s">
        <v>1310</v>
      </c>
      <c r="C38" s="787"/>
      <c r="D38" s="219" t="s">
        <v>1104</v>
      </c>
      <c r="E38" s="219" t="s">
        <v>1077</v>
      </c>
      <c r="F38" s="220">
        <f>EDU*4</f>
        <v>0</v>
      </c>
      <c r="G38" s="221" t="s">
        <v>1183</v>
      </c>
      <c r="M38" s="78" t="s">
        <v>85</v>
      </c>
      <c r="N38" s="42"/>
    </row>
    <row r="39" spans="1:14" ht="17.25" customHeight="1" x14ac:dyDescent="0.2">
      <c r="A39" s="213">
        <v>37</v>
      </c>
      <c r="B39" s="788" t="s">
        <v>1311</v>
      </c>
      <c r="C39" s="788"/>
      <c r="D39" s="222" t="s">
        <v>1104</v>
      </c>
      <c r="E39" s="223" t="s">
        <v>1508</v>
      </c>
      <c r="F39" s="217">
        <f>EDU*2+MAX(APP,DEX)*2</f>
        <v>0</v>
      </c>
      <c r="G39" s="218" t="s">
        <v>1184</v>
      </c>
      <c r="M39" s="78" t="s">
        <v>193</v>
      </c>
      <c r="N39" s="42"/>
    </row>
    <row r="40" spans="1:14" ht="17.25" customHeight="1" x14ac:dyDescent="0.2">
      <c r="A40" s="212">
        <v>38</v>
      </c>
      <c r="B40" s="787" t="s">
        <v>1312</v>
      </c>
      <c r="C40" s="787"/>
      <c r="D40" s="219" t="s">
        <v>1185</v>
      </c>
      <c r="E40" s="219" t="s">
        <v>1504</v>
      </c>
      <c r="F40" s="220">
        <f>EDU*2+MAX(STR,DEX)*2</f>
        <v>0</v>
      </c>
      <c r="G40" s="221" t="s">
        <v>1186</v>
      </c>
      <c r="M40" s="78" t="s">
        <v>229</v>
      </c>
      <c r="N40" s="42"/>
    </row>
    <row r="41" spans="1:14" x14ac:dyDescent="0.2">
      <c r="A41" s="213">
        <v>39</v>
      </c>
      <c r="B41" s="788" t="s">
        <v>1313</v>
      </c>
      <c r="C41" s="788"/>
      <c r="D41" s="222" t="s">
        <v>1080</v>
      </c>
      <c r="E41" s="223" t="s">
        <v>1077</v>
      </c>
      <c r="F41" s="217">
        <f>EDU*4</f>
        <v>0</v>
      </c>
      <c r="G41" s="218" t="s">
        <v>1187</v>
      </c>
      <c r="M41" s="78" t="s">
        <v>230</v>
      </c>
      <c r="N41" s="42"/>
    </row>
    <row r="42" spans="1:14" x14ac:dyDescent="0.2">
      <c r="A42" s="212">
        <v>40</v>
      </c>
      <c r="B42" s="787" t="s">
        <v>1314</v>
      </c>
      <c r="C42" s="787"/>
      <c r="D42" s="219" t="s">
        <v>1093</v>
      </c>
      <c r="E42" s="219" t="s">
        <v>1077</v>
      </c>
      <c r="F42" s="220">
        <f>EDU*4</f>
        <v>0</v>
      </c>
      <c r="G42" s="221" t="s">
        <v>1188</v>
      </c>
      <c r="M42" s="78" t="s">
        <v>86</v>
      </c>
      <c r="N42" s="42"/>
    </row>
    <row r="43" spans="1:14" x14ac:dyDescent="0.2">
      <c r="A43" s="213">
        <v>41</v>
      </c>
      <c r="B43" s="788" t="s">
        <v>1315</v>
      </c>
      <c r="C43" s="788"/>
      <c r="D43" s="222" t="s">
        <v>1104</v>
      </c>
      <c r="E43" s="223" t="s">
        <v>1077</v>
      </c>
      <c r="F43" s="217">
        <f>EDU*4</f>
        <v>0</v>
      </c>
      <c r="G43" s="218" t="s">
        <v>1189</v>
      </c>
      <c r="M43" s="78" t="s">
        <v>87</v>
      </c>
      <c r="N43" s="42"/>
    </row>
    <row r="44" spans="1:14" ht="17.25" customHeight="1" x14ac:dyDescent="0.2">
      <c r="A44" s="212">
        <v>42</v>
      </c>
      <c r="B44" s="787" t="s">
        <v>1316</v>
      </c>
      <c r="C44" s="787"/>
      <c r="D44" s="219" t="s">
        <v>1190</v>
      </c>
      <c r="E44" s="219" t="s">
        <v>1128</v>
      </c>
      <c r="F44" s="220">
        <f>APP*2+EDU*2</f>
        <v>0</v>
      </c>
      <c r="G44" s="221" t="s">
        <v>1191</v>
      </c>
      <c r="M44" s="78" t="s">
        <v>57</v>
      </c>
      <c r="N44" s="42"/>
    </row>
    <row r="45" spans="1:14" ht="17.25" customHeight="1" x14ac:dyDescent="0.2">
      <c r="A45" s="213">
        <v>43</v>
      </c>
      <c r="B45" s="788" t="s">
        <v>1317</v>
      </c>
      <c r="C45" s="788"/>
      <c r="D45" s="222" t="s">
        <v>1083</v>
      </c>
      <c r="E45" s="223" t="s">
        <v>1501</v>
      </c>
      <c r="F45" s="217">
        <f>EDU*2+DEX*2</f>
        <v>0</v>
      </c>
      <c r="G45" s="218" t="s">
        <v>1192</v>
      </c>
      <c r="M45" s="78" t="s">
        <v>958</v>
      </c>
      <c r="N45" s="42"/>
    </row>
    <row r="46" spans="1:14" x14ac:dyDescent="0.2">
      <c r="A46" s="212">
        <v>44</v>
      </c>
      <c r="B46" s="787" t="s">
        <v>1318</v>
      </c>
      <c r="C46" s="787"/>
      <c r="D46" s="219" t="s">
        <v>1193</v>
      </c>
      <c r="E46" s="219" t="s">
        <v>1077</v>
      </c>
      <c r="F46" s="220">
        <f>EDU*4</f>
        <v>0</v>
      </c>
      <c r="G46" s="221" t="s">
        <v>1194</v>
      </c>
      <c r="M46" s="78" t="s">
        <v>88</v>
      </c>
      <c r="N46" s="42"/>
    </row>
    <row r="47" spans="1:14" ht="17.25" customHeight="1" x14ac:dyDescent="0.2">
      <c r="A47" s="213">
        <v>45</v>
      </c>
      <c r="B47" s="788" t="s">
        <v>1319</v>
      </c>
      <c r="C47" s="788"/>
      <c r="D47" s="222" t="s">
        <v>1195</v>
      </c>
      <c r="E47" s="223" t="s">
        <v>1196</v>
      </c>
      <c r="F47" s="217">
        <f>(MAX(APP,STR,DEX))*2+EDU*2</f>
        <v>0</v>
      </c>
      <c r="G47" s="218" t="s">
        <v>1197</v>
      </c>
      <c r="M47" s="78" t="s">
        <v>89</v>
      </c>
      <c r="N47" s="42"/>
    </row>
    <row r="48" spans="1:14" ht="17.25" customHeight="1" x14ac:dyDescent="0.2">
      <c r="A48" s="212">
        <v>46</v>
      </c>
      <c r="B48" s="787" t="s">
        <v>1320</v>
      </c>
      <c r="C48" s="787"/>
      <c r="D48" s="219" t="s">
        <v>1135</v>
      </c>
      <c r="E48" s="219" t="s">
        <v>1501</v>
      </c>
      <c r="F48" s="220">
        <f>EDU*2+DEX*2</f>
        <v>0</v>
      </c>
      <c r="G48" s="221" t="s">
        <v>1198</v>
      </c>
      <c r="M48" s="78" t="s">
        <v>521</v>
      </c>
      <c r="N48" s="42"/>
    </row>
    <row r="49" spans="1:14" ht="17.25" customHeight="1" x14ac:dyDescent="0.2">
      <c r="A49" s="213">
        <v>47</v>
      </c>
      <c r="B49" s="788" t="s">
        <v>1321</v>
      </c>
      <c r="C49" s="788"/>
      <c r="D49" s="222" t="s">
        <v>1111</v>
      </c>
      <c r="E49" s="223" t="s">
        <v>1504</v>
      </c>
      <c r="F49" s="217">
        <f>EDU*2+MAX(STR,DEX)*2</f>
        <v>0</v>
      </c>
      <c r="G49" s="218" t="s">
        <v>1199</v>
      </c>
      <c r="M49" s="78" t="s">
        <v>925</v>
      </c>
      <c r="N49" s="42"/>
    </row>
    <row r="50" spans="1:14" ht="17.25" customHeight="1" x14ac:dyDescent="0.2">
      <c r="A50" s="212">
        <v>48</v>
      </c>
      <c r="B50" s="787" t="s">
        <v>1322</v>
      </c>
      <c r="C50" s="787"/>
      <c r="D50" s="219" t="s">
        <v>1083</v>
      </c>
      <c r="E50" s="219" t="s">
        <v>1501</v>
      </c>
      <c r="F50" s="220">
        <f>EDU*2+DEX*2</f>
        <v>0</v>
      </c>
      <c r="G50" s="221" t="s">
        <v>1200</v>
      </c>
      <c r="M50" s="78" t="s">
        <v>926</v>
      </c>
      <c r="N50" s="42"/>
    </row>
    <row r="51" spans="1:14" x14ac:dyDescent="0.2">
      <c r="A51" s="213">
        <v>49</v>
      </c>
      <c r="B51" s="788" t="s">
        <v>1323</v>
      </c>
      <c r="C51" s="788"/>
      <c r="D51" s="222" t="s">
        <v>1082</v>
      </c>
      <c r="E51" s="223" t="s">
        <v>1077</v>
      </c>
      <c r="F51" s="217">
        <f>EDU*4</f>
        <v>0</v>
      </c>
      <c r="G51" s="218" t="s">
        <v>1201</v>
      </c>
      <c r="M51" s="78" t="s">
        <v>939</v>
      </c>
      <c r="N51" s="42"/>
    </row>
    <row r="52" spans="1:14" ht="17.25" customHeight="1" x14ac:dyDescent="0.2">
      <c r="A52" s="212">
        <v>50</v>
      </c>
      <c r="B52" s="787" t="s">
        <v>1324</v>
      </c>
      <c r="C52" s="787"/>
      <c r="D52" s="219" t="s">
        <v>1202</v>
      </c>
      <c r="E52" s="219" t="s">
        <v>1506</v>
      </c>
      <c r="F52" s="220">
        <f>APP*2+EDU*2</f>
        <v>0</v>
      </c>
      <c r="G52" s="221" t="s">
        <v>1203</v>
      </c>
      <c r="M52" s="78" t="s">
        <v>91</v>
      </c>
      <c r="N52" s="42"/>
    </row>
    <row r="53" spans="1:14" x14ac:dyDescent="0.2">
      <c r="A53" s="213">
        <v>51</v>
      </c>
      <c r="B53" s="788" t="s">
        <v>1325</v>
      </c>
      <c r="C53" s="788"/>
      <c r="D53" s="222" t="s">
        <v>1080</v>
      </c>
      <c r="E53" s="223" t="s">
        <v>1077</v>
      </c>
      <c r="F53" s="217">
        <f>EDU*4</f>
        <v>0</v>
      </c>
      <c r="G53" s="218" t="s">
        <v>1204</v>
      </c>
      <c r="M53" s="78" t="s">
        <v>231</v>
      </c>
      <c r="N53" s="42"/>
    </row>
    <row r="54" spans="1:14" ht="16.5" customHeight="1" x14ac:dyDescent="0.2">
      <c r="A54" s="212">
        <v>52</v>
      </c>
      <c r="B54" s="787" t="s">
        <v>1326</v>
      </c>
      <c r="C54" s="787"/>
      <c r="D54" s="219" t="s">
        <v>1151</v>
      </c>
      <c r="E54" s="219" t="s">
        <v>1128</v>
      </c>
      <c r="F54" s="220">
        <f>APP*2+EDU*2</f>
        <v>0</v>
      </c>
      <c r="G54" s="221" t="s">
        <v>1205</v>
      </c>
      <c r="M54" s="78" t="s">
        <v>92</v>
      </c>
      <c r="N54" s="42"/>
    </row>
    <row r="55" spans="1:14" ht="17.25" customHeight="1" x14ac:dyDescent="0.2">
      <c r="A55" s="213">
        <v>53</v>
      </c>
      <c r="B55" s="788" t="s">
        <v>1327</v>
      </c>
      <c r="C55" s="788"/>
      <c r="D55" s="222" t="s">
        <v>1206</v>
      </c>
      <c r="E55" s="223" t="s">
        <v>1207</v>
      </c>
      <c r="F55" s="217">
        <f>(MAX(APP,STR,DEX))*2+EDU*2</f>
        <v>0</v>
      </c>
      <c r="G55" s="218" t="s">
        <v>1208</v>
      </c>
      <c r="M55" s="78" t="s">
        <v>950</v>
      </c>
      <c r="N55" s="42"/>
    </row>
    <row r="56" spans="1:14" ht="16.5" customHeight="1" x14ac:dyDescent="0.2">
      <c r="A56" s="212">
        <v>54</v>
      </c>
      <c r="B56" s="787" t="s">
        <v>1328</v>
      </c>
      <c r="C56" s="787"/>
      <c r="D56" s="219" t="s">
        <v>1209</v>
      </c>
      <c r="E56" s="219" t="s">
        <v>1210</v>
      </c>
      <c r="F56" s="220">
        <f>EDU*2+MAX(STR,DEX)*2</f>
        <v>0</v>
      </c>
      <c r="G56" s="221" t="s">
        <v>1211</v>
      </c>
      <c r="M56" s="78" t="s">
        <v>93</v>
      </c>
      <c r="N56" s="42"/>
    </row>
    <row r="57" spans="1:14" x14ac:dyDescent="0.2">
      <c r="A57" s="213">
        <v>55</v>
      </c>
      <c r="B57" s="788" t="s">
        <v>1329</v>
      </c>
      <c r="C57" s="788"/>
      <c r="D57" s="222" t="s">
        <v>1212</v>
      </c>
      <c r="E57" s="223" t="s">
        <v>1213</v>
      </c>
      <c r="F57" s="217">
        <f>EDU*4</f>
        <v>0</v>
      </c>
      <c r="G57" s="218" t="s">
        <v>1214</v>
      </c>
      <c r="H57" s="225"/>
      <c r="M57" s="78" t="s">
        <v>94</v>
      </c>
      <c r="N57" s="42"/>
    </row>
    <row r="58" spans="1:14" ht="16.5" customHeight="1" x14ac:dyDescent="0.2">
      <c r="A58" s="212">
        <v>56</v>
      </c>
      <c r="B58" s="787" t="s">
        <v>1330</v>
      </c>
      <c r="C58" s="787"/>
      <c r="D58" s="219" t="s">
        <v>1209</v>
      </c>
      <c r="E58" s="219" t="s">
        <v>1210</v>
      </c>
      <c r="F58" s="220">
        <f>EDU*2+MAX(STR,DEX)*2</f>
        <v>0</v>
      </c>
      <c r="G58" s="221" t="s">
        <v>1215</v>
      </c>
      <c r="H58" s="225"/>
      <c r="M58" s="78" t="s">
        <v>90</v>
      </c>
      <c r="N58" s="42"/>
    </row>
    <row r="59" spans="1:14" x14ac:dyDescent="0.2">
      <c r="A59" s="213">
        <v>57</v>
      </c>
      <c r="B59" s="788" t="s">
        <v>1331</v>
      </c>
      <c r="C59" s="788"/>
      <c r="D59" s="222" t="s">
        <v>1216</v>
      </c>
      <c r="E59" s="223" t="s">
        <v>1213</v>
      </c>
      <c r="F59" s="217">
        <f>EDU*4</f>
        <v>0</v>
      </c>
      <c r="G59" s="218" t="s">
        <v>1217</v>
      </c>
      <c r="H59" s="225"/>
      <c r="M59" s="78" t="s">
        <v>1004</v>
      </c>
      <c r="N59" s="42"/>
    </row>
    <row r="60" spans="1:14" x14ac:dyDescent="0.2">
      <c r="A60" s="212">
        <v>58</v>
      </c>
      <c r="B60" s="787" t="s">
        <v>1332</v>
      </c>
      <c r="C60" s="787"/>
      <c r="D60" s="219" t="s">
        <v>1218</v>
      </c>
      <c r="E60" s="219" t="s">
        <v>1213</v>
      </c>
      <c r="F60" s="220">
        <f>EDU*4</f>
        <v>0</v>
      </c>
      <c r="G60" s="221" t="s">
        <v>1482</v>
      </c>
      <c r="H60" s="225"/>
      <c r="M60" s="78" t="s">
        <v>498</v>
      </c>
      <c r="N60" s="42"/>
    </row>
    <row r="61" spans="1:14" x14ac:dyDescent="0.2">
      <c r="A61" s="213">
        <v>59</v>
      </c>
      <c r="B61" s="788" t="s">
        <v>1333</v>
      </c>
      <c r="C61" s="788"/>
      <c r="D61" s="222" t="s">
        <v>1219</v>
      </c>
      <c r="E61" s="223" t="s">
        <v>1508</v>
      </c>
      <c r="F61" s="217">
        <f>EDU*2+MAX(APP,DEX)*2</f>
        <v>0</v>
      </c>
      <c r="G61" s="218" t="s">
        <v>1220</v>
      </c>
      <c r="H61" s="225"/>
      <c r="M61" s="78" t="s">
        <v>180</v>
      </c>
      <c r="N61" s="42"/>
    </row>
    <row r="62" spans="1:14" x14ac:dyDescent="0.2">
      <c r="A62" s="212">
        <v>60</v>
      </c>
      <c r="B62" s="787" t="s">
        <v>1334</v>
      </c>
      <c r="C62" s="787"/>
      <c r="D62" s="219" t="s">
        <v>1221</v>
      </c>
      <c r="E62" s="219" t="s">
        <v>1128</v>
      </c>
      <c r="F62" s="220">
        <f>APP*2+EDU*2</f>
        <v>0</v>
      </c>
      <c r="G62" s="221" t="s">
        <v>1222</v>
      </c>
      <c r="H62" s="225"/>
      <c r="M62" s="78" t="s">
        <v>1065</v>
      </c>
      <c r="N62" s="42"/>
    </row>
    <row r="63" spans="1:14" x14ac:dyDescent="0.2">
      <c r="A63" s="213">
        <v>61</v>
      </c>
      <c r="B63" s="788" t="s">
        <v>1335</v>
      </c>
      <c r="C63" s="788"/>
      <c r="D63" s="222" t="s">
        <v>1111</v>
      </c>
      <c r="E63" s="223" t="s">
        <v>1094</v>
      </c>
      <c r="F63" s="217">
        <f>EDU*2+MAX(STR,DEX)*2</f>
        <v>0</v>
      </c>
      <c r="G63" s="218" t="s">
        <v>1223</v>
      </c>
      <c r="H63" s="225"/>
      <c r="M63" s="78" t="s">
        <v>179</v>
      </c>
      <c r="N63" s="42"/>
    </row>
    <row r="64" spans="1:14" x14ac:dyDescent="0.2">
      <c r="A64" s="212">
        <v>62</v>
      </c>
      <c r="B64" s="787" t="s">
        <v>1336</v>
      </c>
      <c r="C64" s="787"/>
      <c r="D64" s="219" t="s">
        <v>1224</v>
      </c>
      <c r="E64" s="219" t="s">
        <v>1506</v>
      </c>
      <c r="F64" s="220">
        <f>APP*2+EDU*2</f>
        <v>0</v>
      </c>
      <c r="G64" s="221" t="s">
        <v>1225</v>
      </c>
      <c r="H64" s="225"/>
      <c r="M64" s="78" t="s">
        <v>884</v>
      </c>
      <c r="N64" s="42"/>
    </row>
    <row r="65" spans="1:14" x14ac:dyDescent="0.2">
      <c r="A65" s="213">
        <v>63</v>
      </c>
      <c r="B65" s="788" t="s">
        <v>1337</v>
      </c>
      <c r="C65" s="788"/>
      <c r="D65" s="222" t="s">
        <v>1195</v>
      </c>
      <c r="E65" s="223" t="s">
        <v>1112</v>
      </c>
      <c r="F65" s="217">
        <f>EDU*2+MAX(APP,DEX)*2</f>
        <v>0</v>
      </c>
      <c r="G65" s="218" t="s">
        <v>1226</v>
      </c>
      <c r="H65" s="225"/>
      <c r="M65" s="78" t="s">
        <v>1273</v>
      </c>
      <c r="N65" s="42"/>
    </row>
    <row r="66" spans="1:14" x14ac:dyDescent="0.2">
      <c r="A66" s="212">
        <v>64</v>
      </c>
      <c r="B66" s="787" t="s">
        <v>1338</v>
      </c>
      <c r="C66" s="787"/>
      <c r="D66" s="219" t="s">
        <v>1227</v>
      </c>
      <c r="E66" s="219" t="s">
        <v>1505</v>
      </c>
      <c r="F66" s="220">
        <f>EDU*2+STR*2</f>
        <v>0</v>
      </c>
      <c r="G66" s="221" t="s">
        <v>1228</v>
      </c>
      <c r="H66" s="225"/>
      <c r="M66" s="78" t="s">
        <v>1443</v>
      </c>
      <c r="N66" s="42"/>
    </row>
    <row r="67" spans="1:14" x14ac:dyDescent="0.2">
      <c r="A67" s="213">
        <v>65</v>
      </c>
      <c r="B67" s="788" t="s">
        <v>1339</v>
      </c>
      <c r="C67" s="788"/>
      <c r="D67" s="222" t="s">
        <v>1083</v>
      </c>
      <c r="E67" s="223" t="s">
        <v>1077</v>
      </c>
      <c r="F67" s="217">
        <f>EDU*4</f>
        <v>0</v>
      </c>
      <c r="G67" s="218" t="s">
        <v>1229</v>
      </c>
      <c r="H67" s="225"/>
      <c r="M67" s="162"/>
      <c r="N67" s="42"/>
    </row>
    <row r="68" spans="1:14" x14ac:dyDescent="0.2">
      <c r="A68" s="212">
        <v>66</v>
      </c>
      <c r="B68" s="787" t="s">
        <v>1340</v>
      </c>
      <c r="C68" s="787"/>
      <c r="D68" s="219" t="s">
        <v>1083</v>
      </c>
      <c r="E68" s="219" t="s">
        <v>1213</v>
      </c>
      <c r="F68" s="220">
        <f>EDU*4</f>
        <v>0</v>
      </c>
      <c r="G68" s="221" t="s">
        <v>1230</v>
      </c>
      <c r="H68" s="225"/>
      <c r="M68" s="42"/>
      <c r="N68" s="42"/>
    </row>
    <row r="69" spans="1:14" x14ac:dyDescent="0.2">
      <c r="A69" s="213">
        <v>67</v>
      </c>
      <c r="B69" s="788" t="s">
        <v>1341</v>
      </c>
      <c r="C69" s="788"/>
      <c r="D69" s="222" t="s">
        <v>1231</v>
      </c>
      <c r="E69" s="223" t="s">
        <v>1077</v>
      </c>
      <c r="F69" s="217">
        <f>EDU*4</f>
        <v>0</v>
      </c>
      <c r="G69" s="218" t="s">
        <v>1232</v>
      </c>
      <c r="H69" s="225"/>
      <c r="M69" s="42"/>
      <c r="N69" s="42"/>
    </row>
    <row r="70" spans="1:14" x14ac:dyDescent="0.2">
      <c r="A70" s="212">
        <v>68</v>
      </c>
      <c r="B70" s="787" t="s">
        <v>1342</v>
      </c>
      <c r="C70" s="787"/>
      <c r="D70" s="219" t="s">
        <v>1082</v>
      </c>
      <c r="E70" s="219" t="s">
        <v>1213</v>
      </c>
      <c r="F70" s="220">
        <f>EDU*4</f>
        <v>0</v>
      </c>
      <c r="G70" s="221" t="s">
        <v>1233</v>
      </c>
      <c r="H70" s="225"/>
      <c r="M70" s="42"/>
      <c r="N70" s="42"/>
    </row>
    <row r="71" spans="1:14" x14ac:dyDescent="0.2">
      <c r="A71" s="213">
        <v>69</v>
      </c>
      <c r="B71" s="788" t="s">
        <v>1343</v>
      </c>
      <c r="C71" s="788"/>
      <c r="D71" s="222" t="s">
        <v>1083</v>
      </c>
      <c r="E71" s="223" t="s">
        <v>1094</v>
      </c>
      <c r="F71" s="217">
        <f>EDU*2+MAX(STR,DEX)*2</f>
        <v>0</v>
      </c>
      <c r="G71" s="218" t="s">
        <v>1234</v>
      </c>
      <c r="H71" s="225"/>
      <c r="M71" s="42"/>
      <c r="N71" s="42"/>
    </row>
    <row r="72" spans="1:14" ht="16.5" customHeight="1" x14ac:dyDescent="0.2">
      <c r="A72" s="212">
        <v>70</v>
      </c>
      <c r="B72" s="787" t="s">
        <v>1344</v>
      </c>
      <c r="C72" s="787"/>
      <c r="D72" s="219" t="s">
        <v>1083</v>
      </c>
      <c r="E72" s="219" t="s">
        <v>1094</v>
      </c>
      <c r="F72" s="220">
        <f>EDU*2+MAX(STR,DEX)*2</f>
        <v>0</v>
      </c>
      <c r="G72" s="221" t="s">
        <v>1235</v>
      </c>
      <c r="H72" s="225"/>
      <c r="M72" s="42"/>
      <c r="N72" s="42"/>
    </row>
    <row r="73" spans="1:14" ht="16.5" customHeight="1" x14ac:dyDescent="0.2">
      <c r="A73" s="213">
        <v>71</v>
      </c>
      <c r="B73" s="788" t="s">
        <v>1345</v>
      </c>
      <c r="C73" s="788"/>
      <c r="D73" s="222" t="s">
        <v>1083</v>
      </c>
      <c r="E73" s="223" t="s">
        <v>1094</v>
      </c>
      <c r="F73" s="217">
        <f>EDU*2+MAX(STR,DEX)*2</f>
        <v>0</v>
      </c>
      <c r="G73" s="218" t="s">
        <v>1236</v>
      </c>
      <c r="H73" s="225"/>
      <c r="M73" s="42"/>
      <c r="N73" s="42"/>
    </row>
    <row r="74" spans="1:14" x14ac:dyDescent="0.2">
      <c r="A74" s="212">
        <v>72</v>
      </c>
      <c r="B74" s="787" t="s">
        <v>1346</v>
      </c>
      <c r="C74" s="787"/>
      <c r="D74" s="219" t="s">
        <v>1193</v>
      </c>
      <c r="E74" s="219" t="s">
        <v>1077</v>
      </c>
      <c r="F74" s="220">
        <f>EDU*4</f>
        <v>0</v>
      </c>
      <c r="G74" s="221" t="s">
        <v>1237</v>
      </c>
      <c r="H74" s="225"/>
      <c r="M74" s="42"/>
      <c r="N74" s="42"/>
    </row>
    <row r="75" spans="1:14" x14ac:dyDescent="0.2">
      <c r="A75" s="213">
        <v>73</v>
      </c>
      <c r="B75" s="788" t="s">
        <v>1347</v>
      </c>
      <c r="C75" s="788"/>
      <c r="D75" s="222" t="s">
        <v>1238</v>
      </c>
      <c r="E75" s="223" t="s">
        <v>1077</v>
      </c>
      <c r="F75" s="217">
        <f>EDU*4</f>
        <v>0</v>
      </c>
      <c r="G75" s="218" t="s">
        <v>1078</v>
      </c>
      <c r="H75" s="225"/>
      <c r="M75" s="42"/>
      <c r="N75" s="42"/>
    </row>
    <row r="76" spans="1:14" x14ac:dyDescent="0.2">
      <c r="A76" s="212">
        <v>74</v>
      </c>
      <c r="B76" s="787" t="s">
        <v>1348</v>
      </c>
      <c r="C76" s="787"/>
      <c r="D76" s="219" t="s">
        <v>1099</v>
      </c>
      <c r="E76" s="219" t="s">
        <v>1077</v>
      </c>
      <c r="F76" s="220">
        <f>EDU*4</f>
        <v>0</v>
      </c>
      <c r="G76" s="221" t="s">
        <v>1239</v>
      </c>
      <c r="H76" s="225"/>
      <c r="M76" s="42"/>
      <c r="N76" s="42"/>
    </row>
    <row r="77" spans="1:14" ht="16.5" customHeight="1" x14ac:dyDescent="0.2">
      <c r="A77" s="213">
        <v>75</v>
      </c>
      <c r="B77" s="788" t="s">
        <v>1349</v>
      </c>
      <c r="C77" s="788"/>
      <c r="D77" s="222" t="s">
        <v>1091</v>
      </c>
      <c r="E77" s="223" t="s">
        <v>1094</v>
      </c>
      <c r="F77" s="217">
        <f>EDU*2+MAX(STR,DEX)*2</f>
        <v>0</v>
      </c>
      <c r="G77" s="218" t="s">
        <v>1079</v>
      </c>
      <c r="H77" s="225"/>
      <c r="M77" s="42"/>
      <c r="N77" s="42"/>
    </row>
    <row r="78" spans="1:14" ht="17.25" customHeight="1" x14ac:dyDescent="0.2">
      <c r="A78" s="212">
        <v>76</v>
      </c>
      <c r="B78" s="787" t="s">
        <v>1350</v>
      </c>
      <c r="C78" s="787"/>
      <c r="D78" s="219" t="s">
        <v>1114</v>
      </c>
      <c r="E78" s="219" t="s">
        <v>1128</v>
      </c>
      <c r="F78" s="220">
        <f>EDU*2+APP*2</f>
        <v>0</v>
      </c>
      <c r="G78" s="221" t="s">
        <v>1240</v>
      </c>
      <c r="H78" s="225"/>
      <c r="M78" s="42"/>
      <c r="N78" s="42"/>
    </row>
    <row r="79" spans="1:14" ht="17.25" customHeight="1" x14ac:dyDescent="0.2">
      <c r="A79" s="213">
        <v>77</v>
      </c>
      <c r="B79" s="788" t="s">
        <v>1351</v>
      </c>
      <c r="C79" s="788"/>
      <c r="D79" s="222" t="s">
        <v>1080</v>
      </c>
      <c r="E79" s="223" t="s">
        <v>1504</v>
      </c>
      <c r="F79" s="217">
        <f>EDU*2+MAX(STR,DEX)*2</f>
        <v>0</v>
      </c>
      <c r="G79" s="218" t="s">
        <v>1081</v>
      </c>
      <c r="H79" s="225"/>
      <c r="M79" s="42"/>
      <c r="N79" s="42"/>
    </row>
    <row r="80" spans="1:14" x14ac:dyDescent="0.2">
      <c r="A80" s="212">
        <v>78</v>
      </c>
      <c r="B80" s="787" t="s">
        <v>1352</v>
      </c>
      <c r="C80" s="787"/>
      <c r="D80" s="219" t="s">
        <v>1082</v>
      </c>
      <c r="E80" s="219" t="s">
        <v>1077</v>
      </c>
      <c r="F80" s="220">
        <f>EDU*4</f>
        <v>0</v>
      </c>
      <c r="G80" s="221" t="s">
        <v>1241</v>
      </c>
      <c r="H80" s="225"/>
    </row>
    <row r="81" spans="1:8" ht="16.5" customHeight="1" x14ac:dyDescent="0.2">
      <c r="A81" s="213">
        <v>79</v>
      </c>
      <c r="B81" s="788" t="s">
        <v>1353</v>
      </c>
      <c r="C81" s="788"/>
      <c r="D81" s="222" t="s">
        <v>1083</v>
      </c>
      <c r="E81" s="223" t="s">
        <v>1084</v>
      </c>
      <c r="F81" s="217">
        <f>EDU*2+MAX(POW,DEX)*2</f>
        <v>0</v>
      </c>
      <c r="G81" s="218" t="s">
        <v>1085</v>
      </c>
      <c r="H81" s="225"/>
    </row>
    <row r="82" spans="1:8" x14ac:dyDescent="0.2">
      <c r="A82" s="212">
        <v>80</v>
      </c>
      <c r="B82" s="787" t="s">
        <v>1354</v>
      </c>
      <c r="C82" s="787"/>
      <c r="D82" s="219" t="s">
        <v>1083</v>
      </c>
      <c r="E82" s="219" t="s">
        <v>1077</v>
      </c>
      <c r="F82" s="220">
        <f>EDU*4</f>
        <v>0</v>
      </c>
      <c r="G82" s="221" t="s">
        <v>1242</v>
      </c>
      <c r="H82" s="225"/>
    </row>
    <row r="83" spans="1:8" x14ac:dyDescent="0.2">
      <c r="A83" s="213">
        <v>81</v>
      </c>
      <c r="B83" s="788" t="s">
        <v>1355</v>
      </c>
      <c r="C83" s="788"/>
      <c r="D83" s="222" t="s">
        <v>1086</v>
      </c>
      <c r="E83" s="223" t="s">
        <v>1077</v>
      </c>
      <c r="F83" s="217">
        <f>EDU*4</f>
        <v>0</v>
      </c>
      <c r="G83" s="218" t="s">
        <v>1271</v>
      </c>
      <c r="H83" s="225"/>
    </row>
    <row r="84" spans="1:8" ht="16.5" customHeight="1" x14ac:dyDescent="0.2">
      <c r="A84" s="212">
        <v>82</v>
      </c>
      <c r="B84" s="787" t="s">
        <v>1356</v>
      </c>
      <c r="C84" s="787"/>
      <c r="D84" s="219" t="s">
        <v>1087</v>
      </c>
      <c r="E84" s="219" t="s">
        <v>1094</v>
      </c>
      <c r="F84" s="220">
        <f>EDU*2+MAX(STR,DEX)*2</f>
        <v>0</v>
      </c>
      <c r="G84" s="221" t="s">
        <v>1243</v>
      </c>
    </row>
    <row r="85" spans="1:8" x14ac:dyDescent="0.2">
      <c r="A85" s="213">
        <v>83</v>
      </c>
      <c r="B85" s="788" t="s">
        <v>1357</v>
      </c>
      <c r="C85" s="788"/>
      <c r="D85" s="222" t="s">
        <v>1083</v>
      </c>
      <c r="E85" s="223" t="s">
        <v>1077</v>
      </c>
      <c r="F85" s="217">
        <f>EDU*4</f>
        <v>0</v>
      </c>
      <c r="G85" s="218" t="s">
        <v>1088</v>
      </c>
    </row>
    <row r="86" spans="1:8" x14ac:dyDescent="0.2">
      <c r="A86" s="212">
        <v>84</v>
      </c>
      <c r="B86" s="787" t="s">
        <v>1358</v>
      </c>
      <c r="C86" s="787"/>
      <c r="D86" s="219" t="s">
        <v>1089</v>
      </c>
      <c r="E86" s="219" t="s">
        <v>1077</v>
      </c>
      <c r="F86" s="220">
        <f>EDU*4</f>
        <v>0</v>
      </c>
      <c r="G86" s="221" t="s">
        <v>1244</v>
      </c>
    </row>
    <row r="87" spans="1:8" x14ac:dyDescent="0.2">
      <c r="A87" s="213">
        <v>85</v>
      </c>
      <c r="B87" s="788" t="s">
        <v>1359</v>
      </c>
      <c r="C87" s="788"/>
      <c r="D87" s="222" t="s">
        <v>1083</v>
      </c>
      <c r="E87" s="223" t="s">
        <v>1077</v>
      </c>
      <c r="F87" s="217">
        <f>EDU*4</f>
        <v>0</v>
      </c>
      <c r="G87" s="218" t="s">
        <v>1090</v>
      </c>
    </row>
    <row r="88" spans="1:8" x14ac:dyDescent="0.2">
      <c r="A88" s="212">
        <v>86</v>
      </c>
      <c r="B88" s="787" t="s">
        <v>1360</v>
      </c>
      <c r="C88" s="787"/>
      <c r="D88" s="219" t="s">
        <v>1082</v>
      </c>
      <c r="E88" s="219" t="s">
        <v>1077</v>
      </c>
      <c r="F88" s="220">
        <f>EDU*4</f>
        <v>0</v>
      </c>
      <c r="G88" s="221" t="s">
        <v>1245</v>
      </c>
    </row>
    <row r="89" spans="1:8" ht="16.5" customHeight="1" x14ac:dyDescent="0.2">
      <c r="A89" s="213">
        <v>87</v>
      </c>
      <c r="B89" s="788" t="s">
        <v>1361</v>
      </c>
      <c r="C89" s="788"/>
      <c r="D89" s="222" t="s">
        <v>1091</v>
      </c>
      <c r="E89" s="223" t="s">
        <v>1092</v>
      </c>
      <c r="F89" s="217">
        <f>EDU*2+DEX*2</f>
        <v>0</v>
      </c>
      <c r="G89" s="218" t="s">
        <v>1246</v>
      </c>
    </row>
    <row r="90" spans="1:8" x14ac:dyDescent="0.2">
      <c r="A90" s="212">
        <v>88</v>
      </c>
      <c r="B90" s="787" t="s">
        <v>1362</v>
      </c>
      <c r="C90" s="787"/>
      <c r="D90" s="219" t="s">
        <v>1080</v>
      </c>
      <c r="E90" s="219" t="s">
        <v>1077</v>
      </c>
      <c r="F90" s="220">
        <f>EDU*4</f>
        <v>0</v>
      </c>
      <c r="G90" s="221" t="s">
        <v>1247</v>
      </c>
    </row>
    <row r="91" spans="1:8" ht="16.5" customHeight="1" x14ac:dyDescent="0.2">
      <c r="A91" s="213">
        <v>89</v>
      </c>
      <c r="B91" s="788" t="s">
        <v>1457</v>
      </c>
      <c r="C91" s="788"/>
      <c r="D91" s="222" t="s">
        <v>1093</v>
      </c>
      <c r="E91" s="223" t="s">
        <v>1094</v>
      </c>
      <c r="F91" s="217">
        <f>EDU*2+MAX(STR,DEX)*2</f>
        <v>0</v>
      </c>
      <c r="G91" s="218" t="s">
        <v>1248</v>
      </c>
    </row>
    <row r="92" spans="1:8" ht="16.5" customHeight="1" x14ac:dyDescent="0.2">
      <c r="A92" s="212">
        <v>90</v>
      </c>
      <c r="B92" s="787" t="s">
        <v>1363</v>
      </c>
      <c r="C92" s="787"/>
      <c r="D92" s="219" t="s">
        <v>1083</v>
      </c>
      <c r="E92" s="219" t="s">
        <v>1094</v>
      </c>
      <c r="F92" s="220">
        <f>EDU*2+MAX(STR,DEX)*2</f>
        <v>0</v>
      </c>
      <c r="G92" s="221" t="s">
        <v>1249</v>
      </c>
    </row>
    <row r="93" spans="1:8" ht="16.5" customHeight="1" x14ac:dyDescent="0.2">
      <c r="A93" s="213">
        <v>91</v>
      </c>
      <c r="B93" s="788" t="s">
        <v>1364</v>
      </c>
      <c r="C93" s="788"/>
      <c r="D93" s="222" t="s">
        <v>1083</v>
      </c>
      <c r="E93" s="223" t="s">
        <v>1094</v>
      </c>
      <c r="F93" s="217">
        <f>EDU*2+MAX(STR,DEX)*2</f>
        <v>0</v>
      </c>
      <c r="G93" s="218" t="s">
        <v>1250</v>
      </c>
    </row>
    <row r="94" spans="1:8" x14ac:dyDescent="0.2">
      <c r="A94" s="212">
        <v>92</v>
      </c>
      <c r="B94" s="787" t="s">
        <v>1365</v>
      </c>
      <c r="C94" s="787"/>
      <c r="D94" s="219" t="s">
        <v>1091</v>
      </c>
      <c r="E94" s="219" t="s">
        <v>1077</v>
      </c>
      <c r="F94" s="220">
        <f>EDU*4</f>
        <v>0</v>
      </c>
      <c r="G94" s="221" t="s">
        <v>1251</v>
      </c>
    </row>
    <row r="95" spans="1:8" ht="16.5" customHeight="1" x14ac:dyDescent="0.2">
      <c r="A95" s="213">
        <v>93</v>
      </c>
      <c r="B95" s="788" t="s">
        <v>1366</v>
      </c>
      <c r="C95" s="788"/>
      <c r="D95" s="222" t="s">
        <v>1252</v>
      </c>
      <c r="E95" s="223" t="s">
        <v>1094</v>
      </c>
      <c r="F95" s="217">
        <f>EDU*2+MAX(STR,DEX)*2</f>
        <v>0</v>
      </c>
      <c r="G95" s="218" t="s">
        <v>1095</v>
      </c>
    </row>
    <row r="96" spans="1:8" ht="17.25" customHeight="1" x14ac:dyDescent="0.2">
      <c r="A96" s="212">
        <v>94</v>
      </c>
      <c r="B96" s="787" t="s">
        <v>1367</v>
      </c>
      <c r="C96" s="787"/>
      <c r="D96" s="219" t="s">
        <v>1110</v>
      </c>
      <c r="E96" s="219" t="s">
        <v>1128</v>
      </c>
      <c r="F96" s="220">
        <f>EDU*2+APP*2</f>
        <v>0</v>
      </c>
      <c r="G96" s="221" t="s">
        <v>1253</v>
      </c>
    </row>
    <row r="97" spans="1:7" x14ac:dyDescent="0.2">
      <c r="A97" s="213">
        <v>95</v>
      </c>
      <c r="B97" s="788" t="s">
        <v>1368</v>
      </c>
      <c r="C97" s="788"/>
      <c r="D97" s="222" t="s">
        <v>1193</v>
      </c>
      <c r="E97" s="223" t="s">
        <v>1077</v>
      </c>
      <c r="F97" s="217">
        <f>EDU*4</f>
        <v>0</v>
      </c>
      <c r="G97" s="218" t="s">
        <v>1254</v>
      </c>
    </row>
    <row r="98" spans="1:7" x14ac:dyDescent="0.2">
      <c r="A98" s="212">
        <v>96</v>
      </c>
      <c r="B98" s="787" t="s">
        <v>1369</v>
      </c>
      <c r="C98" s="787"/>
      <c r="D98" s="219" t="s">
        <v>1135</v>
      </c>
      <c r="E98" s="219" t="s">
        <v>1077</v>
      </c>
      <c r="F98" s="220">
        <f>EDU*4</f>
        <v>0</v>
      </c>
      <c r="G98" s="221" t="s">
        <v>1255</v>
      </c>
    </row>
    <row r="99" spans="1:7" x14ac:dyDescent="0.2">
      <c r="A99" s="213">
        <v>97</v>
      </c>
      <c r="B99" s="788" t="s">
        <v>1370</v>
      </c>
      <c r="C99" s="788"/>
      <c r="D99" s="222" t="s">
        <v>1083</v>
      </c>
      <c r="E99" s="223" t="s">
        <v>1077</v>
      </c>
      <c r="F99" s="217">
        <f>EDU*4</f>
        <v>0</v>
      </c>
      <c r="G99" s="218" t="s">
        <v>1097</v>
      </c>
    </row>
    <row r="100" spans="1:7" x14ac:dyDescent="0.2">
      <c r="A100" s="212">
        <v>98</v>
      </c>
      <c r="B100" s="787" t="s">
        <v>1371</v>
      </c>
      <c r="C100" s="787"/>
      <c r="D100" s="219" t="s">
        <v>1083</v>
      </c>
      <c r="E100" s="219" t="s">
        <v>1077</v>
      </c>
      <c r="F100" s="220">
        <f>EDU*4</f>
        <v>0</v>
      </c>
      <c r="G100" s="221" t="s">
        <v>1256</v>
      </c>
    </row>
    <row r="101" spans="1:7" x14ac:dyDescent="0.2">
      <c r="A101" s="213">
        <v>99</v>
      </c>
      <c r="B101" s="788" t="s">
        <v>1372</v>
      </c>
      <c r="C101" s="788"/>
      <c r="D101" s="222" t="s">
        <v>1102</v>
      </c>
      <c r="E101" s="223" t="s">
        <v>1077</v>
      </c>
      <c r="F101" s="217">
        <f>EDU*4</f>
        <v>0</v>
      </c>
      <c r="G101" s="218" t="s">
        <v>1098</v>
      </c>
    </row>
    <row r="102" spans="1:7" ht="17.25" customHeight="1" x14ac:dyDescent="0.2">
      <c r="A102" s="212">
        <v>100</v>
      </c>
      <c r="B102" s="787" t="s">
        <v>1373</v>
      </c>
      <c r="C102" s="787"/>
      <c r="D102" s="219" t="s">
        <v>1099</v>
      </c>
      <c r="E102" s="219" t="s">
        <v>1506</v>
      </c>
      <c r="F102" s="220">
        <f>EDU*2+APP*2</f>
        <v>0</v>
      </c>
      <c r="G102" s="221" t="s">
        <v>1257</v>
      </c>
    </row>
    <row r="103" spans="1:7" x14ac:dyDescent="0.2">
      <c r="A103" s="213">
        <v>101</v>
      </c>
      <c r="B103" s="788" t="s">
        <v>1374</v>
      </c>
      <c r="C103" s="788"/>
      <c r="D103" s="222" t="s">
        <v>1100</v>
      </c>
      <c r="E103" s="223" t="s">
        <v>1077</v>
      </c>
      <c r="F103" s="217">
        <f>EDU*4</f>
        <v>0</v>
      </c>
      <c r="G103" s="218" t="s">
        <v>1101</v>
      </c>
    </row>
    <row r="104" spans="1:7" ht="17.25" customHeight="1" x14ac:dyDescent="0.2">
      <c r="A104" s="212">
        <v>102</v>
      </c>
      <c r="B104" s="787" t="s">
        <v>1375</v>
      </c>
      <c r="C104" s="787"/>
      <c r="D104" s="219" t="s">
        <v>1083</v>
      </c>
      <c r="E104" s="219" t="s">
        <v>1507</v>
      </c>
      <c r="F104" s="220">
        <f>EDU*2+MAX(APP,DEX)*2</f>
        <v>0</v>
      </c>
      <c r="G104" s="221" t="s">
        <v>1258</v>
      </c>
    </row>
    <row r="105" spans="1:7" ht="17.25" customHeight="1" x14ac:dyDescent="0.2">
      <c r="A105" s="213">
        <v>103</v>
      </c>
      <c r="B105" s="788" t="s">
        <v>1376</v>
      </c>
      <c r="C105" s="788"/>
      <c r="D105" s="222" t="s">
        <v>1102</v>
      </c>
      <c r="E105" s="223" t="s">
        <v>1508</v>
      </c>
      <c r="F105" s="217">
        <f>EDU*2+MAX(APP,DEX)*2</f>
        <v>0</v>
      </c>
      <c r="G105" s="218" t="s">
        <v>1103</v>
      </c>
    </row>
    <row r="106" spans="1:7" ht="16.5" customHeight="1" x14ac:dyDescent="0.2">
      <c r="A106" s="212">
        <v>104</v>
      </c>
      <c r="B106" s="787" t="s">
        <v>1377</v>
      </c>
      <c r="C106" s="787"/>
      <c r="D106" s="219" t="s">
        <v>1083</v>
      </c>
      <c r="E106" s="219" t="s">
        <v>1094</v>
      </c>
      <c r="F106" s="220">
        <f>EDU*2+MAX(STR,DEX)*2</f>
        <v>0</v>
      </c>
      <c r="G106" s="221" t="s">
        <v>1259</v>
      </c>
    </row>
    <row r="107" spans="1:7" ht="17.25" customHeight="1" x14ac:dyDescent="0.2">
      <c r="A107" s="213">
        <v>105</v>
      </c>
      <c r="B107" s="788" t="s">
        <v>1378</v>
      </c>
      <c r="C107" s="788"/>
      <c r="D107" s="222" t="s">
        <v>1104</v>
      </c>
      <c r="E107" s="223" t="s">
        <v>1508</v>
      </c>
      <c r="F107" s="217">
        <f>EDU*2+MAX(APP,DEX)*2</f>
        <v>0</v>
      </c>
      <c r="G107" s="218" t="s">
        <v>1105</v>
      </c>
    </row>
    <row r="108" spans="1:7" x14ac:dyDescent="0.2">
      <c r="A108" s="212">
        <v>106</v>
      </c>
      <c r="B108" s="787" t="s">
        <v>1379</v>
      </c>
      <c r="C108" s="787"/>
      <c r="D108" s="219" t="s">
        <v>1106</v>
      </c>
      <c r="E108" s="219" t="s">
        <v>1077</v>
      </c>
      <c r="F108" s="220">
        <f>EDU*4</f>
        <v>0</v>
      </c>
      <c r="G108" s="221" t="s">
        <v>1260</v>
      </c>
    </row>
    <row r="109" spans="1:7" ht="16.5" customHeight="1" x14ac:dyDescent="0.2">
      <c r="A109" s="213">
        <v>107</v>
      </c>
      <c r="B109" s="788" t="s">
        <v>1380</v>
      </c>
      <c r="C109" s="788"/>
      <c r="D109" s="222" t="s">
        <v>1107</v>
      </c>
      <c r="E109" s="223" t="s">
        <v>1094</v>
      </c>
      <c r="F109" s="217">
        <f>EDU*2+MAX(STR,DEX)*2</f>
        <v>0</v>
      </c>
      <c r="G109" s="218" t="s">
        <v>1521</v>
      </c>
    </row>
    <row r="110" spans="1:7" ht="16.5" customHeight="1" x14ac:dyDescent="0.2">
      <c r="A110" s="212">
        <v>108</v>
      </c>
      <c r="B110" s="787" t="s">
        <v>1381</v>
      </c>
      <c r="C110" s="787"/>
      <c r="D110" s="219" t="s">
        <v>1108</v>
      </c>
      <c r="E110" s="219" t="s">
        <v>1094</v>
      </c>
      <c r="F110" s="220">
        <f>EDU*2+MAX(STR,DEX)*2</f>
        <v>0</v>
      </c>
      <c r="G110" s="221" t="s">
        <v>1261</v>
      </c>
    </row>
    <row r="111" spans="1:7" x14ac:dyDescent="0.2">
      <c r="A111" s="213">
        <v>109</v>
      </c>
      <c r="B111" s="788" t="s">
        <v>1382</v>
      </c>
      <c r="C111" s="788"/>
      <c r="D111" s="222" t="s">
        <v>1102</v>
      </c>
      <c r="E111" s="223" t="s">
        <v>1077</v>
      </c>
      <c r="F111" s="217">
        <f>EDU*4</f>
        <v>0</v>
      </c>
      <c r="G111" s="218" t="s">
        <v>1109</v>
      </c>
    </row>
    <row r="112" spans="1:7" x14ac:dyDescent="0.2">
      <c r="A112" s="212">
        <v>110</v>
      </c>
      <c r="B112" s="787" t="s">
        <v>1383</v>
      </c>
      <c r="C112" s="787"/>
      <c r="D112" s="219" t="s">
        <v>1110</v>
      </c>
      <c r="E112" s="219" t="s">
        <v>1077</v>
      </c>
      <c r="F112" s="220">
        <f>EDU*4</f>
        <v>0</v>
      </c>
      <c r="G112" s="221" t="s">
        <v>1262</v>
      </c>
    </row>
    <row r="113" spans="1:11" ht="17.25" customHeight="1" x14ac:dyDescent="0.2">
      <c r="A113" s="213">
        <v>111</v>
      </c>
      <c r="B113" s="788" t="s">
        <v>1384</v>
      </c>
      <c r="C113" s="788"/>
      <c r="D113" s="222" t="s">
        <v>1111</v>
      </c>
      <c r="E113" s="223" t="s">
        <v>1112</v>
      </c>
      <c r="F113" s="217">
        <f>EDU*2+MAX(APP,DEX)*2</f>
        <v>0</v>
      </c>
      <c r="G113" s="218" t="s">
        <v>1113</v>
      </c>
    </row>
    <row r="114" spans="1:11" x14ac:dyDescent="0.2">
      <c r="A114" s="212">
        <v>112</v>
      </c>
      <c r="B114" s="787" t="s">
        <v>1385</v>
      </c>
      <c r="C114" s="787"/>
      <c r="D114" s="219" t="s">
        <v>1111</v>
      </c>
      <c r="E114" s="219" t="s">
        <v>1077</v>
      </c>
      <c r="F114" s="220">
        <f>EDU*4</f>
        <v>0</v>
      </c>
      <c r="G114" s="221" t="s">
        <v>1263</v>
      </c>
    </row>
    <row r="115" spans="1:11" x14ac:dyDescent="0.2">
      <c r="A115" s="213">
        <v>113</v>
      </c>
      <c r="B115" s="788" t="s">
        <v>1386</v>
      </c>
      <c r="C115" s="788"/>
      <c r="D115" s="222" t="s">
        <v>1264</v>
      </c>
      <c r="E115" s="223" t="s">
        <v>1213</v>
      </c>
      <c r="F115" s="217">
        <f>EDU*4</f>
        <v>0</v>
      </c>
      <c r="G115" s="218" t="s">
        <v>1265</v>
      </c>
    </row>
    <row r="116" spans="1:11" ht="16.5" customHeight="1" x14ac:dyDescent="0.2">
      <c r="A116" s="212">
        <v>114</v>
      </c>
      <c r="B116" s="787" t="s">
        <v>1387</v>
      </c>
      <c r="C116" s="787"/>
      <c r="D116" s="219" t="s">
        <v>1266</v>
      </c>
      <c r="E116" s="219" t="s">
        <v>1267</v>
      </c>
      <c r="F116" s="220">
        <f>EDU*2+MAX(APP,POW)*2</f>
        <v>0</v>
      </c>
      <c r="G116" s="221" t="s">
        <v>1268</v>
      </c>
    </row>
    <row r="117" spans="1:11" ht="17.25" thickBot="1" x14ac:dyDescent="0.25">
      <c r="A117" s="226">
        <v>115</v>
      </c>
      <c r="B117" s="785" t="s">
        <v>1388</v>
      </c>
      <c r="C117" s="785"/>
      <c r="D117" s="227" t="s">
        <v>1269</v>
      </c>
      <c r="E117" s="228" t="s">
        <v>1213</v>
      </c>
      <c r="F117" s="229">
        <f>EDU*4</f>
        <v>0</v>
      </c>
      <c r="G117" s="230" t="s">
        <v>1270</v>
      </c>
    </row>
    <row r="118" spans="1:11" ht="17.25" thickBot="1" x14ac:dyDescent="0.25">
      <c r="A118" s="267"/>
      <c r="B118" s="268"/>
      <c r="C118" s="268"/>
      <c r="D118" s="269"/>
      <c r="E118" s="267"/>
      <c r="F118" s="267"/>
      <c r="G118" s="267"/>
      <c r="H118" s="268"/>
      <c r="I118" s="270"/>
      <c r="J118" s="270"/>
    </row>
    <row r="119" spans="1:11" ht="18" customHeight="1" x14ac:dyDescent="0.2">
      <c r="A119" s="781" t="s">
        <v>1589</v>
      </c>
      <c r="B119" s="782"/>
      <c r="C119" s="782"/>
      <c r="D119" s="782"/>
      <c r="E119" s="782"/>
      <c r="F119" s="782"/>
      <c r="G119" s="782"/>
      <c r="H119" s="783"/>
      <c r="I119" s="784"/>
      <c r="J119" s="270"/>
    </row>
    <row r="120" spans="1:11" x14ac:dyDescent="0.2">
      <c r="A120" s="399" t="s">
        <v>1528</v>
      </c>
      <c r="B120" s="395" t="s">
        <v>1529</v>
      </c>
      <c r="C120" s="395" t="s">
        <v>1571</v>
      </c>
      <c r="D120" s="396" t="s">
        <v>1570</v>
      </c>
      <c r="E120" s="394" t="s">
        <v>1572</v>
      </c>
      <c r="F120" s="394" t="s">
        <v>1573</v>
      </c>
      <c r="G120" s="394" t="s">
        <v>1574</v>
      </c>
      <c r="H120" s="400" t="s">
        <v>1575</v>
      </c>
      <c r="I120" s="784"/>
      <c r="J120" s="270"/>
    </row>
    <row r="121" spans="1:11" ht="33" x14ac:dyDescent="0.2">
      <c r="A121" s="212">
        <v>1</v>
      </c>
      <c r="B121" s="219" t="s">
        <v>1530</v>
      </c>
      <c r="C121" s="392" t="s">
        <v>1578</v>
      </c>
      <c r="D121" s="123" t="s">
        <v>1534</v>
      </c>
      <c r="E121" s="393" t="s">
        <v>1576</v>
      </c>
      <c r="F121" s="219">
        <v>70</v>
      </c>
      <c r="G121" s="392" t="s">
        <v>1569</v>
      </c>
      <c r="H121" s="401" t="s">
        <v>1533</v>
      </c>
      <c r="I121" s="784"/>
      <c r="J121" s="270"/>
      <c r="K121" s="271"/>
    </row>
    <row r="122" spans="1:11" ht="33" x14ac:dyDescent="0.2">
      <c r="A122" s="213">
        <v>2</v>
      </c>
      <c r="B122" s="223" t="s">
        <v>1531</v>
      </c>
      <c r="C122" s="397" t="s">
        <v>1579</v>
      </c>
      <c r="D122" s="398" t="s">
        <v>1534</v>
      </c>
      <c r="E122" s="222" t="s">
        <v>1576</v>
      </c>
      <c r="F122" s="223">
        <v>70</v>
      </c>
      <c r="G122" s="397" t="s">
        <v>1532</v>
      </c>
      <c r="H122" s="402" t="s">
        <v>1535</v>
      </c>
      <c r="I122" s="784"/>
      <c r="J122" s="270"/>
      <c r="K122" s="271"/>
    </row>
    <row r="123" spans="1:11" ht="33" x14ac:dyDescent="0.2">
      <c r="A123" s="212">
        <v>3</v>
      </c>
      <c r="B123" s="219" t="s">
        <v>1590</v>
      </c>
      <c r="C123" s="392" t="s">
        <v>1591</v>
      </c>
      <c r="D123" s="123" t="s">
        <v>1592</v>
      </c>
      <c r="E123" s="393" t="s">
        <v>1593</v>
      </c>
      <c r="F123" s="219">
        <v>60</v>
      </c>
      <c r="G123" s="392" t="s">
        <v>1594</v>
      </c>
      <c r="H123" s="401" t="s">
        <v>1595</v>
      </c>
      <c r="I123" s="784"/>
      <c r="J123" s="270"/>
      <c r="K123" s="271"/>
    </row>
    <row r="124" spans="1:11" ht="49.5" x14ac:dyDescent="0.2">
      <c r="A124" s="213">
        <v>4</v>
      </c>
      <c r="B124" s="223" t="s">
        <v>1596</v>
      </c>
      <c r="C124" s="397" t="s">
        <v>1591</v>
      </c>
      <c r="D124" s="398" t="s">
        <v>1597</v>
      </c>
      <c r="E124" s="222" t="s">
        <v>1598</v>
      </c>
      <c r="F124" s="223">
        <v>60</v>
      </c>
      <c r="G124" s="397" t="s">
        <v>1599</v>
      </c>
      <c r="H124" s="402" t="s">
        <v>1600</v>
      </c>
      <c r="I124" s="784"/>
      <c r="J124" s="270"/>
      <c r="K124" s="271"/>
    </row>
    <row r="125" spans="1:11" ht="33" x14ac:dyDescent="0.2">
      <c r="A125" s="212">
        <v>5</v>
      </c>
      <c r="B125" s="219" t="s">
        <v>1601</v>
      </c>
      <c r="C125" s="392" t="s">
        <v>1591</v>
      </c>
      <c r="D125" s="123" t="s">
        <v>1602</v>
      </c>
      <c r="E125" s="393" t="s">
        <v>1603</v>
      </c>
      <c r="F125" s="219">
        <v>60</v>
      </c>
      <c r="G125" s="392" t="s">
        <v>1604</v>
      </c>
      <c r="H125" s="401" t="s">
        <v>1605</v>
      </c>
      <c r="I125" s="784"/>
      <c r="J125" s="270"/>
      <c r="K125" s="271"/>
    </row>
    <row r="126" spans="1:11" ht="66" x14ac:dyDescent="0.2">
      <c r="A126" s="213">
        <v>6</v>
      </c>
      <c r="B126" s="223" t="s">
        <v>1606</v>
      </c>
      <c r="C126" s="397" t="s">
        <v>1607</v>
      </c>
      <c r="D126" s="398" t="s">
        <v>1608</v>
      </c>
      <c r="E126" s="222" t="s">
        <v>1609</v>
      </c>
      <c r="F126" s="223" t="s">
        <v>1568</v>
      </c>
      <c r="G126" s="397" t="s">
        <v>1610</v>
      </c>
      <c r="H126" s="402" t="s">
        <v>1611</v>
      </c>
      <c r="I126" s="784"/>
      <c r="J126" s="6"/>
      <c r="K126" s="6"/>
    </row>
    <row r="127" spans="1:11" ht="44.25" customHeight="1" thickBot="1" x14ac:dyDescent="0.25">
      <c r="A127" s="403">
        <v>7</v>
      </c>
      <c r="B127" s="404" t="s">
        <v>1626</v>
      </c>
      <c r="C127" s="405" t="s">
        <v>1612</v>
      </c>
      <c r="D127" s="406" t="s">
        <v>1612</v>
      </c>
      <c r="E127" s="407" t="s">
        <v>1612</v>
      </c>
      <c r="F127" s="408" t="s">
        <v>1577</v>
      </c>
      <c r="G127" s="409" t="s">
        <v>1612</v>
      </c>
      <c r="H127" s="410" t="s">
        <v>1612</v>
      </c>
      <c r="I127" s="326"/>
      <c r="J127" s="6"/>
      <c r="K127" s="6"/>
    </row>
    <row r="128" spans="1:11" x14ac:dyDescent="0.2">
      <c r="A128" s="267"/>
      <c r="B128" s="268"/>
      <c r="C128" s="268"/>
      <c r="D128" s="269"/>
      <c r="E128" s="267"/>
      <c r="F128" s="267"/>
      <c r="G128" s="267"/>
      <c r="H128" s="268"/>
      <c r="I128" s="270"/>
      <c r="J128" s="6"/>
      <c r="K128" s="6"/>
    </row>
    <row r="129" spans="1:10" x14ac:dyDescent="0.2">
      <c r="A129" s="267"/>
      <c r="B129" s="268"/>
      <c r="C129" s="268"/>
      <c r="D129" s="269"/>
      <c r="E129" s="267"/>
      <c r="F129" s="267"/>
      <c r="G129" s="267"/>
      <c r="H129" s="268"/>
      <c r="I129" s="270"/>
      <c r="J129" s="270"/>
    </row>
    <row r="130" spans="1:10" x14ac:dyDescent="0.2">
      <c r="A130" s="267"/>
      <c r="B130" s="268"/>
      <c r="C130" s="268"/>
      <c r="D130" s="269"/>
      <c r="E130" s="267"/>
      <c r="F130" s="267"/>
      <c r="G130" s="267"/>
      <c r="H130" s="268"/>
      <c r="I130" s="270"/>
      <c r="J130" s="270"/>
    </row>
  </sheetData>
  <sheetProtection selectLockedCells="1"/>
  <protectedRanges>
    <protectedRange password="C71F" sqref="N30:N33 M20 N8 M23 N21:N22 N24:N25" name="区域1"/>
    <protectedRange password="C71F" sqref="N49:N51 N45 N55 M60" name="区域1_1"/>
    <protectedRange password="C71F" sqref="M61:N61" name="区域2"/>
  </protectedRanges>
  <sortState ref="A121:H127">
    <sortCondition ref="A121"/>
  </sortState>
  <dataConsolidate/>
  <customSheetViews>
    <customSheetView guid="{111A6EAC-FF6E-44AB-B5F5-6EDFAC2B64B3}" showGridLines="0">
      <pane ySplit="1" topLeftCell="A2" activePane="bottomLeft" state="frozen"/>
      <selection pane="bottomLeft" activeCell="H13" sqref="H13"/>
      <pageMargins left="0.7" right="0.7" top="0.75" bottom="0.75" header="0.3" footer="0.3"/>
      <pageSetup paperSize="9" orientation="portrait" r:id="rId1"/>
    </customSheetView>
  </customSheetViews>
  <mergeCells count="129">
    <mergeCell ref="B22:C22"/>
    <mergeCell ref="B23:C23"/>
    <mergeCell ref="I11:J11"/>
    <mergeCell ref="I6:J6"/>
    <mergeCell ref="I7:J7"/>
    <mergeCell ref="I8:J8"/>
    <mergeCell ref="I9:J9"/>
    <mergeCell ref="I10:J10"/>
    <mergeCell ref="B2:G2"/>
    <mergeCell ref="I2:J2"/>
    <mergeCell ref="I3:J3"/>
    <mergeCell ref="I4:J4"/>
    <mergeCell ref="I5:J5"/>
    <mergeCell ref="B7:C7"/>
    <mergeCell ref="B8:C8"/>
    <mergeCell ref="B9:C9"/>
    <mergeCell ref="B10:C10"/>
    <mergeCell ref="B11:C11"/>
    <mergeCell ref="B1:C1"/>
    <mergeCell ref="B4:C4"/>
    <mergeCell ref="B5:C5"/>
    <mergeCell ref="B6:C6"/>
    <mergeCell ref="B17:C17"/>
    <mergeCell ref="B18:C18"/>
    <mergeCell ref="B19:C19"/>
    <mergeCell ref="B20:C20"/>
    <mergeCell ref="B21:C21"/>
    <mergeCell ref="B12:C12"/>
    <mergeCell ref="B13:C13"/>
    <mergeCell ref="B14:C14"/>
    <mergeCell ref="B15:C15"/>
    <mergeCell ref="B16:C16"/>
    <mergeCell ref="B42:C42"/>
    <mergeCell ref="B43:C43"/>
    <mergeCell ref="B44:C44"/>
    <mergeCell ref="B45:C45"/>
    <mergeCell ref="B46:C46"/>
    <mergeCell ref="B24:C24"/>
    <mergeCell ref="B25:C25"/>
    <mergeCell ref="B26:C26"/>
    <mergeCell ref="B37:C37"/>
    <mergeCell ref="B38:C38"/>
    <mergeCell ref="B39:C39"/>
    <mergeCell ref="B40:C40"/>
    <mergeCell ref="B41:C41"/>
    <mergeCell ref="B32:C32"/>
    <mergeCell ref="B33:C33"/>
    <mergeCell ref="B34:C34"/>
    <mergeCell ref="B35:C35"/>
    <mergeCell ref="B36:C36"/>
    <mergeCell ref="B27:C27"/>
    <mergeCell ref="B28:C28"/>
    <mergeCell ref="B29:C29"/>
    <mergeCell ref="B30:C30"/>
    <mergeCell ref="B31:C3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A119:H119"/>
    <mergeCell ref="I119:I126"/>
    <mergeCell ref="B117:C117"/>
    <mergeCell ref="H2:H10"/>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s>
  <phoneticPr fontId="2" type="noConversion"/>
  <conditionalFormatting sqref="I2:J10">
    <cfRule type="expression" dxfId="0" priority="1">
      <formula>"人物卡!$F$5=1"</formula>
    </cfRule>
  </conditionalFormatting>
  <dataValidations xWindow="1512" yWindow="256" count="167">
    <dataValidation imeMode="off"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imeMode="off" allowBlank="1" showInputMessage="1" promptTitle="介绍" prompt="杂技演员可能是参加各级比赛（甚至奥运会）的业余运动员，也可能是专业的演员，在马戏团、嘉年华、歌舞团之类的地方作为娱乐业从业者工作。" sqref="B5"/>
    <dataValidation imeMode="off"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imeMode="off"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imeMode="off"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imeMode="off"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imeMode="off"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imeMode="off"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imeMode="off" allowBlank="1" showInputMessage="1" promptTitle="介绍" prompt="古董商通常自己开店，从自己所在的地方转卖物品，或继续扩展业务范围，通过倒卖物品到城市商店赚取利润。" sqref="B12:C12"/>
    <dataValidation imeMode="off"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imeMode="off"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imeMode="off"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imeMode="off"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imeMode="off"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imeMode="off"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imeMode="off"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imeMode="off"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imeMode="off" allowBlank="1" showInputMessage="1" promptTitle="介绍" prompt="书商可能拥有自己的店面或者利基（小众）邮购服务，也可能辗转全国甚至海外专门经销书籍。许多人拥有富有的，能提供利润丰厚又稀罕的工作的固定客户。" sqref="B21:C21"/>
    <dataValidation imeMode="off"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imeMode="off"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imeMode="off"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imeMode="off"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imeMode="off"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imeMode="off"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imeMode="off"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imeMode="off" allowBlank="1" showInputMessage="1" promptTitle="介绍" prompt="工匠也可能被人叫做师傅或大师，是擅长对各种材料进行手工加工的人。通常都是才能出众的人，有的凭借自己的艺术作品出名，有的则会服务于自己的社区。" sqref="B29:C29"/>
    <dataValidation imeMode="off"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imeMode="off"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imeMode="off"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imeMode="off"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imeMode="off" allowBlank="1" showInputMessage="1" promptTitle="介绍" prompt="走私一直是一个有利可图的高风险行当。走私者往往有一个合法的表面职业，比如船长飞行员或商人，以掩盖他们非法运输的行为。" sqref="B39:C39"/>
    <dataValidation imeMode="off" allowBlank="1" showInputMessage="1" promptTitle="介绍" prompt="街头混混一般都是些小年轻，弄不好还在寻觅加入真正黑帮的契机。不过他们的本事也就限于偷车，盗窃商店货物，抢钱或者夜盗。" sqref="B40:C40"/>
    <dataValidation imeMode="off"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imeMode="off" allowBlank="1" showInputMessage="1" promptTitle="介绍" prompt="也可能单打独斗，如果成功的报酬值得去费力冒险，才会和别人搭伙。" sqref="B35:C35"/>
    <dataValidation imeMode="off"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imeMode="off" allowBlank="1" showInputMessage="1" promptTitle="介绍" prompt="罪犯的体格和相貌形形色色，有些是纯粹碰运气伺机行事，比如扒手." sqref="B33:C33"/>
    <dataValidation imeMode="off" allowBlank="1" showInputMessage="1" promptTitle="介绍" prompt="有些则组成分工明确，会详细调查并制定计划的犯罪组织。" sqref="B31:C31"/>
    <dataValidation imeMode="off"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imeMode="off"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imeMode="off"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imeMode="off"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imeMode="off" allowBlank="1" showInputMessage="1" promptTitle="介绍" prompt="潜水员可能在军队执法机构或海绵采集海上救援环境保护甚至水下寻宝的民间机构工作。" sqref="B45:C45"/>
    <dataValidation imeMode="off"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imeMode="off"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imeMode="off"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imeMode="off" allowBlank="1" showInputMessage="1" promptTitle="介绍" prompt="人司机则是直接受雇于个人或企业，或者是专门提供连人带车的私人司机业务的中介机构。" sqref="B48:C48"/>
    <dataValidation imeMode="off" allowBlank="1" showInputMessage="1" promptTitle="介绍" prompt="专职司机可能为企业个人工作，也可能拥有自己的出租车或货车。" sqref="B49:C49"/>
    <dataValidation imeMode="off"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imeMode="off"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imeMode="off"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imeMode="off"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imeMode="off"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imeMode="off" allowBlank="1" showInputMessage="1" promptTitle="介绍" prompt="联邦执法机构和特工种类各异。有些身着制服，比如美国司法部的人员；另外一些则穿便服，工作内容也类似警探，比如联邦调查局的人员。" sqref="B57:C57"/>
    <dataValidation imeMode="off"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imeMode="off"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imeMode="off"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imeMode="off" allowBlank="1" showInputMessage="1" promptTitle="介绍" prompt="工程师精通机械和电气设备，可能在民间或军工企业工作，也可能是个发明家。他们擅长应用科学、数学知识和丰富的创造思维，解决各种技术问题。" sqref="B53:C53"/>
    <dataValidation imeMode="off"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imeMode="off"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imeMode="off"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imeMode="off"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dataValidation imeMode="off"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imeMode="off" allowBlank="1" showInputMessage="1" promptTitle="介绍" prompt="勤杂护工在医院的工作包括倒垃圾、打扫房间、运送病人，还有一些其他乱七八糟的工作。总之对他们的要求不比对看门人多多少。" sqref="B66:C66"/>
    <dataValidation imeMode="off"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imeMode="off"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imeMode="off"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imeMode="off"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imeMode="off"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imeMode="off"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imeMode="off"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imeMode="off"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imeMode="off"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imeMode="off"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imeMode="off" allowBlank="1" showInputMessage="1" promptTitle="介绍" prompt="博物馆管理员可能负责大学或其他公共机构的大型设施，也可能负责小一些的博物馆，往往对本地的地质或者其他的内容颇有研究。" sqref="B80:C80"/>
    <dataValidation imeMode="off"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imeMode="off"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imeMode="off"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imeMode="off"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imeMode="off"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imeMode="off"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imeMode="off"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imeMode="off"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imeMode="off"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imeMode="off"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imeMode="off"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imeMode="off" allowBlank="1" showInputMessage="1" promptTitle="介绍" prompt="巡警则属于市、城镇、县治安部门或州、地区的警察机关。他们工作时可能步行、驾驶巡逻车，或者干脆坐办公室。" sqref="B92:C92"/>
    <dataValidation imeMode="off"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imeMode="off"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imeMode="off"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imeMode="off"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imeMode="off"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imeMode="off"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imeMode="off"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imeMode="off"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imeMode="off"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imeMode="off"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imeMode="off"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imeMode="off"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imeMode="off"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imeMode="off"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imeMode="off"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imeMode="off" allowBlank="1" showInputMessage="1" promptTitle="介绍" prompt="学生可能在大学或学院学习，实习生则是正在接受宝贵的入职培训，获得最低报酬的公司员工。" sqref="B108:C108"/>
    <dataValidation imeMode="off"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imeMode="off"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imeMode="off"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imeMode="off"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imeMode="off"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imeMode="off"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imeMode="off"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imeMode="off"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imeMode="off" allowBlank="1" showInputMessage="1" promptTitle="介绍" prompt="饲养员负责动物的喂养和看护，场地管理员和服务员管理其他杂务。通常饲养员会专门照看某一种动物，可以对动物使用「医学」技能。" sqref="B117:C117"/>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6:M8 M49"/>
    <dataValidation allowBlank="1" showInputMessage="1" showErrorMessage="1" promptTitle="Firearms (不定) [无法孤注一骰]" prompt="包括了各种形式的火器，也包括了弓箭和弩。" sqref="M24:M25"/>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ErrorMessage="1" sqref="N33"/>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type="list" showInputMessage="1" showErrorMessage="1" sqref="I3:J10">
      <formula1>$M$2:$M$66</formula1>
    </dataValidation>
  </dataValidations>
  <pageMargins left="0.7" right="0.7" top="0.75" bottom="0.75" header="0.3" footer="0.3"/>
  <pageSetup paperSize="9" orientation="portrait" r:id="rId2"/>
  <ignoredErrors>
    <ignoredError sqref="F10 F21" formula="1"/>
  </ignoredErrors>
  <legacyDrawing r:id="rId3"/>
  <extLst>
    <ext xmlns:x14="http://schemas.microsoft.com/office/spreadsheetml/2009/9/main" uri="{CCE6A557-97BC-4b89-ADB6-D9C93CAAB3DF}">
      <x14:dataValidations xmlns:xm="http://schemas.microsoft.com/office/excel/2006/main" xWindow="1512" yWindow="256" count="6">
        <x14:dataValidation type="list" allowBlank="1" showInputMessage="1" showErrorMessage="1">
          <x14:formula1>
            <xm:f>分支技能!$K$4:$K$10</xm:f>
          </x14:formula1>
          <xm:sqref>N24:N25</xm:sqref>
        </x14:dataValidation>
        <x14:dataValidation type="list" allowBlank="1" showInputMessage="1" showErrorMessage="1">
          <x14:formula1>
            <xm:f>分支技能!$H$4:$H$11</xm:f>
          </x14:formula1>
          <xm:sqref>N21:N22</xm:sqref>
        </x14:dataValidation>
        <x14:dataValidation type="list" allowBlank="1" showInputMessage="1" showErrorMessage="1" promptTitle="Diving (01%)" prompt="使用者接受过在深海游泳的使用以及维持潜水设备的训练，水下导航，合适的下潜配重，以及应对紧急情况的方法。">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14:formula1>
            <xm:f>分支技能!$N$4:$N$8</xm:f>
          </x14:formula1>
          <xm:sqref>M61:N61</xm:sqref>
        </x14:dataValidation>
        <x14:dataValidation type="list" allowBlank="1" showInputMessage="1" showErrorMessage="1">
          <x14:formula1>
            <xm:f>分支技能!$E$4:$E$16</xm:f>
          </x14:formula1>
          <xm:sqref>N49:N50</xm:sqref>
        </x14:dataValidation>
        <x14:dataValidation type="list" allowBlank="1" showInputMessage="1" showErrorMessage="1">
          <x14:formula1>
            <xm:f>分支技能!$B$4:$B$28</xm:f>
          </x14:formula1>
          <xm:sqref>N6:N7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R29"/>
  <sheetViews>
    <sheetView showGridLines="0" showRowColHeaders="0" workbookViewId="0">
      <selection activeCell="M34" sqref="M34"/>
    </sheetView>
  </sheetViews>
  <sheetFormatPr defaultColWidth="4" defaultRowHeight="17.25" x14ac:dyDescent="0.2"/>
  <cols>
    <col min="1" max="1" width="4" style="7"/>
    <col min="2" max="16384" width="4" style="8"/>
  </cols>
  <sheetData>
    <row r="1" spans="1:44" ht="18" thickBot="1" x14ac:dyDescent="0.25">
      <c r="A1" s="32"/>
      <c r="W1" s="36"/>
      <c r="X1" s="36"/>
      <c r="Y1" s="36"/>
      <c r="Z1" s="36"/>
    </row>
    <row r="2" spans="1:44" x14ac:dyDescent="0.2">
      <c r="A2" s="32">
        <f ca="1">RANDBETWEEN(1,6)</f>
        <v>2</v>
      </c>
      <c r="B2" s="816" t="s">
        <v>67</v>
      </c>
      <c r="C2" s="817"/>
      <c r="D2" s="817"/>
      <c r="E2" s="817"/>
      <c r="F2" s="817"/>
      <c r="G2" s="817"/>
      <c r="H2" s="817"/>
      <c r="I2" s="817"/>
      <c r="J2" s="817"/>
      <c r="K2" s="817"/>
      <c r="L2" s="817"/>
      <c r="M2" s="817"/>
      <c r="N2" s="817"/>
      <c r="O2" s="817"/>
      <c r="P2" s="817"/>
      <c r="Q2" s="817"/>
      <c r="R2" s="817"/>
      <c r="S2" s="818"/>
      <c r="U2" s="836" t="s">
        <v>182</v>
      </c>
      <c r="V2" s="837"/>
      <c r="W2" s="36"/>
      <c r="X2" s="36"/>
      <c r="Y2" s="36"/>
      <c r="Z2" s="36"/>
      <c r="AA2" s="813" t="s">
        <v>181</v>
      </c>
      <c r="AB2" s="814"/>
      <c r="AC2" s="814"/>
      <c r="AD2" s="814"/>
      <c r="AE2" s="814"/>
      <c r="AF2" s="814"/>
      <c r="AG2" s="814"/>
      <c r="AH2" s="814"/>
      <c r="AI2" s="814"/>
      <c r="AJ2" s="814"/>
      <c r="AK2" s="814"/>
      <c r="AL2" s="814"/>
      <c r="AM2" s="814"/>
      <c r="AN2" s="814"/>
      <c r="AO2" s="814"/>
      <c r="AP2" s="814"/>
      <c r="AQ2" s="814"/>
      <c r="AR2" s="815"/>
    </row>
    <row r="3" spans="1:44" ht="17.25" customHeight="1" x14ac:dyDescent="0.2">
      <c r="A3" s="32">
        <f ca="1">RANDBETWEEN(1,6)</f>
        <v>5</v>
      </c>
      <c r="B3" s="819" t="s">
        <v>104</v>
      </c>
      <c r="C3" s="820"/>
      <c r="D3" s="821">
        <f ca="1">SUM(A2:A4)*5</f>
        <v>60</v>
      </c>
      <c r="E3" s="821"/>
      <c r="F3" s="822">
        <f ca="1">INT(D3/2)</f>
        <v>30</v>
      </c>
      <c r="G3" s="822"/>
      <c r="H3" s="823" t="s">
        <v>105</v>
      </c>
      <c r="I3" s="823"/>
      <c r="J3" s="824">
        <f ca="1">SUM(A8:A10)*5</f>
        <v>20</v>
      </c>
      <c r="K3" s="824"/>
      <c r="L3" s="825">
        <f ca="1">INT(J3/2)</f>
        <v>10</v>
      </c>
      <c r="M3" s="825"/>
      <c r="N3" s="820" t="s">
        <v>103</v>
      </c>
      <c r="O3" s="820"/>
      <c r="P3" s="821">
        <f ca="1">SUM(A14:A16)*5</f>
        <v>70</v>
      </c>
      <c r="Q3" s="821"/>
      <c r="R3" s="822">
        <f ca="1">INT(P3/2)</f>
        <v>35</v>
      </c>
      <c r="S3" s="826"/>
      <c r="U3" s="838">
        <f ca="1">SUM(A24:A26)*5</f>
        <v>55</v>
      </c>
      <c r="V3" s="839"/>
      <c r="W3" s="36"/>
      <c r="X3" s="36"/>
      <c r="Y3" s="36"/>
      <c r="Z3" s="36"/>
      <c r="AA3" s="804" t="str">
        <f ca="1">IF(D3&lt;=20,"弱者，虚弱",IF(D3&lt;=40,"手无缚鸡之力",IF(D3&lt;=60,"普通人左右的力量",IF(D3&lt;=80,"搏击手的水准",IF(D3&lt;=90,"一拳一个小朋友")))))</f>
        <v>普通人左右的力量</v>
      </c>
      <c r="AB3" s="800"/>
      <c r="AC3" s="800"/>
      <c r="AD3" s="800"/>
      <c r="AE3" s="800"/>
      <c r="AF3" s="800"/>
      <c r="AG3" s="803" t="str">
        <f ca="1">IF(J3&lt;=20,"无法行动自如",IF(J3&lt;=40,"腿脚不灵活",IF(J3&lt;=60,"普通人水平",IF(J3&lt;=80,"运动健将",IF(J3&lt;=90,"跑得比香港记者还快")))))</f>
        <v>无法行动自如</v>
      </c>
      <c r="AH3" s="803"/>
      <c r="AI3" s="803"/>
      <c r="AJ3" s="803"/>
      <c r="AK3" s="803"/>
      <c r="AL3" s="803"/>
      <c r="AM3" s="800" t="str">
        <f ca="1">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800"/>
      <c r="AO3" s="800"/>
      <c r="AP3" s="800"/>
      <c r="AQ3" s="800"/>
      <c r="AR3" s="801"/>
    </row>
    <row r="4" spans="1:44" ht="18" thickBot="1" x14ac:dyDescent="0.25">
      <c r="A4" s="32">
        <f t="shared" ref="A4:A22" ca="1" si="0">RANDBETWEEN(1,6)</f>
        <v>5</v>
      </c>
      <c r="B4" s="819"/>
      <c r="C4" s="820"/>
      <c r="D4" s="821"/>
      <c r="E4" s="821"/>
      <c r="F4" s="827">
        <f ca="1">INT(D3/5)</f>
        <v>12</v>
      </c>
      <c r="G4" s="827"/>
      <c r="H4" s="823"/>
      <c r="I4" s="823"/>
      <c r="J4" s="824"/>
      <c r="K4" s="824"/>
      <c r="L4" s="825">
        <f ca="1">INT(J3/5)</f>
        <v>4</v>
      </c>
      <c r="M4" s="825"/>
      <c r="N4" s="820"/>
      <c r="O4" s="820"/>
      <c r="P4" s="821"/>
      <c r="Q4" s="821"/>
      <c r="R4" s="822">
        <f ca="1">INT(P3/5)</f>
        <v>14</v>
      </c>
      <c r="S4" s="826"/>
      <c r="U4" s="840"/>
      <c r="V4" s="841"/>
      <c r="W4" s="36"/>
      <c r="X4" s="36"/>
      <c r="Y4" s="36"/>
      <c r="Z4" s="36"/>
      <c r="AA4" s="804"/>
      <c r="AB4" s="800"/>
      <c r="AC4" s="800"/>
      <c r="AD4" s="800"/>
      <c r="AE4" s="800"/>
      <c r="AF4" s="800"/>
      <c r="AG4" s="803"/>
      <c r="AH4" s="803"/>
      <c r="AI4" s="803"/>
      <c r="AJ4" s="803"/>
      <c r="AK4" s="803"/>
      <c r="AL4" s="803"/>
      <c r="AM4" s="800"/>
      <c r="AN4" s="800"/>
      <c r="AO4" s="800"/>
      <c r="AP4" s="800"/>
      <c r="AQ4" s="800"/>
      <c r="AR4" s="801"/>
    </row>
    <row r="5" spans="1:44" ht="18" customHeight="1" thickBot="1" x14ac:dyDescent="0.25">
      <c r="A5" s="32">
        <f t="shared" ca="1" si="0"/>
        <v>3</v>
      </c>
      <c r="B5" s="835" t="s">
        <v>106</v>
      </c>
      <c r="C5" s="823"/>
      <c r="D5" s="824">
        <f ca="1">SUM(A5:A7)*5</f>
        <v>60</v>
      </c>
      <c r="E5" s="824"/>
      <c r="F5" s="825">
        <f ca="1">INT(D5/2)</f>
        <v>30</v>
      </c>
      <c r="G5" s="825"/>
      <c r="H5" s="820" t="s">
        <v>169</v>
      </c>
      <c r="I5" s="820"/>
      <c r="J5" s="824">
        <f ca="1">SUM(A11:A13)*5</f>
        <v>55</v>
      </c>
      <c r="K5" s="824"/>
      <c r="L5" s="822">
        <f ca="1">INT(J5/2)</f>
        <v>27</v>
      </c>
      <c r="M5" s="822"/>
      <c r="N5" s="823" t="s">
        <v>107</v>
      </c>
      <c r="O5" s="823"/>
      <c r="P5" s="824">
        <f ca="1">(SUM(A21:A22)+6)*5</f>
        <v>65</v>
      </c>
      <c r="Q5" s="824"/>
      <c r="R5" s="825">
        <f ca="1">INT(P5/2)</f>
        <v>32</v>
      </c>
      <c r="S5" s="833"/>
      <c r="W5" s="36"/>
      <c r="X5" s="36"/>
      <c r="Y5" s="36"/>
      <c r="Z5" s="36"/>
      <c r="AA5" s="802" t="str">
        <f ca="1">IF(D5&lt;=20,"常年患病在身",IF(D5&lt;=40,"体弱易风寒",IF(D5&lt;=60,"健康",IF(D5&lt;=80,"健硕，基本不会生病",IF(D5&lt;=90,"病痛是什么？能吃吗")))))</f>
        <v>健康</v>
      </c>
      <c r="AB5" s="803"/>
      <c r="AC5" s="803"/>
      <c r="AD5" s="803"/>
      <c r="AE5" s="803"/>
      <c r="AF5" s="803"/>
      <c r="AG5" s="800" t="str">
        <f ca="1">IF(J5&lt;=20,"挫｡估计是因为受伤事故或先天如此",IF(J5&lt;=40,"堪堪入目",IF(J5&lt;=60,"普通至极或些许清秀",IF(J5&lt;=80,"柳眉丹凤，仪表堂堂",IF(J5&lt;=90,"沉鱼落雁，闭月羞花")))))</f>
        <v>普通至极或些许清秀</v>
      </c>
      <c r="AH5" s="800"/>
      <c r="AI5" s="800"/>
      <c r="AJ5" s="800"/>
      <c r="AK5" s="800"/>
      <c r="AL5" s="800"/>
      <c r="AM5" s="803" t="str">
        <f ca="1">IF(P5&lt;=20,"任何方面都没有受过教育",IF(P5&lt;=40,"小学毕业",IF(P5&lt;=60,"高中毕业",IF(P5&lt;=80,"是重点大学的学生，或是普通大学的研究生",IF(P5&lt;=90,"博士学位,教授")))))</f>
        <v>是重点大学的学生，或是普通大学的研究生</v>
      </c>
      <c r="AN5" s="803"/>
      <c r="AO5" s="803"/>
      <c r="AP5" s="803"/>
      <c r="AQ5" s="803"/>
      <c r="AR5" s="808"/>
    </row>
    <row r="6" spans="1:44" x14ac:dyDescent="0.2">
      <c r="A6" s="32">
        <f t="shared" ca="1" si="0"/>
        <v>5</v>
      </c>
      <c r="B6" s="835"/>
      <c r="C6" s="823"/>
      <c r="D6" s="824"/>
      <c r="E6" s="824"/>
      <c r="F6" s="834">
        <f ca="1">INT(D5/5)</f>
        <v>12</v>
      </c>
      <c r="G6" s="834"/>
      <c r="H6" s="820"/>
      <c r="I6" s="820"/>
      <c r="J6" s="824"/>
      <c r="K6" s="824"/>
      <c r="L6" s="822">
        <f ca="1">INT(J5/5)</f>
        <v>11</v>
      </c>
      <c r="M6" s="822"/>
      <c r="N6" s="823"/>
      <c r="O6" s="823"/>
      <c r="P6" s="824"/>
      <c r="Q6" s="824"/>
      <c r="R6" s="825">
        <f ca="1">INT(P5/5)</f>
        <v>13</v>
      </c>
      <c r="S6" s="833"/>
      <c r="U6" s="842" t="s">
        <v>183</v>
      </c>
      <c r="V6" s="843"/>
      <c r="W6" s="36"/>
      <c r="X6" s="36"/>
      <c r="Y6" s="36"/>
      <c r="Z6" s="36"/>
      <c r="AA6" s="802"/>
      <c r="AB6" s="803"/>
      <c r="AC6" s="803"/>
      <c r="AD6" s="803"/>
      <c r="AE6" s="803"/>
      <c r="AF6" s="803"/>
      <c r="AG6" s="800"/>
      <c r="AH6" s="800"/>
      <c r="AI6" s="800"/>
      <c r="AJ6" s="800"/>
      <c r="AK6" s="800"/>
      <c r="AL6" s="800"/>
      <c r="AM6" s="803"/>
      <c r="AN6" s="803"/>
      <c r="AO6" s="803"/>
      <c r="AP6" s="803"/>
      <c r="AQ6" s="803"/>
      <c r="AR6" s="808"/>
    </row>
    <row r="7" spans="1:44" ht="17.25" customHeight="1" x14ac:dyDescent="0.2">
      <c r="A7" s="32">
        <f t="shared" ca="1" si="0"/>
        <v>4</v>
      </c>
      <c r="B7" s="819" t="s">
        <v>108</v>
      </c>
      <c r="C7" s="820"/>
      <c r="D7" s="821">
        <f ca="1">(SUM(A17:A18)+6)*5</f>
        <v>60</v>
      </c>
      <c r="E7" s="821"/>
      <c r="F7" s="822">
        <f ca="1">INT(D7/2)</f>
        <v>30</v>
      </c>
      <c r="G7" s="822"/>
      <c r="H7" s="823" t="s">
        <v>170</v>
      </c>
      <c r="I7" s="823"/>
      <c r="J7" s="824">
        <f ca="1">(SUM(A19:A20)+6)*5</f>
        <v>60</v>
      </c>
      <c r="K7" s="824"/>
      <c r="L7" s="825">
        <f ca="1">INT(J7/2)</f>
        <v>30</v>
      </c>
      <c r="M7" s="825"/>
      <c r="N7" s="849" t="str">
        <f ca="1">"所有属性之和="&amp;SUM(D3:E8,J3:K8,P3:Q6)</f>
        <v>所有属性之和=450</v>
      </c>
      <c r="O7" s="850"/>
      <c r="P7" s="850"/>
      <c r="Q7" s="850"/>
      <c r="R7" s="850"/>
      <c r="S7" s="851"/>
      <c r="U7" s="838">
        <f ca="1">SUM(A27:A29)*5</f>
        <v>65</v>
      </c>
      <c r="V7" s="839"/>
      <c r="W7" s="36"/>
      <c r="X7" s="36"/>
      <c r="Y7" s="36"/>
      <c r="Z7" s="36"/>
      <c r="AA7" s="804" t="str">
        <f ca="1">IF(D7&lt;=20,"孩童，身短体瘦",IF(D7&lt;=40,"乙女身材",IF(D7&lt;=60,"普通身高或偏瘦",IF(D7&lt;=80,"不是高就是胖",IF(D7&lt;=90,"体型堪比姚明")))))</f>
        <v>普通身高或偏瘦</v>
      </c>
      <c r="AB7" s="800"/>
      <c r="AC7" s="800"/>
      <c r="AD7" s="800"/>
      <c r="AE7" s="800"/>
      <c r="AF7" s="800"/>
      <c r="AG7" s="803" t="str">
        <f ca="1">IF(J7&lt;=20,"只能理解最常用的数字",IF(J7&lt;=40,"思维比别人慢一拍",IF(J7&lt;=60,"有着普通人的灵光一现",IF(J7&lt;=80,"可以进行简单的发明",IF(J7&lt;=90,"超凡之脑,可以理解多门语言或法则")))))</f>
        <v>有着普通人的灵光一现</v>
      </c>
      <c r="AH7" s="803"/>
      <c r="AI7" s="803"/>
      <c r="AJ7" s="803"/>
      <c r="AK7" s="803"/>
      <c r="AL7" s="803"/>
      <c r="AM7" s="809" t="str">
        <f ca="1">IF(U3&lt;=20,"克夫克妻",IF(U3&lt;=40,"霉运连连",IF(U3&lt;=60,"命格平庸",IF(U3&lt;=80,"升职加薪顺风顺水",IF(U3&lt;=90,"会被彩票店拒之门外")))))</f>
        <v>命格平庸</v>
      </c>
      <c r="AN7" s="809"/>
      <c r="AO7" s="809"/>
      <c r="AP7" s="809"/>
      <c r="AQ7" s="809"/>
      <c r="AR7" s="810"/>
    </row>
    <row r="8" spans="1:44" ht="18" thickBot="1" x14ac:dyDescent="0.25">
      <c r="A8" s="32">
        <f t="shared" ca="1" si="0"/>
        <v>2</v>
      </c>
      <c r="B8" s="855"/>
      <c r="C8" s="856"/>
      <c r="D8" s="857"/>
      <c r="E8" s="857"/>
      <c r="F8" s="847">
        <f ca="1">INT(D7/5)</f>
        <v>12</v>
      </c>
      <c r="G8" s="847"/>
      <c r="H8" s="858"/>
      <c r="I8" s="858"/>
      <c r="J8" s="831"/>
      <c r="K8" s="831"/>
      <c r="L8" s="848">
        <f ca="1">INT(J7/5)</f>
        <v>12</v>
      </c>
      <c r="M8" s="848"/>
      <c r="N8" s="852"/>
      <c r="O8" s="853"/>
      <c r="P8" s="853"/>
      <c r="Q8" s="853"/>
      <c r="R8" s="853"/>
      <c r="S8" s="854"/>
      <c r="U8" s="840"/>
      <c r="V8" s="841"/>
      <c r="W8" s="36"/>
      <c r="X8" s="36"/>
      <c r="Y8" s="36"/>
      <c r="Z8" s="36"/>
      <c r="AA8" s="805"/>
      <c r="AB8" s="806"/>
      <c r="AC8" s="806"/>
      <c r="AD8" s="806"/>
      <c r="AE8" s="806"/>
      <c r="AF8" s="806"/>
      <c r="AG8" s="807"/>
      <c r="AH8" s="807"/>
      <c r="AI8" s="807"/>
      <c r="AJ8" s="807"/>
      <c r="AK8" s="807"/>
      <c r="AL8" s="807"/>
      <c r="AM8" s="811"/>
      <c r="AN8" s="811"/>
      <c r="AO8" s="811"/>
      <c r="AP8" s="811"/>
      <c r="AQ8" s="811"/>
      <c r="AR8" s="812"/>
    </row>
    <row r="9" spans="1:44" ht="18" thickBot="1" x14ac:dyDescent="0.25">
      <c r="A9" s="32">
        <f t="shared" ca="1" si="0"/>
        <v>1</v>
      </c>
      <c r="W9" s="36"/>
      <c r="X9" s="36"/>
      <c r="Y9" s="36"/>
      <c r="Z9" s="36"/>
    </row>
    <row r="10" spans="1:44" ht="18" thickBot="1" x14ac:dyDescent="0.25">
      <c r="A10" s="32">
        <f t="shared" ca="1" si="0"/>
        <v>1</v>
      </c>
      <c r="B10" s="844" t="s">
        <v>1481</v>
      </c>
      <c r="C10" s="845"/>
      <c r="D10" s="845"/>
      <c r="E10" s="845"/>
      <c r="F10" s="845"/>
      <c r="G10" s="845"/>
      <c r="H10" s="845"/>
      <c r="I10" s="845"/>
      <c r="J10" s="845"/>
      <c r="K10" s="845"/>
      <c r="L10" s="845"/>
      <c r="M10" s="845"/>
      <c r="N10" s="845"/>
      <c r="O10" s="845"/>
      <c r="P10" s="845"/>
      <c r="Q10" s="845"/>
      <c r="R10" s="845"/>
      <c r="S10" s="845"/>
      <c r="T10" s="845"/>
      <c r="U10" s="845"/>
      <c r="V10" s="846"/>
      <c r="W10" s="36"/>
      <c r="X10" s="36"/>
      <c r="Y10" s="36"/>
      <c r="Z10" s="36"/>
    </row>
    <row r="11" spans="1:44" ht="18" thickBot="1" x14ac:dyDescent="0.25">
      <c r="A11" s="32">
        <f t="shared" ca="1" si="0"/>
        <v>6</v>
      </c>
      <c r="W11" s="36"/>
      <c r="X11" s="36"/>
      <c r="Y11" s="36"/>
      <c r="Z11" s="36"/>
    </row>
    <row r="12" spans="1:44" x14ac:dyDescent="0.2">
      <c r="A12" s="32">
        <f t="shared" ca="1" si="0"/>
        <v>1</v>
      </c>
      <c r="B12" s="816" t="s">
        <v>116</v>
      </c>
      <c r="C12" s="817"/>
      <c r="D12" s="817"/>
      <c r="E12" s="817"/>
      <c r="F12" s="817"/>
      <c r="G12" s="817"/>
      <c r="H12" s="817"/>
      <c r="I12" s="817"/>
      <c r="J12" s="817"/>
      <c r="K12" s="817"/>
      <c r="L12" s="817"/>
      <c r="M12" s="817"/>
      <c r="N12" s="817"/>
      <c r="O12" s="817"/>
      <c r="P12" s="817"/>
      <c r="Q12" s="817"/>
      <c r="R12" s="817"/>
      <c r="S12" s="817"/>
      <c r="T12" s="817"/>
      <c r="U12" s="817"/>
      <c r="V12" s="818"/>
      <c r="W12" s="36"/>
      <c r="X12" s="36"/>
      <c r="Y12" s="36"/>
      <c r="Z12" s="36"/>
    </row>
    <row r="13" spans="1:44" x14ac:dyDescent="0.2">
      <c r="A13" s="32">
        <f t="shared" ca="1" si="0"/>
        <v>4</v>
      </c>
      <c r="B13" s="859" t="s">
        <v>117</v>
      </c>
      <c r="C13" s="828"/>
      <c r="D13" s="828"/>
      <c r="E13" s="828" t="s">
        <v>111</v>
      </c>
      <c r="F13" s="828"/>
      <c r="G13" s="828"/>
      <c r="H13" s="828" t="s">
        <v>112</v>
      </c>
      <c r="I13" s="828"/>
      <c r="J13" s="828"/>
      <c r="K13" s="828" t="s">
        <v>118</v>
      </c>
      <c r="L13" s="828"/>
      <c r="M13" s="828"/>
      <c r="N13" s="828" t="s">
        <v>113</v>
      </c>
      <c r="O13" s="828"/>
      <c r="P13" s="828"/>
      <c r="Q13" s="828" t="s">
        <v>115</v>
      </c>
      <c r="R13" s="828"/>
      <c r="S13" s="828"/>
      <c r="T13" s="828" t="s">
        <v>114</v>
      </c>
      <c r="U13" s="828"/>
      <c r="V13" s="829"/>
      <c r="W13" s="36"/>
      <c r="X13" s="36"/>
      <c r="Y13" s="36"/>
      <c r="Z13" s="36"/>
    </row>
    <row r="14" spans="1:44" x14ac:dyDescent="0.2">
      <c r="A14" s="32">
        <f t="shared" ca="1" si="0"/>
        <v>4</v>
      </c>
      <c r="B14" s="860">
        <f ca="1">RANDBETWEEN(1,2)</f>
        <v>2</v>
      </c>
      <c r="C14" s="824"/>
      <c r="D14" s="824"/>
      <c r="E14" s="824">
        <f ca="1">RANDBETWEEN(1,4)</f>
        <v>4</v>
      </c>
      <c r="F14" s="824"/>
      <c r="G14" s="824"/>
      <c r="H14" s="824">
        <f ca="1">RANDBETWEEN(1,6)</f>
        <v>4</v>
      </c>
      <c r="I14" s="824"/>
      <c r="J14" s="824"/>
      <c r="K14" s="824">
        <f ca="1">RANDBETWEEN(1,8)</f>
        <v>3</v>
      </c>
      <c r="L14" s="824"/>
      <c r="M14" s="824"/>
      <c r="N14" s="824">
        <f ca="1">RANDBETWEEN(1,10)</f>
        <v>1</v>
      </c>
      <c r="O14" s="824"/>
      <c r="P14" s="824"/>
      <c r="Q14" s="824">
        <f ca="1">RANDBETWEEN(1,20)</f>
        <v>4</v>
      </c>
      <c r="R14" s="824"/>
      <c r="S14" s="824"/>
      <c r="T14" s="824">
        <f ca="1">RANDBETWEEN(1,100)</f>
        <v>73</v>
      </c>
      <c r="U14" s="824"/>
      <c r="V14" s="830"/>
      <c r="W14" s="36"/>
      <c r="X14" s="36"/>
      <c r="Y14" s="36"/>
      <c r="Z14" s="36"/>
    </row>
    <row r="15" spans="1:44" ht="18" thickBot="1" x14ac:dyDescent="0.25">
      <c r="A15" s="32">
        <f t="shared" ca="1" si="0"/>
        <v>6</v>
      </c>
      <c r="B15" s="861"/>
      <c r="C15" s="831"/>
      <c r="D15" s="831"/>
      <c r="E15" s="831"/>
      <c r="F15" s="831"/>
      <c r="G15" s="831"/>
      <c r="H15" s="831"/>
      <c r="I15" s="831"/>
      <c r="J15" s="831"/>
      <c r="K15" s="831"/>
      <c r="L15" s="831"/>
      <c r="M15" s="831"/>
      <c r="N15" s="831"/>
      <c r="O15" s="831"/>
      <c r="P15" s="831"/>
      <c r="Q15" s="831"/>
      <c r="R15" s="831"/>
      <c r="S15" s="831"/>
      <c r="T15" s="831"/>
      <c r="U15" s="831"/>
      <c r="V15" s="832"/>
      <c r="W15" s="36"/>
      <c r="X15" s="36"/>
      <c r="Y15" s="36"/>
      <c r="Z15" s="36"/>
    </row>
    <row r="16" spans="1:44" x14ac:dyDescent="0.2">
      <c r="A16" s="32">
        <f t="shared" ca="1" si="0"/>
        <v>4</v>
      </c>
      <c r="W16" s="36"/>
      <c r="X16" s="36"/>
      <c r="Y16" s="36"/>
      <c r="Z16" s="36"/>
    </row>
    <row r="17" spans="1:26" x14ac:dyDescent="0.2">
      <c r="A17" s="32">
        <f t="shared" ca="1" si="0"/>
        <v>4</v>
      </c>
      <c r="W17" s="36"/>
      <c r="X17" s="36"/>
      <c r="Y17" s="36"/>
      <c r="Z17" s="36"/>
    </row>
    <row r="18" spans="1:26" x14ac:dyDescent="0.2">
      <c r="A18" s="32">
        <f t="shared" ca="1" si="0"/>
        <v>2</v>
      </c>
      <c r="W18" s="36"/>
      <c r="X18" s="36"/>
      <c r="Y18" s="36"/>
      <c r="Z18" s="36"/>
    </row>
    <row r="19" spans="1:26" x14ac:dyDescent="0.2">
      <c r="A19" s="32">
        <f t="shared" ca="1" si="0"/>
        <v>4</v>
      </c>
    </row>
    <row r="20" spans="1:26" x14ac:dyDescent="0.2">
      <c r="A20" s="32">
        <f t="shared" ca="1" si="0"/>
        <v>2</v>
      </c>
    </row>
    <row r="21" spans="1:26" x14ac:dyDescent="0.2">
      <c r="A21" s="32">
        <f t="shared" ca="1" si="0"/>
        <v>5</v>
      </c>
    </row>
    <row r="22" spans="1:26" x14ac:dyDescent="0.2">
      <c r="A22" s="32">
        <f t="shared" ca="1" si="0"/>
        <v>2</v>
      </c>
    </row>
    <row r="23" spans="1:26" x14ac:dyDescent="0.2">
      <c r="A23" s="32"/>
    </row>
    <row r="24" spans="1:26" x14ac:dyDescent="0.2">
      <c r="A24" s="32">
        <f t="shared" ref="A24:A29" ca="1" si="1">RANDBETWEEN(1,6)</f>
        <v>2</v>
      </c>
    </row>
    <row r="25" spans="1:26" x14ac:dyDescent="0.2">
      <c r="A25" s="32">
        <f t="shared" ca="1" si="1"/>
        <v>3</v>
      </c>
    </row>
    <row r="26" spans="1:26" x14ac:dyDescent="0.2">
      <c r="A26" s="32">
        <f t="shared" ca="1" si="1"/>
        <v>6</v>
      </c>
    </row>
    <row r="27" spans="1:26" x14ac:dyDescent="0.2">
      <c r="A27" s="32">
        <f t="shared" ca="1" si="1"/>
        <v>5</v>
      </c>
    </row>
    <row r="28" spans="1:26" x14ac:dyDescent="0.2">
      <c r="A28" s="32">
        <f t="shared" ca="1" si="1"/>
        <v>3</v>
      </c>
    </row>
    <row r="29" spans="1:26" x14ac:dyDescent="0.2">
      <c r="A29" s="32">
        <f t="shared" ca="1" si="1"/>
        <v>5</v>
      </c>
    </row>
  </sheetData>
  <sheetProtection formatCells="0" selectLockedCells="1"/>
  <customSheetViews>
    <customSheetView guid="{111A6EAC-FF6E-44AB-B5F5-6EDFAC2B64B3}" showGridLines="0" showRowCol="0">
      <selection activeCell="U7" sqref="U7:V8"/>
      <pageMargins left="0.7" right="0.7" top="0.75" bottom="0.75" header="0.3" footer="0.3"/>
      <pageSetup paperSize="9" orientation="portrait" horizontalDpi="1200" verticalDpi="1200" r:id="rId1"/>
    </customSheetView>
  </customSheetViews>
  <mergeCells count="64">
    <mergeCell ref="B14:D15"/>
    <mergeCell ref="E13:G13"/>
    <mergeCell ref="K14:M15"/>
    <mergeCell ref="N13:P13"/>
    <mergeCell ref="N14:P15"/>
    <mergeCell ref="K13:M13"/>
    <mergeCell ref="E14:G15"/>
    <mergeCell ref="H13:J13"/>
    <mergeCell ref="H14:J15"/>
    <mergeCell ref="Q14:S15"/>
    <mergeCell ref="U2:V2"/>
    <mergeCell ref="U3:V4"/>
    <mergeCell ref="U7:V8"/>
    <mergeCell ref="U6:V6"/>
    <mergeCell ref="B10:V10"/>
    <mergeCell ref="L7:M7"/>
    <mergeCell ref="F8:G8"/>
    <mergeCell ref="L8:M8"/>
    <mergeCell ref="N7:S8"/>
    <mergeCell ref="B7:C8"/>
    <mergeCell ref="D7:E8"/>
    <mergeCell ref="F7:G7"/>
    <mergeCell ref="H7:I8"/>
    <mergeCell ref="J7:K8"/>
    <mergeCell ref="B13:D13"/>
    <mergeCell ref="B12:V12"/>
    <mergeCell ref="T13:V13"/>
    <mergeCell ref="T14:V15"/>
    <mergeCell ref="P5:Q6"/>
    <mergeCell ref="R5:S5"/>
    <mergeCell ref="F6:G6"/>
    <mergeCell ref="L6:M6"/>
    <mergeCell ref="R6:S6"/>
    <mergeCell ref="L5:M5"/>
    <mergeCell ref="N5:O6"/>
    <mergeCell ref="B5:C6"/>
    <mergeCell ref="D5:E6"/>
    <mergeCell ref="F5:G5"/>
    <mergeCell ref="H5:I6"/>
    <mergeCell ref="J5:K6"/>
    <mergeCell ref="Q13:S13"/>
    <mergeCell ref="AA2:AR2"/>
    <mergeCell ref="B2:S2"/>
    <mergeCell ref="B3:C4"/>
    <mergeCell ref="D3:E4"/>
    <mergeCell ref="F3:G3"/>
    <mergeCell ref="H3:I4"/>
    <mergeCell ref="J3:K4"/>
    <mergeCell ref="L3:M3"/>
    <mergeCell ref="N3:O4"/>
    <mergeCell ref="P3:Q4"/>
    <mergeCell ref="R3:S3"/>
    <mergeCell ref="R4:S4"/>
    <mergeCell ref="F4:G4"/>
    <mergeCell ref="L4:M4"/>
    <mergeCell ref="AG3:AL4"/>
    <mergeCell ref="AA3:AF4"/>
    <mergeCell ref="AM3:AR4"/>
    <mergeCell ref="AA5:AF6"/>
    <mergeCell ref="AA7:AF8"/>
    <mergeCell ref="AG5:AL6"/>
    <mergeCell ref="AG7:AL8"/>
    <mergeCell ref="AM5:AR6"/>
    <mergeCell ref="AM7:AR8"/>
  </mergeCells>
  <phoneticPr fontId="2" type="noConversion"/>
  <dataValidations xWindow="700" yWindow="294" count="4">
    <dataValidation type="whole" errorStyle="information" operator="lessThanOrEqual" allowBlank="1" showInputMessage="1" showErrorMessage="1" errorTitle="人体极限" error="这些属性的极限值为99。_x000a_除非你的守秘人同意，否则调查员属性不能突破这个上限。" sqref="P3:Q4">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P5:Q6 J3:K8">
      <formula1>99</formula1>
    </dataValidation>
    <dataValidation allowBlank="1" showInputMessage="1" showErrorMessage="1" promptTitle="说明" prompt="角色设定在15-19岁之间时: 决定幸运时掷两次骰子，取较大值" sqref="U6:V6"/>
    <dataValidation allowBlank="1" showInputMessage="1" showErrorMessage="1" promptTitle="提示" prompt="默认选择该幸运" sqref="U3:V4"/>
  </dataValidation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61"/>
  <sheetViews>
    <sheetView showGridLines="0" zoomScaleNormal="100" workbookViewId="0">
      <selection activeCell="D42" sqref="D42"/>
    </sheetView>
  </sheetViews>
  <sheetFormatPr defaultColWidth="8.875" defaultRowHeight="14.25" x14ac:dyDescent="0.2"/>
  <cols>
    <col min="1" max="1" width="3.375" style="35" customWidth="1"/>
    <col min="2" max="2" width="30" style="35" customWidth="1"/>
    <col min="3" max="3" width="12.125" style="35" customWidth="1"/>
    <col min="4" max="4" width="14.75" style="35" customWidth="1"/>
    <col min="5" max="5" width="8.75" style="35" customWidth="1"/>
    <col min="6" max="6" width="4.625" style="35" customWidth="1"/>
    <col min="7" max="7" width="10.75" style="35" customWidth="1"/>
    <col min="8" max="8" width="8" style="35" customWidth="1"/>
    <col min="9" max="9" width="7.75" style="35" customWidth="1"/>
    <col min="10" max="10" width="9.625" style="35" customWidth="1"/>
    <col min="11" max="11" width="12.5" style="14" customWidth="1"/>
    <col min="12" max="16384" width="8.875" style="14"/>
  </cols>
  <sheetData>
    <row r="1" spans="2:11" ht="16.899999999999999" customHeight="1" thickBot="1" x14ac:dyDescent="0.25">
      <c r="B1" s="862" t="s">
        <v>1274</v>
      </c>
      <c r="C1" s="862"/>
      <c r="D1" s="862"/>
      <c r="E1" s="862"/>
      <c r="F1" s="862"/>
      <c r="G1" s="862"/>
      <c r="H1" s="862"/>
      <c r="I1" s="862"/>
      <c r="J1" s="862"/>
      <c r="K1" s="862"/>
    </row>
    <row r="2" spans="2:11" ht="14.25" customHeight="1" x14ac:dyDescent="0.2">
      <c r="B2" s="45" t="s">
        <v>1042</v>
      </c>
      <c r="C2" s="46" t="s">
        <v>1041</v>
      </c>
      <c r="D2" s="46" t="s">
        <v>187</v>
      </c>
      <c r="E2" s="46" t="s">
        <v>491</v>
      </c>
      <c r="F2" s="46" t="s">
        <v>186</v>
      </c>
      <c r="G2" s="46" t="s">
        <v>492</v>
      </c>
      <c r="H2" s="46" t="s">
        <v>185</v>
      </c>
      <c r="I2" s="46" t="s">
        <v>493</v>
      </c>
      <c r="J2" s="46" t="s">
        <v>494</v>
      </c>
      <c r="K2" s="47" t="s">
        <v>495</v>
      </c>
    </row>
    <row r="3" spans="2:11" ht="14.25" customHeight="1" x14ac:dyDescent="0.2">
      <c r="B3" s="48" t="s">
        <v>601</v>
      </c>
      <c r="C3" s="51" t="s">
        <v>1040</v>
      </c>
      <c r="D3" s="54" t="s">
        <v>602</v>
      </c>
      <c r="E3" s="54" t="s">
        <v>603</v>
      </c>
      <c r="F3" s="54" t="s">
        <v>1036</v>
      </c>
      <c r="G3" s="54" t="s">
        <v>604</v>
      </c>
      <c r="H3" s="54" t="s">
        <v>605</v>
      </c>
      <c r="I3" s="54" t="s">
        <v>606</v>
      </c>
      <c r="J3" s="54" t="s">
        <v>607</v>
      </c>
      <c r="K3" s="55" t="s">
        <v>608</v>
      </c>
    </row>
    <row r="4" spans="2:11" ht="14.25" customHeight="1" x14ac:dyDescent="0.2">
      <c r="B4" s="49" t="s">
        <v>609</v>
      </c>
      <c r="C4" s="52" t="s">
        <v>1030</v>
      </c>
      <c r="D4" s="56" t="s">
        <v>610</v>
      </c>
      <c r="E4" s="56" t="s">
        <v>611</v>
      </c>
      <c r="F4" s="56" t="s">
        <v>1036</v>
      </c>
      <c r="G4" s="56" t="s">
        <v>605</v>
      </c>
      <c r="H4" s="56" t="s">
        <v>1007</v>
      </c>
      <c r="I4" s="56" t="s">
        <v>1007</v>
      </c>
      <c r="J4" s="56" t="s">
        <v>607</v>
      </c>
      <c r="K4" s="57" t="s">
        <v>612</v>
      </c>
    </row>
    <row r="5" spans="2:11" ht="14.25" customHeight="1" x14ac:dyDescent="0.2">
      <c r="B5" s="48" t="s">
        <v>613</v>
      </c>
      <c r="C5" s="51" t="s">
        <v>614</v>
      </c>
      <c r="D5" s="54" t="s">
        <v>615</v>
      </c>
      <c r="E5" s="54" t="s">
        <v>616</v>
      </c>
      <c r="F5" s="54" t="s">
        <v>1036</v>
      </c>
      <c r="G5" s="54" t="s">
        <v>605</v>
      </c>
      <c r="H5" s="54" t="s">
        <v>1007</v>
      </c>
      <c r="I5" s="54" t="s">
        <v>1007</v>
      </c>
      <c r="J5" s="54" t="s">
        <v>617</v>
      </c>
      <c r="K5" s="55" t="s">
        <v>618</v>
      </c>
    </row>
    <row r="6" spans="2:11" ht="14.25" customHeight="1" x14ac:dyDescent="0.2">
      <c r="B6" s="49" t="s">
        <v>619</v>
      </c>
      <c r="C6" s="52" t="s">
        <v>1030</v>
      </c>
      <c r="D6" s="56" t="s">
        <v>620</v>
      </c>
      <c r="E6" s="56" t="s">
        <v>611</v>
      </c>
      <c r="F6" s="56" t="s">
        <v>1036</v>
      </c>
      <c r="G6" s="56" t="s">
        <v>605</v>
      </c>
      <c r="H6" s="56" t="s">
        <v>1007</v>
      </c>
      <c r="I6" s="56" t="s">
        <v>1007</v>
      </c>
      <c r="J6" s="56" t="s">
        <v>607</v>
      </c>
      <c r="K6" s="57" t="s">
        <v>621</v>
      </c>
    </row>
    <row r="7" spans="2:11" ht="14.25" customHeight="1" x14ac:dyDescent="0.2">
      <c r="B7" s="48" t="s">
        <v>622</v>
      </c>
      <c r="C7" s="51" t="s">
        <v>622</v>
      </c>
      <c r="D7" s="54" t="s">
        <v>623</v>
      </c>
      <c r="E7" s="54" t="s">
        <v>611</v>
      </c>
      <c r="F7" s="54" t="s">
        <v>624</v>
      </c>
      <c r="G7" s="54" t="s">
        <v>605</v>
      </c>
      <c r="H7" s="54" t="s">
        <v>1007</v>
      </c>
      <c r="I7" s="54" t="s">
        <v>625</v>
      </c>
      <c r="J7" s="54" t="s">
        <v>626</v>
      </c>
      <c r="K7" s="55" t="s">
        <v>1008</v>
      </c>
    </row>
    <row r="8" spans="2:11" ht="14.25" customHeight="1" x14ac:dyDescent="0.2">
      <c r="B8" s="49" t="s">
        <v>627</v>
      </c>
      <c r="C8" s="52" t="s">
        <v>1030</v>
      </c>
      <c r="D8" s="56" t="s">
        <v>628</v>
      </c>
      <c r="E8" s="56" t="s">
        <v>611</v>
      </c>
      <c r="F8" s="56" t="s">
        <v>1036</v>
      </c>
      <c r="G8" s="56" t="s">
        <v>605</v>
      </c>
      <c r="H8" s="56" t="s">
        <v>1007</v>
      </c>
      <c r="I8" s="56" t="s">
        <v>1007</v>
      </c>
      <c r="J8" s="56" t="s">
        <v>607</v>
      </c>
      <c r="K8" s="57" t="s">
        <v>629</v>
      </c>
    </row>
    <row r="9" spans="2:11" ht="14.25" customHeight="1" x14ac:dyDescent="0.2">
      <c r="B9" s="48" t="s">
        <v>630</v>
      </c>
      <c r="C9" s="51" t="s">
        <v>1030</v>
      </c>
      <c r="D9" s="54" t="s">
        <v>628</v>
      </c>
      <c r="E9" s="54" t="s">
        <v>611</v>
      </c>
      <c r="F9" s="54" t="s">
        <v>1036</v>
      </c>
      <c r="G9" s="54" t="s">
        <v>605</v>
      </c>
      <c r="H9" s="54" t="s">
        <v>1007</v>
      </c>
      <c r="I9" s="54" t="s">
        <v>1007</v>
      </c>
      <c r="J9" s="54" t="s">
        <v>607</v>
      </c>
      <c r="K9" s="55" t="s">
        <v>631</v>
      </c>
    </row>
    <row r="10" spans="2:11" ht="14.25" customHeight="1" x14ac:dyDescent="0.2">
      <c r="B10" s="49" t="s">
        <v>632</v>
      </c>
      <c r="C10" s="52" t="s">
        <v>1030</v>
      </c>
      <c r="D10" s="56" t="s">
        <v>633</v>
      </c>
      <c r="E10" s="56" t="s">
        <v>634</v>
      </c>
      <c r="F10" s="56" t="s">
        <v>1036</v>
      </c>
      <c r="G10" s="56" t="s">
        <v>635</v>
      </c>
      <c r="H10" s="56" t="s">
        <v>1007</v>
      </c>
      <c r="I10" s="56" t="s">
        <v>1007</v>
      </c>
      <c r="J10" s="56" t="s">
        <v>636</v>
      </c>
      <c r="K10" s="57" t="s">
        <v>637</v>
      </c>
    </row>
    <row r="11" spans="2:11" ht="14.25" customHeight="1" x14ac:dyDescent="0.2">
      <c r="B11" s="48" t="s">
        <v>638</v>
      </c>
      <c r="C11" s="51" t="s">
        <v>639</v>
      </c>
      <c r="D11" s="54" t="s">
        <v>640</v>
      </c>
      <c r="E11" s="54" t="s">
        <v>641</v>
      </c>
      <c r="F11" s="54" t="s">
        <v>624</v>
      </c>
      <c r="G11" s="54" t="s">
        <v>642</v>
      </c>
      <c r="H11" s="54" t="s">
        <v>605</v>
      </c>
      <c r="I11" s="54" t="s">
        <v>643</v>
      </c>
      <c r="J11" s="54" t="s">
        <v>607</v>
      </c>
      <c r="K11" s="55" t="s">
        <v>644</v>
      </c>
    </row>
    <row r="12" spans="2:11" ht="14.25" customHeight="1" x14ac:dyDescent="0.2">
      <c r="B12" s="49" t="s">
        <v>645</v>
      </c>
      <c r="C12" s="52" t="s">
        <v>645</v>
      </c>
      <c r="D12" s="56" t="s">
        <v>633</v>
      </c>
      <c r="E12" s="56" t="s">
        <v>611</v>
      </c>
      <c r="F12" s="56" t="s">
        <v>624</v>
      </c>
      <c r="G12" s="56" t="s">
        <v>605</v>
      </c>
      <c r="H12" s="56" t="s">
        <v>1007</v>
      </c>
      <c r="I12" s="56" t="s">
        <v>1007</v>
      </c>
      <c r="J12" s="56" t="s">
        <v>607</v>
      </c>
      <c r="K12" s="57" t="s">
        <v>646</v>
      </c>
    </row>
    <row r="13" spans="2:11" ht="14.25" customHeight="1" x14ac:dyDescent="0.2">
      <c r="B13" s="48" t="s">
        <v>647</v>
      </c>
      <c r="C13" s="51" t="s">
        <v>648</v>
      </c>
      <c r="D13" s="54" t="s">
        <v>649</v>
      </c>
      <c r="E13" s="54" t="s">
        <v>611</v>
      </c>
      <c r="F13" s="54" t="s">
        <v>624</v>
      </c>
      <c r="G13" s="54" t="s">
        <v>605</v>
      </c>
      <c r="H13" s="54" t="s">
        <v>1007</v>
      </c>
      <c r="I13" s="54" t="s">
        <v>1007</v>
      </c>
      <c r="J13" s="54" t="s">
        <v>607</v>
      </c>
      <c r="K13" s="55" t="s">
        <v>650</v>
      </c>
    </row>
    <row r="14" spans="2:11" ht="14.25" customHeight="1" x14ac:dyDescent="0.2">
      <c r="B14" s="49" t="s">
        <v>651</v>
      </c>
      <c r="C14" s="52" t="s">
        <v>1030</v>
      </c>
      <c r="D14" s="56" t="s">
        <v>628</v>
      </c>
      <c r="E14" s="56" t="s">
        <v>611</v>
      </c>
      <c r="F14" s="56" t="s">
        <v>624</v>
      </c>
      <c r="G14" s="56" t="s">
        <v>605</v>
      </c>
      <c r="H14" s="56" t="s">
        <v>1007</v>
      </c>
      <c r="I14" s="56" t="s">
        <v>1007</v>
      </c>
      <c r="J14" s="56" t="s">
        <v>607</v>
      </c>
      <c r="K14" s="57" t="s">
        <v>652</v>
      </c>
    </row>
    <row r="15" spans="2:11" ht="14.25" customHeight="1" x14ac:dyDescent="0.2">
      <c r="B15" s="48" t="s">
        <v>653</v>
      </c>
      <c r="C15" s="51" t="s">
        <v>1030</v>
      </c>
      <c r="D15" s="54" t="s">
        <v>654</v>
      </c>
      <c r="E15" s="54" t="s">
        <v>611</v>
      </c>
      <c r="F15" s="54" t="s">
        <v>624</v>
      </c>
      <c r="G15" s="54" t="s">
        <v>605</v>
      </c>
      <c r="H15" s="54" t="s">
        <v>1007</v>
      </c>
      <c r="I15" s="54" t="s">
        <v>1007</v>
      </c>
      <c r="J15" s="54" t="s">
        <v>607</v>
      </c>
      <c r="K15" s="55" t="s">
        <v>629</v>
      </c>
    </row>
    <row r="16" spans="2:11" ht="14.25" customHeight="1" x14ac:dyDescent="0.2">
      <c r="B16" s="49" t="s">
        <v>655</v>
      </c>
      <c r="C16" s="52" t="s">
        <v>1030</v>
      </c>
      <c r="D16" s="56" t="s">
        <v>656</v>
      </c>
      <c r="E16" s="56" t="s">
        <v>611</v>
      </c>
      <c r="F16" s="56" t="s">
        <v>624</v>
      </c>
      <c r="G16" s="56" t="s">
        <v>605</v>
      </c>
      <c r="H16" s="56" t="s">
        <v>1007</v>
      </c>
      <c r="I16" s="56" t="s">
        <v>1007</v>
      </c>
      <c r="J16" s="56" t="s">
        <v>607</v>
      </c>
      <c r="K16" s="57" t="s">
        <v>657</v>
      </c>
    </row>
    <row r="17" spans="2:11" ht="14.25" customHeight="1" x14ac:dyDescent="0.2">
      <c r="B17" s="48" t="s">
        <v>658</v>
      </c>
      <c r="C17" s="51" t="s">
        <v>1030</v>
      </c>
      <c r="D17" s="54" t="s">
        <v>659</v>
      </c>
      <c r="E17" s="54" t="s">
        <v>611</v>
      </c>
      <c r="F17" s="54" t="s">
        <v>1036</v>
      </c>
      <c r="G17" s="54" t="s">
        <v>605</v>
      </c>
      <c r="H17" s="54" t="s">
        <v>1007</v>
      </c>
      <c r="I17" s="54" t="s">
        <v>625</v>
      </c>
      <c r="J17" s="54" t="s">
        <v>626</v>
      </c>
      <c r="K17" s="55" t="s">
        <v>1007</v>
      </c>
    </row>
    <row r="18" spans="2:11" ht="14.25" customHeight="1" x14ac:dyDescent="0.2">
      <c r="B18" s="49" t="s">
        <v>660</v>
      </c>
      <c r="C18" s="52" t="s">
        <v>1030</v>
      </c>
      <c r="D18" s="56" t="s">
        <v>661</v>
      </c>
      <c r="E18" s="56" t="s">
        <v>662</v>
      </c>
      <c r="F18" s="56" t="s">
        <v>1036</v>
      </c>
      <c r="G18" s="56" t="s">
        <v>605</v>
      </c>
      <c r="H18" s="56" t="s">
        <v>663</v>
      </c>
      <c r="I18" s="56" t="s">
        <v>625</v>
      </c>
      <c r="J18" s="56" t="s">
        <v>607</v>
      </c>
      <c r="K18" s="57" t="s">
        <v>1009</v>
      </c>
    </row>
    <row r="19" spans="2:11" ht="14.25" customHeight="1" x14ac:dyDescent="0.2">
      <c r="B19" s="48" t="s">
        <v>664</v>
      </c>
      <c r="C19" s="51" t="s">
        <v>665</v>
      </c>
      <c r="D19" s="54" t="s">
        <v>628</v>
      </c>
      <c r="E19" s="54" t="s">
        <v>611</v>
      </c>
      <c r="F19" s="54" t="s">
        <v>1036</v>
      </c>
      <c r="G19" s="54" t="s">
        <v>605</v>
      </c>
      <c r="H19" s="54" t="s">
        <v>1007</v>
      </c>
      <c r="I19" s="54" t="s">
        <v>1007</v>
      </c>
      <c r="J19" s="54" t="s">
        <v>607</v>
      </c>
      <c r="K19" s="55" t="s">
        <v>612</v>
      </c>
    </row>
    <row r="20" spans="2:11" ht="14.25" customHeight="1" x14ac:dyDescent="0.2">
      <c r="B20" s="49" t="s">
        <v>666</v>
      </c>
      <c r="C20" s="52" t="s">
        <v>667</v>
      </c>
      <c r="D20" s="56" t="s">
        <v>668</v>
      </c>
      <c r="E20" s="56" t="s">
        <v>669</v>
      </c>
      <c r="F20" s="56" t="s">
        <v>1036</v>
      </c>
      <c r="G20" s="56" t="s">
        <v>605</v>
      </c>
      <c r="H20" s="56" t="s">
        <v>1007</v>
      </c>
      <c r="I20" s="56" t="s">
        <v>1007</v>
      </c>
      <c r="J20" s="56" t="s">
        <v>607</v>
      </c>
      <c r="K20" s="57" t="s">
        <v>1007</v>
      </c>
    </row>
    <row r="21" spans="2:11" ht="14.25" customHeight="1" x14ac:dyDescent="0.2">
      <c r="B21" s="48" t="s">
        <v>670</v>
      </c>
      <c r="C21" s="51" t="s">
        <v>667</v>
      </c>
      <c r="D21" s="54" t="s">
        <v>615</v>
      </c>
      <c r="E21" s="54" t="s">
        <v>671</v>
      </c>
      <c r="F21" s="54" t="s">
        <v>624</v>
      </c>
      <c r="G21" s="54" t="s">
        <v>672</v>
      </c>
      <c r="H21" s="54" t="s">
        <v>673</v>
      </c>
      <c r="I21" s="54" t="s">
        <v>674</v>
      </c>
      <c r="J21" s="54" t="s">
        <v>607</v>
      </c>
      <c r="K21" s="55" t="s">
        <v>646</v>
      </c>
    </row>
    <row r="22" spans="2:11" ht="14.25" customHeight="1" x14ac:dyDescent="0.2">
      <c r="B22" s="49" t="s">
        <v>675</v>
      </c>
      <c r="C22" s="52" t="s">
        <v>676</v>
      </c>
      <c r="D22" s="56" t="s">
        <v>677</v>
      </c>
      <c r="E22" s="56" t="s">
        <v>611</v>
      </c>
      <c r="F22" s="56" t="s">
        <v>624</v>
      </c>
      <c r="G22" s="56" t="s">
        <v>605</v>
      </c>
      <c r="H22" s="56" t="s">
        <v>1007</v>
      </c>
      <c r="I22" s="56" t="s">
        <v>1007</v>
      </c>
      <c r="J22" s="56" t="s">
        <v>607</v>
      </c>
      <c r="K22" s="57" t="s">
        <v>678</v>
      </c>
    </row>
    <row r="23" spans="2:11" ht="14.25" customHeight="1" x14ac:dyDescent="0.2">
      <c r="B23" s="48" t="s">
        <v>679</v>
      </c>
      <c r="C23" s="51" t="s">
        <v>667</v>
      </c>
      <c r="D23" s="54" t="s">
        <v>680</v>
      </c>
      <c r="E23" s="54" t="s">
        <v>681</v>
      </c>
      <c r="F23" s="54" t="s">
        <v>624</v>
      </c>
      <c r="G23" s="54" t="s">
        <v>605</v>
      </c>
      <c r="H23" s="54" t="s">
        <v>1007</v>
      </c>
      <c r="I23" s="54" t="s">
        <v>1007</v>
      </c>
      <c r="J23" s="54" t="s">
        <v>682</v>
      </c>
      <c r="K23" s="55" t="s">
        <v>683</v>
      </c>
    </row>
    <row r="24" spans="2:11" ht="14.25" customHeight="1" x14ac:dyDescent="0.2">
      <c r="B24" s="49" t="s">
        <v>684</v>
      </c>
      <c r="C24" s="52" t="s">
        <v>685</v>
      </c>
      <c r="D24" s="56" t="s">
        <v>686</v>
      </c>
      <c r="E24" s="56" t="s">
        <v>611</v>
      </c>
      <c r="F24" s="56" t="s">
        <v>1036</v>
      </c>
      <c r="G24" s="56" t="s">
        <v>605</v>
      </c>
      <c r="H24" s="56" t="s">
        <v>1007</v>
      </c>
      <c r="I24" s="56" t="s">
        <v>1007</v>
      </c>
      <c r="J24" s="56" t="s">
        <v>607</v>
      </c>
      <c r="K24" s="57" t="s">
        <v>687</v>
      </c>
    </row>
    <row r="25" spans="2:11" ht="14.25" customHeight="1" x14ac:dyDescent="0.2">
      <c r="B25" s="48" t="s">
        <v>688</v>
      </c>
      <c r="C25" s="51" t="s">
        <v>685</v>
      </c>
      <c r="D25" s="54" t="s">
        <v>649</v>
      </c>
      <c r="E25" s="54" t="s">
        <v>611</v>
      </c>
      <c r="F25" s="54" t="s">
        <v>624</v>
      </c>
      <c r="G25" s="54" t="s">
        <v>605</v>
      </c>
      <c r="H25" s="54" t="s">
        <v>1007</v>
      </c>
      <c r="I25" s="54" t="s">
        <v>1007</v>
      </c>
      <c r="J25" s="54" t="s">
        <v>607</v>
      </c>
      <c r="K25" s="55" t="s">
        <v>689</v>
      </c>
    </row>
    <row r="26" spans="2:11" ht="14.25" customHeight="1" x14ac:dyDescent="0.2">
      <c r="B26" s="49" t="s">
        <v>690</v>
      </c>
      <c r="C26" s="52" t="s">
        <v>685</v>
      </c>
      <c r="D26" s="56" t="s">
        <v>633</v>
      </c>
      <c r="E26" s="56" t="s">
        <v>611</v>
      </c>
      <c r="F26" s="56" t="s">
        <v>624</v>
      </c>
      <c r="G26" s="56" t="s">
        <v>605</v>
      </c>
      <c r="H26" s="56" t="s">
        <v>1007</v>
      </c>
      <c r="I26" s="56" t="s">
        <v>1007</v>
      </c>
      <c r="J26" s="56" t="s">
        <v>607</v>
      </c>
      <c r="K26" s="57" t="s">
        <v>691</v>
      </c>
    </row>
    <row r="27" spans="2:11" ht="14.25" customHeight="1" x14ac:dyDescent="0.2">
      <c r="B27" s="48" t="s">
        <v>692</v>
      </c>
      <c r="C27" s="51" t="s">
        <v>1030</v>
      </c>
      <c r="D27" s="54" t="s">
        <v>693</v>
      </c>
      <c r="E27" s="54" t="s">
        <v>611</v>
      </c>
      <c r="F27" s="54" t="s">
        <v>1036</v>
      </c>
      <c r="G27" s="54" t="s">
        <v>605</v>
      </c>
      <c r="H27" s="54" t="s">
        <v>694</v>
      </c>
      <c r="I27" s="54" t="s">
        <v>606</v>
      </c>
      <c r="J27" s="54" t="s">
        <v>626</v>
      </c>
      <c r="K27" s="55" t="s">
        <v>1010</v>
      </c>
    </row>
    <row r="28" spans="2:11" ht="14.25" customHeight="1" x14ac:dyDescent="0.2">
      <c r="B28" s="49" t="s">
        <v>695</v>
      </c>
      <c r="C28" s="52" t="s">
        <v>1044</v>
      </c>
      <c r="D28" s="56" t="s">
        <v>693</v>
      </c>
      <c r="E28" s="56" t="s">
        <v>696</v>
      </c>
      <c r="F28" s="56" t="s">
        <v>1036</v>
      </c>
      <c r="G28" s="56" t="s">
        <v>605</v>
      </c>
      <c r="H28" s="56" t="s">
        <v>697</v>
      </c>
      <c r="I28" s="56" t="s">
        <v>625</v>
      </c>
      <c r="J28" s="56" t="s">
        <v>626</v>
      </c>
      <c r="K28" s="57" t="s">
        <v>1011</v>
      </c>
    </row>
    <row r="29" spans="2:11" ht="14.25" customHeight="1" x14ac:dyDescent="0.2">
      <c r="B29" s="48" t="s">
        <v>698</v>
      </c>
      <c r="C29" s="51" t="s">
        <v>667</v>
      </c>
      <c r="D29" s="54" t="s">
        <v>680</v>
      </c>
      <c r="E29" s="54" t="s">
        <v>671</v>
      </c>
      <c r="F29" s="54" t="s">
        <v>1036</v>
      </c>
      <c r="G29" s="54" t="s">
        <v>605</v>
      </c>
      <c r="H29" s="54" t="s">
        <v>1007</v>
      </c>
      <c r="I29" s="54" t="s">
        <v>1007</v>
      </c>
      <c r="J29" s="54" t="s">
        <v>682</v>
      </c>
      <c r="K29" s="55" t="s">
        <v>699</v>
      </c>
    </row>
    <row r="30" spans="2:11" ht="14.25" customHeight="1" x14ac:dyDescent="0.2">
      <c r="B30" s="49" t="s">
        <v>700</v>
      </c>
      <c r="C30" s="52" t="s">
        <v>648</v>
      </c>
      <c r="D30" s="56" t="s">
        <v>701</v>
      </c>
      <c r="E30" s="56" t="s">
        <v>611</v>
      </c>
      <c r="F30" s="56" t="s">
        <v>624</v>
      </c>
      <c r="G30" s="56" t="s">
        <v>605</v>
      </c>
      <c r="H30" s="56" t="s">
        <v>1007</v>
      </c>
      <c r="I30" s="56" t="s">
        <v>1007</v>
      </c>
      <c r="J30" s="56" t="s">
        <v>607</v>
      </c>
      <c r="K30" s="57" t="s">
        <v>702</v>
      </c>
    </row>
    <row r="31" spans="2:11" ht="14.25" customHeight="1" x14ac:dyDescent="0.2">
      <c r="B31" s="48" t="s">
        <v>703</v>
      </c>
      <c r="C31" s="51" t="s">
        <v>1044</v>
      </c>
      <c r="D31" s="54" t="s">
        <v>704</v>
      </c>
      <c r="E31" s="54" t="s">
        <v>705</v>
      </c>
      <c r="F31" s="54" t="s">
        <v>624</v>
      </c>
      <c r="G31" s="54" t="s">
        <v>706</v>
      </c>
      <c r="H31" s="54" t="s">
        <v>605</v>
      </c>
      <c r="I31" s="54" t="s">
        <v>625</v>
      </c>
      <c r="J31" s="54" t="s">
        <v>682</v>
      </c>
      <c r="K31" s="55" t="s">
        <v>707</v>
      </c>
    </row>
    <row r="32" spans="2:11" ht="14.25" customHeight="1" x14ac:dyDescent="0.2">
      <c r="B32" s="49" t="s">
        <v>1045</v>
      </c>
      <c r="C32" s="52" t="s">
        <v>1044</v>
      </c>
      <c r="D32" s="56" t="s">
        <v>708</v>
      </c>
      <c r="E32" s="56" t="s">
        <v>705</v>
      </c>
      <c r="F32" s="56" t="s">
        <v>624</v>
      </c>
      <c r="G32" s="56" t="s">
        <v>709</v>
      </c>
      <c r="H32" s="56" t="s">
        <v>710</v>
      </c>
      <c r="I32" s="56" t="s">
        <v>674</v>
      </c>
      <c r="J32" s="56" t="s">
        <v>607</v>
      </c>
      <c r="K32" s="57" t="s">
        <v>711</v>
      </c>
    </row>
    <row r="33" spans="2:14" ht="14.25" customHeight="1" x14ac:dyDescent="0.2">
      <c r="B33" s="48" t="s">
        <v>1046</v>
      </c>
      <c r="C33" s="51" t="s">
        <v>1044</v>
      </c>
      <c r="D33" s="54" t="s">
        <v>708</v>
      </c>
      <c r="E33" s="54" t="s">
        <v>697</v>
      </c>
      <c r="F33" s="54" t="s">
        <v>624</v>
      </c>
      <c r="G33" s="54" t="s">
        <v>605</v>
      </c>
      <c r="H33" s="54" t="s">
        <v>605</v>
      </c>
      <c r="I33" s="54" t="s">
        <v>674</v>
      </c>
      <c r="J33" s="54" t="s">
        <v>617</v>
      </c>
      <c r="K33" s="55" t="s">
        <v>712</v>
      </c>
    </row>
    <row r="34" spans="2:14" ht="14.25" customHeight="1" x14ac:dyDescent="0.2">
      <c r="B34" s="49" t="s">
        <v>1047</v>
      </c>
      <c r="C34" s="52" t="s">
        <v>1044</v>
      </c>
      <c r="D34" s="56" t="s">
        <v>713</v>
      </c>
      <c r="E34" s="56" t="s">
        <v>714</v>
      </c>
      <c r="F34" s="56" t="s">
        <v>624</v>
      </c>
      <c r="G34" s="56" t="s">
        <v>709</v>
      </c>
      <c r="H34" s="56" t="s">
        <v>710</v>
      </c>
      <c r="I34" s="56" t="s">
        <v>674</v>
      </c>
      <c r="J34" s="56" t="s">
        <v>607</v>
      </c>
      <c r="K34" s="57" t="s">
        <v>715</v>
      </c>
    </row>
    <row r="35" spans="2:14" ht="14.25" customHeight="1" x14ac:dyDescent="0.2">
      <c r="B35" s="48" t="s">
        <v>1048</v>
      </c>
      <c r="C35" s="51" t="s">
        <v>1044</v>
      </c>
      <c r="D35" s="54" t="s">
        <v>713</v>
      </c>
      <c r="E35" s="54" t="s">
        <v>714</v>
      </c>
      <c r="F35" s="54" t="s">
        <v>624</v>
      </c>
      <c r="G35" s="54" t="s">
        <v>709</v>
      </c>
      <c r="H35" s="54" t="s">
        <v>716</v>
      </c>
      <c r="I35" s="54" t="s">
        <v>717</v>
      </c>
      <c r="J35" s="54" t="s">
        <v>607</v>
      </c>
      <c r="K35" s="55" t="s">
        <v>718</v>
      </c>
    </row>
    <row r="36" spans="2:14" ht="14.25" customHeight="1" x14ac:dyDescent="0.2">
      <c r="B36" s="49" t="s">
        <v>1049</v>
      </c>
      <c r="C36" s="52" t="s">
        <v>1044</v>
      </c>
      <c r="D36" s="56" t="s">
        <v>719</v>
      </c>
      <c r="E36" s="56" t="s">
        <v>714</v>
      </c>
      <c r="F36" s="56" t="s">
        <v>624</v>
      </c>
      <c r="G36" s="56" t="s">
        <v>709</v>
      </c>
      <c r="H36" s="56" t="s">
        <v>710</v>
      </c>
      <c r="I36" s="56" t="s">
        <v>674</v>
      </c>
      <c r="J36" s="56" t="s">
        <v>626</v>
      </c>
      <c r="K36" s="57" t="s">
        <v>720</v>
      </c>
    </row>
    <row r="37" spans="2:14" ht="14.25" customHeight="1" x14ac:dyDescent="0.2">
      <c r="B37" s="48" t="s">
        <v>1050</v>
      </c>
      <c r="C37" s="51" t="s">
        <v>1044</v>
      </c>
      <c r="D37" s="54" t="s">
        <v>721</v>
      </c>
      <c r="E37" s="54" t="s">
        <v>714</v>
      </c>
      <c r="F37" s="54" t="s">
        <v>624</v>
      </c>
      <c r="G37" s="54" t="s">
        <v>709</v>
      </c>
      <c r="H37" s="54" t="s">
        <v>710</v>
      </c>
      <c r="I37" s="54" t="s">
        <v>674</v>
      </c>
      <c r="J37" s="54" t="s">
        <v>607</v>
      </c>
      <c r="K37" s="55" t="s">
        <v>722</v>
      </c>
    </row>
    <row r="38" spans="2:14" ht="14.25" customHeight="1" x14ac:dyDescent="0.2">
      <c r="B38" s="49" t="s">
        <v>1051</v>
      </c>
      <c r="C38" s="52" t="s">
        <v>1044</v>
      </c>
      <c r="D38" s="56" t="s">
        <v>721</v>
      </c>
      <c r="E38" s="56" t="s">
        <v>714</v>
      </c>
      <c r="F38" s="56" t="s">
        <v>624</v>
      </c>
      <c r="G38" s="56" t="s">
        <v>709</v>
      </c>
      <c r="H38" s="56" t="s">
        <v>716</v>
      </c>
      <c r="I38" s="56" t="s">
        <v>717</v>
      </c>
      <c r="J38" s="56" t="s">
        <v>607</v>
      </c>
      <c r="K38" s="57" t="s">
        <v>723</v>
      </c>
      <c r="L38" s="43"/>
      <c r="M38" s="43"/>
      <c r="N38" s="43"/>
    </row>
    <row r="39" spans="2:14" ht="14.25" customHeight="1" x14ac:dyDescent="0.2">
      <c r="B39" s="48" t="s">
        <v>724</v>
      </c>
      <c r="C39" s="51" t="s">
        <v>1044</v>
      </c>
      <c r="D39" s="54" t="s">
        <v>721</v>
      </c>
      <c r="E39" s="54" t="s">
        <v>714</v>
      </c>
      <c r="F39" s="54" t="s">
        <v>624</v>
      </c>
      <c r="G39" s="54" t="s">
        <v>709</v>
      </c>
      <c r="H39" s="54" t="s">
        <v>714</v>
      </c>
      <c r="I39" s="54" t="s">
        <v>725</v>
      </c>
      <c r="J39" s="54" t="s">
        <v>626</v>
      </c>
      <c r="K39" s="55" t="s">
        <v>1012</v>
      </c>
      <c r="L39" s="44"/>
      <c r="M39" s="44"/>
      <c r="N39" s="44"/>
    </row>
    <row r="40" spans="2:14" ht="14.25" customHeight="1" x14ac:dyDescent="0.2">
      <c r="B40" s="49" t="s">
        <v>1052</v>
      </c>
      <c r="C40" s="52" t="s">
        <v>1044</v>
      </c>
      <c r="D40" s="56" t="s">
        <v>721</v>
      </c>
      <c r="E40" s="56" t="s">
        <v>714</v>
      </c>
      <c r="F40" s="56" t="s">
        <v>624</v>
      </c>
      <c r="G40" s="56" t="s">
        <v>709</v>
      </c>
      <c r="H40" s="56" t="s">
        <v>726</v>
      </c>
      <c r="I40" s="56" t="s">
        <v>725</v>
      </c>
      <c r="J40" s="56" t="s">
        <v>626</v>
      </c>
      <c r="K40" s="57" t="s">
        <v>1012</v>
      </c>
    </row>
    <row r="41" spans="2:14" ht="14.25" customHeight="1" x14ac:dyDescent="0.2">
      <c r="B41" s="48" t="s">
        <v>727</v>
      </c>
      <c r="C41" s="51" t="s">
        <v>1044</v>
      </c>
      <c r="D41" s="54" t="s">
        <v>721</v>
      </c>
      <c r="E41" s="54" t="s">
        <v>714</v>
      </c>
      <c r="F41" s="54" t="s">
        <v>624</v>
      </c>
      <c r="G41" s="54" t="s">
        <v>709</v>
      </c>
      <c r="H41" s="54" t="s">
        <v>716</v>
      </c>
      <c r="I41" s="54" t="s">
        <v>717</v>
      </c>
      <c r="J41" s="54" t="s">
        <v>607</v>
      </c>
      <c r="K41" s="55" t="s">
        <v>728</v>
      </c>
    </row>
    <row r="42" spans="2:14" ht="14.25" customHeight="1" x14ac:dyDescent="0.2">
      <c r="B42" s="49" t="s">
        <v>1053</v>
      </c>
      <c r="C42" s="52" t="s">
        <v>1044</v>
      </c>
      <c r="D42" s="56" t="s">
        <v>721</v>
      </c>
      <c r="E42" s="56" t="s">
        <v>714</v>
      </c>
      <c r="F42" s="56" t="s">
        <v>624</v>
      </c>
      <c r="G42" s="56" t="s">
        <v>709</v>
      </c>
      <c r="H42" s="56" t="s">
        <v>716</v>
      </c>
      <c r="I42" s="56" t="s">
        <v>674</v>
      </c>
      <c r="J42" s="56" t="s">
        <v>729</v>
      </c>
      <c r="K42" s="57" t="s">
        <v>1013</v>
      </c>
    </row>
    <row r="43" spans="2:14" ht="14.25" customHeight="1" x14ac:dyDescent="0.2">
      <c r="B43" s="48" t="s">
        <v>1054</v>
      </c>
      <c r="C43" s="51" t="s">
        <v>1044</v>
      </c>
      <c r="D43" s="54" t="s">
        <v>730</v>
      </c>
      <c r="E43" s="54" t="s">
        <v>714</v>
      </c>
      <c r="F43" s="54" t="s">
        <v>624</v>
      </c>
      <c r="G43" s="54" t="s">
        <v>709</v>
      </c>
      <c r="H43" s="54" t="s">
        <v>710</v>
      </c>
      <c r="I43" s="54" t="s">
        <v>674</v>
      </c>
      <c r="J43" s="54" t="s">
        <v>626</v>
      </c>
      <c r="K43" s="55" t="s">
        <v>731</v>
      </c>
    </row>
    <row r="44" spans="2:14" ht="14.25" customHeight="1" x14ac:dyDescent="0.2">
      <c r="B44" s="49" t="s">
        <v>1043</v>
      </c>
      <c r="C44" s="52" t="s">
        <v>1044</v>
      </c>
      <c r="D44" s="56" t="s">
        <v>732</v>
      </c>
      <c r="E44" s="56" t="s">
        <v>714</v>
      </c>
      <c r="F44" s="56" t="s">
        <v>624</v>
      </c>
      <c r="G44" s="56" t="s">
        <v>709</v>
      </c>
      <c r="H44" s="56" t="s">
        <v>710</v>
      </c>
      <c r="I44" s="56" t="s">
        <v>674</v>
      </c>
      <c r="J44" s="56" t="s">
        <v>607</v>
      </c>
      <c r="K44" s="57" t="s">
        <v>707</v>
      </c>
    </row>
    <row r="45" spans="2:14" ht="14.25" customHeight="1" x14ac:dyDescent="0.2">
      <c r="B45" s="48" t="s">
        <v>1055</v>
      </c>
      <c r="C45" s="51" t="s">
        <v>1044</v>
      </c>
      <c r="D45" s="54" t="s">
        <v>732</v>
      </c>
      <c r="E45" s="54" t="s">
        <v>714</v>
      </c>
      <c r="F45" s="54" t="s">
        <v>624</v>
      </c>
      <c r="G45" s="54" t="s">
        <v>709</v>
      </c>
      <c r="H45" s="54" t="s">
        <v>733</v>
      </c>
      <c r="I45" s="54" t="s">
        <v>674</v>
      </c>
      <c r="J45" s="54" t="s">
        <v>607</v>
      </c>
      <c r="K45" s="55" t="s">
        <v>734</v>
      </c>
    </row>
    <row r="46" spans="2:14" ht="14.25" customHeight="1" x14ac:dyDescent="0.2">
      <c r="B46" s="49" t="s">
        <v>735</v>
      </c>
      <c r="C46" s="52" t="s">
        <v>1044</v>
      </c>
      <c r="D46" s="56" t="s">
        <v>736</v>
      </c>
      <c r="E46" s="56" t="s">
        <v>737</v>
      </c>
      <c r="F46" s="56" t="s">
        <v>738</v>
      </c>
      <c r="G46" s="56" t="s">
        <v>739</v>
      </c>
      <c r="H46" s="56" t="s">
        <v>740</v>
      </c>
      <c r="I46" s="56" t="s">
        <v>741</v>
      </c>
      <c r="J46" s="56" t="s">
        <v>742</v>
      </c>
      <c r="K46" s="57" t="s">
        <v>1014</v>
      </c>
    </row>
    <row r="47" spans="2:14" ht="14.25" customHeight="1" x14ac:dyDescent="0.2">
      <c r="B47" s="48" t="s">
        <v>743</v>
      </c>
      <c r="C47" s="51" t="s">
        <v>744</v>
      </c>
      <c r="D47" s="54" t="s">
        <v>745</v>
      </c>
      <c r="E47" s="54" t="s">
        <v>746</v>
      </c>
      <c r="F47" s="54" t="s">
        <v>738</v>
      </c>
      <c r="G47" s="54" t="s">
        <v>747</v>
      </c>
      <c r="H47" s="54" t="s">
        <v>635</v>
      </c>
      <c r="I47" s="54" t="s">
        <v>748</v>
      </c>
      <c r="J47" s="54" t="s">
        <v>749</v>
      </c>
      <c r="K47" s="55" t="s">
        <v>750</v>
      </c>
    </row>
    <row r="48" spans="2:14" ht="14.25" customHeight="1" x14ac:dyDescent="0.2">
      <c r="B48" s="49" t="s">
        <v>751</v>
      </c>
      <c r="C48" s="52" t="s">
        <v>744</v>
      </c>
      <c r="D48" s="56" t="s">
        <v>752</v>
      </c>
      <c r="E48" s="56" t="s">
        <v>753</v>
      </c>
      <c r="F48" s="56" t="s">
        <v>738</v>
      </c>
      <c r="G48" s="56" t="s">
        <v>635</v>
      </c>
      <c r="H48" s="56" t="s">
        <v>754</v>
      </c>
      <c r="I48" s="56" t="s">
        <v>755</v>
      </c>
      <c r="J48" s="56" t="s">
        <v>636</v>
      </c>
      <c r="K48" s="57" t="s">
        <v>756</v>
      </c>
    </row>
    <row r="49" spans="2:11" ht="14.25" customHeight="1" x14ac:dyDescent="0.2">
      <c r="B49" s="48" t="s">
        <v>757</v>
      </c>
      <c r="C49" s="51" t="s">
        <v>744</v>
      </c>
      <c r="D49" s="54" t="s">
        <v>758</v>
      </c>
      <c r="E49" s="54" t="s">
        <v>759</v>
      </c>
      <c r="F49" s="54" t="s">
        <v>624</v>
      </c>
      <c r="G49" s="54" t="s">
        <v>605</v>
      </c>
      <c r="H49" s="54" t="s">
        <v>710</v>
      </c>
      <c r="I49" s="54" t="s">
        <v>725</v>
      </c>
      <c r="J49" s="54" t="s">
        <v>607</v>
      </c>
      <c r="K49" s="55" t="s">
        <v>760</v>
      </c>
    </row>
    <row r="50" spans="2:11" ht="14.25" customHeight="1" x14ac:dyDescent="0.2">
      <c r="B50" s="49" t="s">
        <v>761</v>
      </c>
      <c r="C50" s="52" t="s">
        <v>762</v>
      </c>
      <c r="D50" s="56" t="s">
        <v>763</v>
      </c>
      <c r="E50" s="56" t="s">
        <v>764</v>
      </c>
      <c r="F50" s="56" t="s">
        <v>624</v>
      </c>
      <c r="G50" s="56" t="s">
        <v>765</v>
      </c>
      <c r="H50" s="56" t="s">
        <v>605</v>
      </c>
      <c r="I50" s="56" t="s">
        <v>674</v>
      </c>
      <c r="J50" s="56" t="s">
        <v>617</v>
      </c>
      <c r="K50" s="57" t="s">
        <v>766</v>
      </c>
    </row>
    <row r="51" spans="2:11" ht="14.25" customHeight="1" x14ac:dyDescent="0.2">
      <c r="B51" s="48" t="s">
        <v>767</v>
      </c>
      <c r="C51" s="51" t="s">
        <v>762</v>
      </c>
      <c r="D51" s="54" t="s">
        <v>768</v>
      </c>
      <c r="E51" s="54" t="s">
        <v>769</v>
      </c>
      <c r="F51" s="54" t="s">
        <v>624</v>
      </c>
      <c r="G51" s="54" t="s">
        <v>765</v>
      </c>
      <c r="H51" s="54" t="s">
        <v>605</v>
      </c>
      <c r="I51" s="54" t="s">
        <v>770</v>
      </c>
      <c r="J51" s="54" t="s">
        <v>617</v>
      </c>
      <c r="K51" s="55" t="s">
        <v>771</v>
      </c>
    </row>
    <row r="52" spans="2:11" ht="14.25" customHeight="1" x14ac:dyDescent="0.2">
      <c r="B52" s="49" t="s">
        <v>772</v>
      </c>
      <c r="C52" s="52" t="s">
        <v>762</v>
      </c>
      <c r="D52" s="56" t="s">
        <v>773</v>
      </c>
      <c r="E52" s="56" t="s">
        <v>774</v>
      </c>
      <c r="F52" s="56" t="s">
        <v>624</v>
      </c>
      <c r="G52" s="56" t="s">
        <v>605</v>
      </c>
      <c r="H52" s="56" t="s">
        <v>716</v>
      </c>
      <c r="I52" s="56" t="s">
        <v>674</v>
      </c>
      <c r="J52" s="56" t="s">
        <v>775</v>
      </c>
      <c r="K52" s="57" t="s">
        <v>776</v>
      </c>
    </row>
    <row r="53" spans="2:11" ht="14.25" customHeight="1" x14ac:dyDescent="0.2">
      <c r="B53" s="48" t="s">
        <v>777</v>
      </c>
      <c r="C53" s="51" t="s">
        <v>762</v>
      </c>
      <c r="D53" s="54" t="s">
        <v>768</v>
      </c>
      <c r="E53" s="54" t="s">
        <v>778</v>
      </c>
      <c r="F53" s="54" t="s">
        <v>624</v>
      </c>
      <c r="G53" s="54" t="s">
        <v>779</v>
      </c>
      <c r="H53" s="54" t="s">
        <v>705</v>
      </c>
      <c r="I53" s="54" t="s">
        <v>606</v>
      </c>
      <c r="J53" s="54" t="s">
        <v>626</v>
      </c>
      <c r="K53" s="55" t="s">
        <v>780</v>
      </c>
    </row>
    <row r="54" spans="2:11" ht="14.25" customHeight="1" x14ac:dyDescent="0.2">
      <c r="B54" s="49" t="s">
        <v>781</v>
      </c>
      <c r="C54" s="52" t="s">
        <v>762</v>
      </c>
      <c r="D54" s="56" t="s">
        <v>773</v>
      </c>
      <c r="E54" s="56" t="s">
        <v>774</v>
      </c>
      <c r="F54" s="56" t="s">
        <v>624</v>
      </c>
      <c r="G54" s="56" t="s">
        <v>605</v>
      </c>
      <c r="H54" s="56" t="s">
        <v>782</v>
      </c>
      <c r="I54" s="56" t="s">
        <v>674</v>
      </c>
      <c r="J54" s="56" t="s">
        <v>607</v>
      </c>
      <c r="K54" s="57" t="s">
        <v>783</v>
      </c>
    </row>
    <row r="55" spans="2:11" ht="14.25" customHeight="1" x14ac:dyDescent="0.2">
      <c r="B55" s="48" t="s">
        <v>1015</v>
      </c>
      <c r="C55" s="51" t="s">
        <v>762</v>
      </c>
      <c r="D55" s="54" t="s">
        <v>773</v>
      </c>
      <c r="E55" s="54" t="s">
        <v>774</v>
      </c>
      <c r="F55" s="54" t="s">
        <v>624</v>
      </c>
      <c r="G55" s="54" t="s">
        <v>605</v>
      </c>
      <c r="H55" s="54" t="s">
        <v>782</v>
      </c>
      <c r="I55" s="54" t="s">
        <v>674</v>
      </c>
      <c r="J55" s="54" t="s">
        <v>607</v>
      </c>
      <c r="K55" s="55" t="s">
        <v>784</v>
      </c>
    </row>
    <row r="56" spans="2:11" ht="14.25" customHeight="1" x14ac:dyDescent="0.2">
      <c r="B56" s="49" t="s">
        <v>1016</v>
      </c>
      <c r="C56" s="52" t="s">
        <v>762</v>
      </c>
      <c r="D56" s="56" t="s">
        <v>773</v>
      </c>
      <c r="E56" s="56" t="s">
        <v>774</v>
      </c>
      <c r="F56" s="56" t="s">
        <v>624</v>
      </c>
      <c r="G56" s="56" t="s">
        <v>605</v>
      </c>
      <c r="H56" s="56" t="s">
        <v>782</v>
      </c>
      <c r="I56" s="56" t="s">
        <v>674</v>
      </c>
      <c r="J56" s="56" t="s">
        <v>626</v>
      </c>
      <c r="K56" s="57" t="s">
        <v>785</v>
      </c>
    </row>
    <row r="57" spans="2:11" ht="14.25" customHeight="1" x14ac:dyDescent="0.2">
      <c r="B57" s="48" t="s">
        <v>786</v>
      </c>
      <c r="C57" s="51" t="s">
        <v>762</v>
      </c>
      <c r="D57" s="54" t="s">
        <v>787</v>
      </c>
      <c r="E57" s="54" t="s">
        <v>774</v>
      </c>
      <c r="F57" s="54" t="s">
        <v>624</v>
      </c>
      <c r="G57" s="54" t="s">
        <v>605</v>
      </c>
      <c r="H57" s="54" t="s">
        <v>782</v>
      </c>
      <c r="I57" s="54" t="s">
        <v>725</v>
      </c>
      <c r="J57" s="54" t="s">
        <v>626</v>
      </c>
      <c r="K57" s="55" t="s">
        <v>776</v>
      </c>
    </row>
    <row r="58" spans="2:11" ht="14.25" customHeight="1" x14ac:dyDescent="0.2">
      <c r="B58" s="49" t="s">
        <v>788</v>
      </c>
      <c r="C58" s="52" t="s">
        <v>762</v>
      </c>
      <c r="D58" s="56" t="s">
        <v>789</v>
      </c>
      <c r="E58" s="56" t="s">
        <v>674</v>
      </c>
      <c r="F58" s="56" t="s">
        <v>624</v>
      </c>
      <c r="G58" s="56" t="s">
        <v>790</v>
      </c>
      <c r="H58" s="56" t="s">
        <v>672</v>
      </c>
      <c r="I58" s="56" t="s">
        <v>674</v>
      </c>
      <c r="J58" s="56" t="s">
        <v>607</v>
      </c>
      <c r="K58" s="57" t="s">
        <v>791</v>
      </c>
    </row>
    <row r="59" spans="2:11" ht="14.25" customHeight="1" x14ac:dyDescent="0.2">
      <c r="B59" s="48" t="s">
        <v>792</v>
      </c>
      <c r="C59" s="51" t="s">
        <v>762</v>
      </c>
      <c r="D59" s="54" t="s">
        <v>793</v>
      </c>
      <c r="E59" s="54" t="s">
        <v>794</v>
      </c>
      <c r="F59" s="54" t="s">
        <v>1036</v>
      </c>
      <c r="G59" s="54" t="s">
        <v>790</v>
      </c>
      <c r="H59" s="54" t="s">
        <v>672</v>
      </c>
      <c r="I59" s="54" t="s">
        <v>674</v>
      </c>
      <c r="J59" s="54" t="s">
        <v>617</v>
      </c>
      <c r="K59" s="55" t="s">
        <v>795</v>
      </c>
    </row>
    <row r="60" spans="2:11" ht="14.25" customHeight="1" x14ac:dyDescent="0.2">
      <c r="B60" s="49" t="s">
        <v>796</v>
      </c>
      <c r="C60" s="52" t="s">
        <v>762</v>
      </c>
      <c r="D60" s="56" t="s">
        <v>797</v>
      </c>
      <c r="E60" s="56" t="s">
        <v>794</v>
      </c>
      <c r="F60" s="56" t="s">
        <v>1036</v>
      </c>
      <c r="G60" s="56" t="s">
        <v>790</v>
      </c>
      <c r="H60" s="56" t="s">
        <v>672</v>
      </c>
      <c r="I60" s="56" t="s">
        <v>674</v>
      </c>
      <c r="J60" s="56" t="s">
        <v>617</v>
      </c>
      <c r="K60" s="57" t="s">
        <v>798</v>
      </c>
    </row>
    <row r="61" spans="2:11" ht="14.25" customHeight="1" x14ac:dyDescent="0.2">
      <c r="B61" s="48" t="s">
        <v>1539</v>
      </c>
      <c r="C61" s="51" t="s">
        <v>762</v>
      </c>
      <c r="D61" s="54" t="s">
        <v>799</v>
      </c>
      <c r="E61" s="54" t="s">
        <v>794</v>
      </c>
      <c r="F61" s="54" t="s">
        <v>1036</v>
      </c>
      <c r="G61" s="54" t="s">
        <v>790</v>
      </c>
      <c r="H61" s="54" t="s">
        <v>672</v>
      </c>
      <c r="I61" s="54" t="s">
        <v>674</v>
      </c>
      <c r="J61" s="54" t="s">
        <v>607</v>
      </c>
      <c r="K61" s="55" t="s">
        <v>800</v>
      </c>
    </row>
    <row r="62" spans="2:11" ht="14.25" customHeight="1" x14ac:dyDescent="0.2">
      <c r="B62" s="49" t="s">
        <v>801</v>
      </c>
      <c r="C62" s="52" t="s">
        <v>762</v>
      </c>
      <c r="D62" s="56" t="s">
        <v>799</v>
      </c>
      <c r="E62" s="56" t="s">
        <v>794</v>
      </c>
      <c r="F62" s="56" t="s">
        <v>1036</v>
      </c>
      <c r="G62" s="56" t="s">
        <v>605</v>
      </c>
      <c r="H62" s="56" t="s">
        <v>782</v>
      </c>
      <c r="I62" s="56" t="s">
        <v>674</v>
      </c>
      <c r="J62" s="56" t="s">
        <v>626</v>
      </c>
      <c r="K62" s="57" t="s">
        <v>802</v>
      </c>
    </row>
    <row r="63" spans="2:11" ht="14.25" customHeight="1" x14ac:dyDescent="0.2">
      <c r="B63" s="48" t="s">
        <v>803</v>
      </c>
      <c r="C63" s="51" t="s">
        <v>762</v>
      </c>
      <c r="D63" s="54" t="s">
        <v>799</v>
      </c>
      <c r="E63" s="54" t="s">
        <v>794</v>
      </c>
      <c r="F63" s="54" t="s">
        <v>1036</v>
      </c>
      <c r="G63" s="54" t="s">
        <v>672</v>
      </c>
      <c r="H63" s="54" t="s">
        <v>782</v>
      </c>
      <c r="I63" s="54" t="s">
        <v>674</v>
      </c>
      <c r="J63" s="54" t="s">
        <v>626</v>
      </c>
      <c r="K63" s="55" t="s">
        <v>802</v>
      </c>
    </row>
    <row r="64" spans="2:11" ht="14.25" customHeight="1" x14ac:dyDescent="0.2">
      <c r="B64" s="49" t="s">
        <v>804</v>
      </c>
      <c r="C64" s="52" t="s">
        <v>762</v>
      </c>
      <c r="D64" s="56" t="s">
        <v>805</v>
      </c>
      <c r="E64" s="56" t="s">
        <v>702</v>
      </c>
      <c r="F64" s="56" t="s">
        <v>1036</v>
      </c>
      <c r="G64" s="56" t="s">
        <v>790</v>
      </c>
      <c r="H64" s="56" t="s">
        <v>672</v>
      </c>
      <c r="I64" s="56" t="s">
        <v>674</v>
      </c>
      <c r="J64" s="56" t="s">
        <v>617</v>
      </c>
      <c r="K64" s="57" t="s">
        <v>806</v>
      </c>
    </row>
    <row r="65" spans="2:11" ht="14.25" customHeight="1" x14ac:dyDescent="0.2">
      <c r="B65" s="48" t="s">
        <v>807</v>
      </c>
      <c r="C65" s="51" t="s">
        <v>762</v>
      </c>
      <c r="D65" s="54" t="s">
        <v>808</v>
      </c>
      <c r="E65" s="54" t="s">
        <v>794</v>
      </c>
      <c r="F65" s="54" t="s">
        <v>1036</v>
      </c>
      <c r="G65" s="54" t="s">
        <v>790</v>
      </c>
      <c r="H65" s="54" t="s">
        <v>672</v>
      </c>
      <c r="I65" s="54" t="s">
        <v>674</v>
      </c>
      <c r="J65" s="54" t="s">
        <v>809</v>
      </c>
      <c r="K65" s="55" t="s">
        <v>810</v>
      </c>
    </row>
    <row r="66" spans="2:11" ht="14.25" customHeight="1" x14ac:dyDescent="0.2">
      <c r="B66" s="49" t="s">
        <v>811</v>
      </c>
      <c r="C66" s="52" t="s">
        <v>762</v>
      </c>
      <c r="D66" s="56" t="s">
        <v>799</v>
      </c>
      <c r="E66" s="56" t="s">
        <v>794</v>
      </c>
      <c r="F66" s="56" t="s">
        <v>1036</v>
      </c>
      <c r="G66" s="56" t="s">
        <v>790</v>
      </c>
      <c r="H66" s="56" t="s">
        <v>733</v>
      </c>
      <c r="I66" s="56" t="s">
        <v>674</v>
      </c>
      <c r="J66" s="56" t="s">
        <v>626</v>
      </c>
      <c r="K66" s="57" t="s">
        <v>1017</v>
      </c>
    </row>
    <row r="67" spans="2:11" ht="14.25" customHeight="1" x14ac:dyDescent="0.2">
      <c r="B67" s="48" t="s">
        <v>812</v>
      </c>
      <c r="C67" s="51" t="s">
        <v>762</v>
      </c>
      <c r="D67" s="54" t="s">
        <v>799</v>
      </c>
      <c r="E67" s="54" t="s">
        <v>794</v>
      </c>
      <c r="F67" s="54" t="s">
        <v>1036</v>
      </c>
      <c r="G67" s="54" t="s">
        <v>605</v>
      </c>
      <c r="H67" s="54" t="s">
        <v>716</v>
      </c>
      <c r="I67" s="54" t="s">
        <v>725</v>
      </c>
      <c r="J67" s="54" t="s">
        <v>626</v>
      </c>
      <c r="K67" s="55" t="s">
        <v>1018</v>
      </c>
    </row>
    <row r="68" spans="2:11" ht="14.25" customHeight="1" x14ac:dyDescent="0.2">
      <c r="B68" s="49" t="s">
        <v>1019</v>
      </c>
      <c r="C68" s="52" t="s">
        <v>762</v>
      </c>
      <c r="D68" s="56" t="s">
        <v>768</v>
      </c>
      <c r="E68" s="56" t="s">
        <v>674</v>
      </c>
      <c r="F68" s="56" t="s">
        <v>624</v>
      </c>
      <c r="G68" s="56" t="s">
        <v>813</v>
      </c>
      <c r="H68" s="56" t="s">
        <v>814</v>
      </c>
      <c r="I68" s="56" t="s">
        <v>674</v>
      </c>
      <c r="J68" s="56" t="s">
        <v>626</v>
      </c>
      <c r="K68" s="57" t="s">
        <v>1010</v>
      </c>
    </row>
    <row r="69" spans="2:11" ht="14.25" customHeight="1" x14ac:dyDescent="0.2">
      <c r="B69" s="48" t="s">
        <v>1020</v>
      </c>
      <c r="C69" s="51" t="s">
        <v>762</v>
      </c>
      <c r="D69" s="54" t="s">
        <v>815</v>
      </c>
      <c r="E69" s="54" t="s">
        <v>774</v>
      </c>
      <c r="F69" s="54" t="s">
        <v>624</v>
      </c>
      <c r="G69" s="54" t="s">
        <v>813</v>
      </c>
      <c r="H69" s="54" t="s">
        <v>814</v>
      </c>
      <c r="I69" s="54" t="s">
        <v>606</v>
      </c>
      <c r="J69" s="54" t="s">
        <v>626</v>
      </c>
      <c r="K69" s="55" t="s">
        <v>1021</v>
      </c>
    </row>
    <row r="70" spans="2:11" ht="14.25" customHeight="1" x14ac:dyDescent="0.2">
      <c r="B70" s="49" t="s">
        <v>816</v>
      </c>
      <c r="C70" s="52" t="s">
        <v>762</v>
      </c>
      <c r="D70" s="56" t="s">
        <v>817</v>
      </c>
      <c r="E70" s="56" t="s">
        <v>818</v>
      </c>
      <c r="F70" s="56" t="s">
        <v>624</v>
      </c>
      <c r="G70" s="56" t="s">
        <v>605</v>
      </c>
      <c r="H70" s="56" t="s">
        <v>819</v>
      </c>
      <c r="I70" s="56" t="s">
        <v>643</v>
      </c>
      <c r="J70" s="56" t="s">
        <v>626</v>
      </c>
      <c r="K70" s="57" t="s">
        <v>1022</v>
      </c>
    </row>
    <row r="71" spans="2:11" ht="14.25" customHeight="1" x14ac:dyDescent="0.2">
      <c r="B71" s="48" t="s">
        <v>820</v>
      </c>
      <c r="C71" s="51" t="s">
        <v>762</v>
      </c>
      <c r="D71" s="54" t="s">
        <v>773</v>
      </c>
      <c r="E71" s="54" t="s">
        <v>774</v>
      </c>
      <c r="F71" s="54" t="s">
        <v>624</v>
      </c>
      <c r="G71" s="54" t="s">
        <v>821</v>
      </c>
      <c r="H71" s="54" t="s">
        <v>769</v>
      </c>
      <c r="I71" s="54" t="s">
        <v>606</v>
      </c>
      <c r="J71" s="54" t="s">
        <v>626</v>
      </c>
      <c r="K71" s="55" t="s">
        <v>1023</v>
      </c>
    </row>
    <row r="72" spans="2:11" ht="14.25" customHeight="1" x14ac:dyDescent="0.2">
      <c r="B72" s="49" t="s">
        <v>822</v>
      </c>
      <c r="C72" s="52" t="s">
        <v>762</v>
      </c>
      <c r="D72" s="56" t="s">
        <v>815</v>
      </c>
      <c r="E72" s="56" t="s">
        <v>774</v>
      </c>
      <c r="F72" s="56" t="s">
        <v>624</v>
      </c>
      <c r="G72" s="56" t="s">
        <v>821</v>
      </c>
      <c r="H72" s="56" t="s">
        <v>769</v>
      </c>
      <c r="I72" s="56" t="s">
        <v>725</v>
      </c>
      <c r="J72" s="56" t="s">
        <v>626</v>
      </c>
      <c r="K72" s="57" t="s">
        <v>1024</v>
      </c>
    </row>
    <row r="73" spans="2:11" ht="14.25" customHeight="1" x14ac:dyDescent="0.2">
      <c r="B73" s="48" t="s">
        <v>823</v>
      </c>
      <c r="C73" s="51" t="s">
        <v>762</v>
      </c>
      <c r="D73" s="54" t="s">
        <v>815</v>
      </c>
      <c r="E73" s="54" t="s">
        <v>774</v>
      </c>
      <c r="F73" s="54" t="s">
        <v>624</v>
      </c>
      <c r="G73" s="54" t="s">
        <v>821</v>
      </c>
      <c r="H73" s="54" t="s">
        <v>814</v>
      </c>
      <c r="I73" s="54" t="s">
        <v>606</v>
      </c>
      <c r="J73" s="54" t="s">
        <v>626</v>
      </c>
      <c r="K73" s="55" t="s">
        <v>806</v>
      </c>
    </row>
    <row r="74" spans="2:11" ht="14.25" customHeight="1" x14ac:dyDescent="0.2">
      <c r="B74" s="49" t="s">
        <v>824</v>
      </c>
      <c r="C74" s="52" t="s">
        <v>762</v>
      </c>
      <c r="D74" s="56" t="s">
        <v>815</v>
      </c>
      <c r="E74" s="56" t="s">
        <v>778</v>
      </c>
      <c r="F74" s="56" t="s">
        <v>624</v>
      </c>
      <c r="G74" s="56" t="s">
        <v>821</v>
      </c>
      <c r="H74" s="56" t="s">
        <v>814</v>
      </c>
      <c r="I74" s="56" t="s">
        <v>606</v>
      </c>
      <c r="J74" s="56" t="s">
        <v>626</v>
      </c>
      <c r="K74" s="57" t="s">
        <v>806</v>
      </c>
    </row>
    <row r="75" spans="2:11" ht="14.25" customHeight="1" x14ac:dyDescent="0.2">
      <c r="B75" s="48" t="s">
        <v>825</v>
      </c>
      <c r="C75" s="51" t="s">
        <v>762</v>
      </c>
      <c r="D75" s="54" t="s">
        <v>815</v>
      </c>
      <c r="E75" s="54" t="s">
        <v>774</v>
      </c>
      <c r="F75" s="54" t="s">
        <v>624</v>
      </c>
      <c r="G75" s="54" t="s">
        <v>813</v>
      </c>
      <c r="H75" s="54" t="s">
        <v>814</v>
      </c>
      <c r="I75" s="54" t="s">
        <v>717</v>
      </c>
      <c r="J75" s="54" t="s">
        <v>626</v>
      </c>
      <c r="K75" s="55" t="s">
        <v>1025</v>
      </c>
    </row>
    <row r="76" spans="2:11" ht="14.25" customHeight="1" x14ac:dyDescent="0.2">
      <c r="B76" s="49" t="s">
        <v>826</v>
      </c>
      <c r="C76" s="52" t="s">
        <v>762</v>
      </c>
      <c r="D76" s="56" t="s">
        <v>815</v>
      </c>
      <c r="E76" s="56" t="s">
        <v>774</v>
      </c>
      <c r="F76" s="56" t="s">
        <v>624</v>
      </c>
      <c r="G76" s="56" t="s">
        <v>827</v>
      </c>
      <c r="H76" s="56" t="s">
        <v>814</v>
      </c>
      <c r="I76" s="56" t="s">
        <v>717</v>
      </c>
      <c r="J76" s="56" t="s">
        <v>626</v>
      </c>
      <c r="K76" s="57" t="s">
        <v>1026</v>
      </c>
    </row>
    <row r="77" spans="2:11" ht="14.25" customHeight="1" x14ac:dyDescent="0.2">
      <c r="B77" s="48" t="s">
        <v>828</v>
      </c>
      <c r="C77" s="51" t="s">
        <v>829</v>
      </c>
      <c r="D77" s="54" t="s">
        <v>721</v>
      </c>
      <c r="E77" s="54" t="s">
        <v>769</v>
      </c>
      <c r="F77" s="54" t="s">
        <v>624</v>
      </c>
      <c r="G77" s="54" t="s">
        <v>813</v>
      </c>
      <c r="H77" s="54" t="s">
        <v>830</v>
      </c>
      <c r="I77" s="54" t="s">
        <v>643</v>
      </c>
      <c r="J77" s="54" t="s">
        <v>617</v>
      </c>
      <c r="K77" s="55" t="s">
        <v>831</v>
      </c>
    </row>
    <row r="78" spans="2:11" ht="14.25" customHeight="1" x14ac:dyDescent="0.2">
      <c r="B78" s="49" t="s">
        <v>1027</v>
      </c>
      <c r="C78" s="52" t="s">
        <v>829</v>
      </c>
      <c r="D78" s="56" t="s">
        <v>721</v>
      </c>
      <c r="E78" s="56" t="s">
        <v>769</v>
      </c>
      <c r="F78" s="56" t="s">
        <v>624</v>
      </c>
      <c r="G78" s="56" t="s">
        <v>813</v>
      </c>
      <c r="H78" s="56" t="s">
        <v>832</v>
      </c>
      <c r="I78" s="56" t="s">
        <v>606</v>
      </c>
      <c r="J78" s="56" t="s">
        <v>626</v>
      </c>
      <c r="K78" s="57" t="s">
        <v>806</v>
      </c>
    </row>
    <row r="79" spans="2:11" ht="14.25" customHeight="1" x14ac:dyDescent="0.2">
      <c r="B79" s="48" t="s">
        <v>1028</v>
      </c>
      <c r="C79" s="51" t="s">
        <v>829</v>
      </c>
      <c r="D79" s="54" t="s">
        <v>721</v>
      </c>
      <c r="E79" s="54" t="s">
        <v>714</v>
      </c>
      <c r="F79" s="54" t="s">
        <v>624</v>
      </c>
      <c r="G79" s="54" t="s">
        <v>833</v>
      </c>
      <c r="H79" s="54" t="s">
        <v>834</v>
      </c>
      <c r="I79" s="54" t="s">
        <v>643</v>
      </c>
      <c r="J79" s="54" t="s">
        <v>626</v>
      </c>
      <c r="K79" s="55" t="s">
        <v>1029</v>
      </c>
    </row>
    <row r="80" spans="2:11" ht="14.25" customHeight="1" x14ac:dyDescent="0.2">
      <c r="B80" s="49" t="s">
        <v>835</v>
      </c>
      <c r="C80" s="52" t="s">
        <v>829</v>
      </c>
      <c r="D80" s="56" t="s">
        <v>713</v>
      </c>
      <c r="E80" s="56" t="s">
        <v>714</v>
      </c>
      <c r="F80" s="56" t="s">
        <v>624</v>
      </c>
      <c r="G80" s="56" t="s">
        <v>833</v>
      </c>
      <c r="H80" s="56" t="s">
        <v>769</v>
      </c>
      <c r="I80" s="56" t="s">
        <v>643</v>
      </c>
      <c r="J80" s="56" t="s">
        <v>626</v>
      </c>
      <c r="K80" s="57" t="s">
        <v>806</v>
      </c>
    </row>
    <row r="81" spans="2:11" ht="14.25" customHeight="1" x14ac:dyDescent="0.2">
      <c r="B81" s="48" t="s">
        <v>836</v>
      </c>
      <c r="C81" s="51" t="s">
        <v>829</v>
      </c>
      <c r="D81" s="54" t="s">
        <v>732</v>
      </c>
      <c r="E81" s="54" t="s">
        <v>769</v>
      </c>
      <c r="F81" s="54" t="s">
        <v>624</v>
      </c>
      <c r="G81" s="54" t="s">
        <v>837</v>
      </c>
      <c r="H81" s="54" t="s">
        <v>838</v>
      </c>
      <c r="I81" s="54" t="s">
        <v>643</v>
      </c>
      <c r="J81" s="54" t="s">
        <v>617</v>
      </c>
      <c r="K81" s="55" t="s">
        <v>839</v>
      </c>
    </row>
    <row r="82" spans="2:11" ht="14.25" customHeight="1" x14ac:dyDescent="0.2">
      <c r="B82" s="49" t="s">
        <v>840</v>
      </c>
      <c r="C82" s="52" t="s">
        <v>829</v>
      </c>
      <c r="D82" s="56" t="s">
        <v>721</v>
      </c>
      <c r="E82" s="56" t="s">
        <v>769</v>
      </c>
      <c r="F82" s="56" t="s">
        <v>624</v>
      </c>
      <c r="G82" s="56" t="s">
        <v>813</v>
      </c>
      <c r="H82" s="56" t="s">
        <v>834</v>
      </c>
      <c r="I82" s="56" t="s">
        <v>725</v>
      </c>
      <c r="J82" s="56" t="s">
        <v>626</v>
      </c>
      <c r="K82" s="57" t="s">
        <v>1021</v>
      </c>
    </row>
    <row r="83" spans="2:11" ht="14.25" customHeight="1" x14ac:dyDescent="0.2">
      <c r="B83" s="48" t="s">
        <v>841</v>
      </c>
      <c r="C83" s="51" t="s">
        <v>842</v>
      </c>
      <c r="D83" s="54" t="s">
        <v>773</v>
      </c>
      <c r="E83" s="54" t="s">
        <v>674</v>
      </c>
      <c r="F83" s="54" t="s">
        <v>624</v>
      </c>
      <c r="G83" s="54" t="s">
        <v>843</v>
      </c>
      <c r="H83" s="54" t="s">
        <v>771</v>
      </c>
      <c r="I83" s="54" t="s">
        <v>643</v>
      </c>
      <c r="J83" s="54" t="s">
        <v>809</v>
      </c>
      <c r="K83" s="55" t="s">
        <v>844</v>
      </c>
    </row>
    <row r="84" spans="2:11" ht="14.25" customHeight="1" x14ac:dyDescent="0.2">
      <c r="B84" s="49" t="s">
        <v>845</v>
      </c>
      <c r="C84" s="52" t="s">
        <v>842</v>
      </c>
      <c r="D84" s="56" t="s">
        <v>773</v>
      </c>
      <c r="E84" s="56" t="s">
        <v>778</v>
      </c>
      <c r="F84" s="56" t="s">
        <v>624</v>
      </c>
      <c r="G84" s="56" t="s">
        <v>813</v>
      </c>
      <c r="H84" s="56" t="s">
        <v>769</v>
      </c>
      <c r="I84" s="56" t="s">
        <v>674</v>
      </c>
      <c r="J84" s="56" t="s">
        <v>617</v>
      </c>
      <c r="K84" s="57" t="s">
        <v>846</v>
      </c>
    </row>
    <row r="85" spans="2:11" ht="14.25" customHeight="1" x14ac:dyDescent="0.2">
      <c r="B85" s="48" t="s">
        <v>847</v>
      </c>
      <c r="C85" s="51" t="s">
        <v>842</v>
      </c>
      <c r="D85" s="54" t="s">
        <v>773</v>
      </c>
      <c r="E85" s="54" t="s">
        <v>848</v>
      </c>
      <c r="F85" s="54" t="s">
        <v>624</v>
      </c>
      <c r="G85" s="54" t="s">
        <v>843</v>
      </c>
      <c r="H85" s="54" t="s">
        <v>818</v>
      </c>
      <c r="I85" s="54" t="s">
        <v>643</v>
      </c>
      <c r="J85" s="54" t="s">
        <v>617</v>
      </c>
      <c r="K85" s="55" t="s">
        <v>849</v>
      </c>
    </row>
    <row r="86" spans="2:11" ht="14.25" customHeight="1" x14ac:dyDescent="0.2">
      <c r="B86" s="49" t="s">
        <v>850</v>
      </c>
      <c r="C86" s="52" t="s">
        <v>842</v>
      </c>
      <c r="D86" s="56" t="s">
        <v>773</v>
      </c>
      <c r="E86" s="56" t="s">
        <v>774</v>
      </c>
      <c r="F86" s="56" t="s">
        <v>624</v>
      </c>
      <c r="G86" s="56" t="s">
        <v>837</v>
      </c>
      <c r="H86" s="56" t="s">
        <v>851</v>
      </c>
      <c r="I86" s="56" t="s">
        <v>643</v>
      </c>
      <c r="J86" s="56" t="s">
        <v>617</v>
      </c>
      <c r="K86" s="57" t="s">
        <v>852</v>
      </c>
    </row>
    <row r="87" spans="2:11" ht="14.25" customHeight="1" x14ac:dyDescent="0.2">
      <c r="B87" s="48" t="s">
        <v>853</v>
      </c>
      <c r="C87" s="51" t="s">
        <v>842</v>
      </c>
      <c r="D87" s="54" t="s">
        <v>773</v>
      </c>
      <c r="E87" s="54" t="s">
        <v>774</v>
      </c>
      <c r="F87" s="54" t="s">
        <v>624</v>
      </c>
      <c r="G87" s="54" t="s">
        <v>843</v>
      </c>
      <c r="H87" s="54" t="s">
        <v>854</v>
      </c>
      <c r="I87" s="54" t="s">
        <v>643</v>
      </c>
      <c r="J87" s="54" t="s">
        <v>617</v>
      </c>
      <c r="K87" s="55" t="s">
        <v>855</v>
      </c>
    </row>
    <row r="88" spans="2:11" ht="14.25" customHeight="1" x14ac:dyDescent="0.2">
      <c r="B88" s="49" t="s">
        <v>856</v>
      </c>
      <c r="C88" s="52" t="s">
        <v>842</v>
      </c>
      <c r="D88" s="56" t="s">
        <v>773</v>
      </c>
      <c r="E88" s="56" t="s">
        <v>771</v>
      </c>
      <c r="F88" s="56" t="s">
        <v>624</v>
      </c>
      <c r="G88" s="56" t="s">
        <v>843</v>
      </c>
      <c r="H88" s="56" t="s">
        <v>857</v>
      </c>
      <c r="I88" s="56" t="s">
        <v>725</v>
      </c>
      <c r="J88" s="56" t="s">
        <v>626</v>
      </c>
      <c r="K88" s="57" t="s">
        <v>806</v>
      </c>
    </row>
    <row r="89" spans="2:11" ht="14.25" customHeight="1" x14ac:dyDescent="0.2">
      <c r="B89" s="48" t="s">
        <v>858</v>
      </c>
      <c r="C89" s="51" t="s">
        <v>842</v>
      </c>
      <c r="D89" s="54" t="s">
        <v>815</v>
      </c>
      <c r="E89" s="54" t="s">
        <v>774</v>
      </c>
      <c r="F89" s="54" t="s">
        <v>624</v>
      </c>
      <c r="G89" s="54" t="s">
        <v>843</v>
      </c>
      <c r="H89" s="54" t="s">
        <v>859</v>
      </c>
      <c r="I89" s="54" t="s">
        <v>717</v>
      </c>
      <c r="J89" s="54" t="s">
        <v>626</v>
      </c>
      <c r="K89" s="55" t="s">
        <v>806</v>
      </c>
    </row>
    <row r="90" spans="2:11" ht="14.25" customHeight="1" x14ac:dyDescent="0.2">
      <c r="B90" s="49" t="s">
        <v>860</v>
      </c>
      <c r="C90" s="52" t="s">
        <v>842</v>
      </c>
      <c r="D90" s="56" t="s">
        <v>773</v>
      </c>
      <c r="E90" s="56" t="s">
        <v>774</v>
      </c>
      <c r="F90" s="56" t="s">
        <v>624</v>
      </c>
      <c r="G90" s="56" t="s">
        <v>843</v>
      </c>
      <c r="H90" s="56" t="s">
        <v>818</v>
      </c>
      <c r="I90" s="56" t="s">
        <v>717</v>
      </c>
      <c r="J90" s="56" t="s">
        <v>617</v>
      </c>
      <c r="K90" s="57" t="s">
        <v>806</v>
      </c>
    </row>
    <row r="91" spans="2:11" ht="14.25" customHeight="1" x14ac:dyDescent="0.2">
      <c r="B91" s="48" t="s">
        <v>861</v>
      </c>
      <c r="C91" s="51" t="s">
        <v>667</v>
      </c>
      <c r="D91" s="54" t="s">
        <v>862</v>
      </c>
      <c r="E91" s="54" t="s">
        <v>681</v>
      </c>
      <c r="F91" s="54" t="s">
        <v>624</v>
      </c>
      <c r="G91" s="54" t="s">
        <v>642</v>
      </c>
      <c r="H91" s="54" t="s">
        <v>673</v>
      </c>
      <c r="I91" s="54" t="s">
        <v>625</v>
      </c>
      <c r="J91" s="54" t="s">
        <v>607</v>
      </c>
      <c r="K91" s="55" t="s">
        <v>806</v>
      </c>
    </row>
    <row r="92" spans="2:11" ht="14.25" customHeight="1" x14ac:dyDescent="0.2">
      <c r="B92" s="49" t="s">
        <v>863</v>
      </c>
      <c r="C92" s="52" t="s">
        <v>1044</v>
      </c>
      <c r="D92" s="56" t="s">
        <v>864</v>
      </c>
      <c r="E92" s="56" t="s">
        <v>705</v>
      </c>
      <c r="F92" s="56" t="s">
        <v>624</v>
      </c>
      <c r="G92" s="56" t="s">
        <v>642</v>
      </c>
      <c r="H92" s="56" t="s">
        <v>605</v>
      </c>
      <c r="I92" s="56" t="s">
        <v>674</v>
      </c>
      <c r="J92" s="56" t="s">
        <v>607</v>
      </c>
      <c r="K92" s="57" t="s">
        <v>865</v>
      </c>
    </row>
    <row r="93" spans="2:11" ht="14.25" customHeight="1" x14ac:dyDescent="0.2">
      <c r="B93" s="48" t="s">
        <v>866</v>
      </c>
      <c r="C93" s="51" t="s">
        <v>867</v>
      </c>
      <c r="D93" s="54" t="s">
        <v>868</v>
      </c>
      <c r="E93" s="54" t="s">
        <v>769</v>
      </c>
      <c r="F93" s="54" t="s">
        <v>624</v>
      </c>
      <c r="G93" s="54" t="s">
        <v>765</v>
      </c>
      <c r="H93" s="54" t="s">
        <v>605</v>
      </c>
      <c r="I93" s="54" t="s">
        <v>717</v>
      </c>
      <c r="J93" s="54" t="s">
        <v>626</v>
      </c>
      <c r="K93" s="55" t="s">
        <v>806</v>
      </c>
    </row>
    <row r="94" spans="2:11" ht="14.25" customHeight="1" x14ac:dyDescent="0.2">
      <c r="B94" s="49" t="s">
        <v>869</v>
      </c>
      <c r="C94" s="52" t="s">
        <v>667</v>
      </c>
      <c r="D94" s="56" t="s">
        <v>870</v>
      </c>
      <c r="E94" s="56" t="s">
        <v>669</v>
      </c>
      <c r="F94" s="56" t="s">
        <v>624</v>
      </c>
      <c r="G94" s="56" t="s">
        <v>642</v>
      </c>
      <c r="H94" s="56" t="s">
        <v>673</v>
      </c>
      <c r="I94" s="56" t="s">
        <v>717</v>
      </c>
      <c r="J94" s="56" t="s">
        <v>607</v>
      </c>
      <c r="K94" s="57" t="s">
        <v>871</v>
      </c>
    </row>
    <row r="95" spans="2:11" ht="14.25" customHeight="1" x14ac:dyDescent="0.2">
      <c r="B95" s="48" t="s">
        <v>872</v>
      </c>
      <c r="C95" s="51" t="s">
        <v>523</v>
      </c>
      <c r="D95" s="54" t="s">
        <v>873</v>
      </c>
      <c r="E95" s="54" t="s">
        <v>806</v>
      </c>
      <c r="F95" s="54" t="s">
        <v>624</v>
      </c>
      <c r="G95" s="54" t="s">
        <v>806</v>
      </c>
      <c r="H95" s="54" t="s">
        <v>673</v>
      </c>
      <c r="I95" s="54" t="s">
        <v>674</v>
      </c>
      <c r="J95" s="54" t="s">
        <v>607</v>
      </c>
      <c r="K95" s="55" t="s">
        <v>874</v>
      </c>
    </row>
    <row r="96" spans="2:11" ht="14.25" customHeight="1" x14ac:dyDescent="0.2">
      <c r="B96" s="49" t="s">
        <v>875</v>
      </c>
      <c r="C96" s="52" t="s">
        <v>876</v>
      </c>
      <c r="D96" s="56" t="s">
        <v>877</v>
      </c>
      <c r="E96" s="56" t="s">
        <v>878</v>
      </c>
      <c r="F96" s="56" t="s">
        <v>624</v>
      </c>
      <c r="G96" s="56" t="s">
        <v>879</v>
      </c>
      <c r="H96" s="56" t="s">
        <v>673</v>
      </c>
      <c r="I96" s="56" t="s">
        <v>625</v>
      </c>
      <c r="J96" s="56" t="s">
        <v>607</v>
      </c>
      <c r="K96" s="57" t="s">
        <v>806</v>
      </c>
    </row>
    <row r="97" spans="1:11" ht="14.25" customHeight="1" x14ac:dyDescent="0.2">
      <c r="B97" s="48" t="s">
        <v>880</v>
      </c>
      <c r="C97" s="51" t="s">
        <v>876</v>
      </c>
      <c r="D97" s="54" t="s">
        <v>881</v>
      </c>
      <c r="E97" s="54" t="s">
        <v>878</v>
      </c>
      <c r="F97" s="54" t="s">
        <v>624</v>
      </c>
      <c r="G97" s="54" t="s">
        <v>879</v>
      </c>
      <c r="H97" s="54" t="s">
        <v>673</v>
      </c>
      <c r="I97" s="54" t="s">
        <v>717</v>
      </c>
      <c r="J97" s="54" t="s">
        <v>626</v>
      </c>
      <c r="K97" s="55" t="s">
        <v>806</v>
      </c>
    </row>
    <row r="98" spans="1:11" ht="14.25" customHeight="1" x14ac:dyDescent="0.2">
      <c r="B98" s="49" t="s">
        <v>882</v>
      </c>
      <c r="C98" s="52" t="s">
        <v>667</v>
      </c>
      <c r="D98" s="56" t="s">
        <v>870</v>
      </c>
      <c r="E98" s="56" t="s">
        <v>669</v>
      </c>
      <c r="F98" s="56" t="s">
        <v>624</v>
      </c>
      <c r="G98" s="56" t="s">
        <v>642</v>
      </c>
      <c r="H98" s="56" t="s">
        <v>673</v>
      </c>
      <c r="I98" s="56" t="s">
        <v>717</v>
      </c>
      <c r="J98" s="56" t="s">
        <v>607</v>
      </c>
      <c r="K98" s="57" t="s">
        <v>806</v>
      </c>
    </row>
    <row r="99" spans="1:11" ht="14.25" customHeight="1" x14ac:dyDescent="0.2">
      <c r="B99" s="48" t="s">
        <v>883</v>
      </c>
      <c r="C99" s="51" t="s">
        <v>884</v>
      </c>
      <c r="D99" s="54" t="s">
        <v>885</v>
      </c>
      <c r="E99" s="54" t="s">
        <v>886</v>
      </c>
      <c r="F99" s="54" t="s">
        <v>624</v>
      </c>
      <c r="G99" s="54" t="s">
        <v>672</v>
      </c>
      <c r="H99" s="54" t="s">
        <v>887</v>
      </c>
      <c r="I99" s="54" t="s">
        <v>674</v>
      </c>
      <c r="J99" s="54" t="s">
        <v>626</v>
      </c>
      <c r="K99" s="55" t="s">
        <v>806</v>
      </c>
    </row>
    <row r="100" spans="1:11" ht="14.25" customHeight="1" x14ac:dyDescent="0.2">
      <c r="B100" s="49" t="s">
        <v>888</v>
      </c>
      <c r="C100" s="52" t="s">
        <v>884</v>
      </c>
      <c r="D100" s="56" t="s">
        <v>889</v>
      </c>
      <c r="E100" s="56" t="s">
        <v>886</v>
      </c>
      <c r="F100" s="56" t="s">
        <v>624</v>
      </c>
      <c r="G100" s="56" t="s">
        <v>706</v>
      </c>
      <c r="H100" s="56" t="s">
        <v>887</v>
      </c>
      <c r="I100" s="56" t="s">
        <v>717</v>
      </c>
      <c r="J100" s="56" t="s">
        <v>607</v>
      </c>
      <c r="K100" s="57" t="s">
        <v>890</v>
      </c>
    </row>
    <row r="101" spans="1:11" ht="14.25" customHeight="1" x14ac:dyDescent="0.2">
      <c r="B101" s="48" t="s">
        <v>891</v>
      </c>
      <c r="C101" s="51" t="s">
        <v>884</v>
      </c>
      <c r="D101" s="54" t="s">
        <v>892</v>
      </c>
      <c r="E101" s="54" t="s">
        <v>893</v>
      </c>
      <c r="F101" s="54" t="s">
        <v>624</v>
      </c>
      <c r="G101" s="54" t="s">
        <v>605</v>
      </c>
      <c r="H101" s="54" t="s">
        <v>887</v>
      </c>
      <c r="I101" s="54" t="s">
        <v>674</v>
      </c>
      <c r="J101" s="54" t="s">
        <v>626</v>
      </c>
      <c r="K101" s="55" t="s">
        <v>806</v>
      </c>
    </row>
    <row r="102" spans="1:11" ht="14.25" customHeight="1" x14ac:dyDescent="0.2">
      <c r="B102" s="49" t="s">
        <v>894</v>
      </c>
      <c r="C102" s="52" t="s">
        <v>884</v>
      </c>
      <c r="D102" s="56" t="s">
        <v>895</v>
      </c>
      <c r="E102" s="56" t="s">
        <v>896</v>
      </c>
      <c r="F102" s="56" t="s">
        <v>624</v>
      </c>
      <c r="G102" s="56" t="s">
        <v>672</v>
      </c>
      <c r="H102" s="56" t="s">
        <v>897</v>
      </c>
      <c r="I102" s="56" t="s">
        <v>725</v>
      </c>
      <c r="J102" s="56" t="s">
        <v>626</v>
      </c>
      <c r="K102" s="57" t="s">
        <v>806</v>
      </c>
    </row>
    <row r="103" spans="1:11" ht="14.25" customHeight="1" x14ac:dyDescent="0.2">
      <c r="B103" s="48" t="s">
        <v>898</v>
      </c>
      <c r="C103" s="51" t="s">
        <v>876</v>
      </c>
      <c r="D103" s="54" t="s">
        <v>899</v>
      </c>
      <c r="E103" s="54" t="s">
        <v>878</v>
      </c>
      <c r="F103" s="54" t="s">
        <v>624</v>
      </c>
      <c r="G103" s="54" t="s">
        <v>878</v>
      </c>
      <c r="H103" s="54" t="s">
        <v>673</v>
      </c>
      <c r="I103" s="54" t="s">
        <v>717</v>
      </c>
      <c r="J103" s="54" t="s">
        <v>607</v>
      </c>
      <c r="K103" s="55" t="s">
        <v>806</v>
      </c>
    </row>
    <row r="104" spans="1:11" ht="14.25" customHeight="1" x14ac:dyDescent="0.2">
      <c r="B104" s="49" t="s">
        <v>900</v>
      </c>
      <c r="C104" s="52" t="s">
        <v>876</v>
      </c>
      <c r="D104" s="56" t="s">
        <v>901</v>
      </c>
      <c r="E104" s="56" t="s">
        <v>878</v>
      </c>
      <c r="F104" s="56" t="s">
        <v>624</v>
      </c>
      <c r="G104" s="56" t="s">
        <v>878</v>
      </c>
      <c r="H104" s="56" t="s">
        <v>673</v>
      </c>
      <c r="I104" s="56" t="s">
        <v>717</v>
      </c>
      <c r="J104" s="56" t="s">
        <v>626</v>
      </c>
      <c r="K104" s="57" t="s">
        <v>806</v>
      </c>
    </row>
    <row r="105" spans="1:11" ht="14.25" customHeight="1" x14ac:dyDescent="0.2">
      <c r="B105" s="48" t="s">
        <v>902</v>
      </c>
      <c r="C105" s="51" t="s">
        <v>902</v>
      </c>
      <c r="D105" s="54" t="s">
        <v>862</v>
      </c>
      <c r="E105" s="54" t="s">
        <v>903</v>
      </c>
      <c r="F105" s="54" t="s">
        <v>624</v>
      </c>
      <c r="G105" s="54" t="s">
        <v>605</v>
      </c>
      <c r="H105" s="54" t="s">
        <v>904</v>
      </c>
      <c r="I105" s="54" t="s">
        <v>905</v>
      </c>
      <c r="J105" s="54" t="s">
        <v>607</v>
      </c>
      <c r="K105" s="55" t="s">
        <v>806</v>
      </c>
    </row>
    <row r="106" spans="1:11" ht="15" thickBot="1" x14ac:dyDescent="0.25">
      <c r="A106" s="34"/>
      <c r="B106" s="50" t="s">
        <v>906</v>
      </c>
      <c r="C106" s="53" t="s">
        <v>867</v>
      </c>
      <c r="D106" s="58" t="s">
        <v>907</v>
      </c>
      <c r="E106" s="58" t="s">
        <v>908</v>
      </c>
      <c r="F106" s="58" t="s">
        <v>624</v>
      </c>
      <c r="G106" s="58" t="s">
        <v>605</v>
      </c>
      <c r="H106" s="58" t="s">
        <v>605</v>
      </c>
      <c r="I106" s="58" t="s">
        <v>725</v>
      </c>
      <c r="J106" s="58" t="s">
        <v>626</v>
      </c>
      <c r="K106" s="59" t="s">
        <v>806</v>
      </c>
    </row>
    <row r="107" spans="1:11" x14ac:dyDescent="0.2">
      <c r="A107" s="34" t="s">
        <v>459</v>
      </c>
      <c r="B107" s="34"/>
      <c r="C107" s="34"/>
    </row>
    <row r="108" spans="1:11" x14ac:dyDescent="0.2">
      <c r="A108" s="34" t="s">
        <v>460</v>
      </c>
      <c r="B108" s="34"/>
      <c r="C108" s="34"/>
    </row>
    <row r="109" spans="1:11" x14ac:dyDescent="0.2">
      <c r="A109" s="34" t="s">
        <v>461</v>
      </c>
      <c r="B109" s="34"/>
      <c r="C109" s="34"/>
    </row>
    <row r="110" spans="1:11" x14ac:dyDescent="0.2">
      <c r="A110" s="34" t="s">
        <v>462</v>
      </c>
      <c r="B110" s="34"/>
      <c r="C110" s="34"/>
    </row>
    <row r="111" spans="1:11" x14ac:dyDescent="0.2">
      <c r="A111" s="34" t="s">
        <v>463</v>
      </c>
      <c r="B111" s="34"/>
      <c r="C111" s="34"/>
    </row>
    <row r="112" spans="1:11" x14ac:dyDescent="0.2">
      <c r="A112" s="34" t="s">
        <v>464</v>
      </c>
      <c r="B112" s="34"/>
      <c r="C112" s="34"/>
    </row>
    <row r="113" spans="1:7" x14ac:dyDescent="0.2">
      <c r="A113" s="34" t="s">
        <v>465</v>
      </c>
      <c r="B113" s="34"/>
      <c r="C113" s="34"/>
    </row>
    <row r="114" spans="1:7" x14ac:dyDescent="0.2">
      <c r="A114" s="34" t="s">
        <v>466</v>
      </c>
      <c r="B114" s="34"/>
      <c r="C114" s="34"/>
    </row>
    <row r="115" spans="1:7" x14ac:dyDescent="0.2">
      <c r="A115" s="34"/>
      <c r="B115" s="34"/>
      <c r="C115" s="34"/>
    </row>
    <row r="116" spans="1:7" x14ac:dyDescent="0.2">
      <c r="A116" s="34"/>
      <c r="B116" s="34"/>
      <c r="C116" s="34"/>
    </row>
    <row r="117" spans="1:7" x14ac:dyDescent="0.2">
      <c r="A117" s="34"/>
      <c r="B117" s="34"/>
      <c r="C117" s="34"/>
    </row>
    <row r="118" spans="1:7" x14ac:dyDescent="0.2">
      <c r="A118" s="34"/>
      <c r="B118" s="34"/>
      <c r="C118" s="34"/>
    </row>
    <row r="119" spans="1:7" x14ac:dyDescent="0.2">
      <c r="A119" s="34"/>
      <c r="B119" s="34"/>
      <c r="C119" s="34"/>
    </row>
    <row r="120" spans="1:7" x14ac:dyDescent="0.2">
      <c r="A120" s="34"/>
      <c r="B120" s="34"/>
      <c r="C120" s="34"/>
    </row>
    <row r="121" spans="1:7" x14ac:dyDescent="0.2">
      <c r="A121" s="34"/>
      <c r="B121" s="34"/>
      <c r="C121" s="34"/>
    </row>
    <row r="122" spans="1:7" x14ac:dyDescent="0.2">
      <c r="A122" s="34"/>
      <c r="B122" s="34"/>
      <c r="C122" s="34"/>
    </row>
    <row r="123" spans="1:7" x14ac:dyDescent="0.2">
      <c r="A123" s="34"/>
      <c r="B123" s="34"/>
      <c r="C123" s="34"/>
    </row>
    <row r="124" spans="1:7" x14ac:dyDescent="0.2">
      <c r="A124" s="34"/>
      <c r="B124" s="34"/>
      <c r="C124" s="34"/>
    </row>
    <row r="125" spans="1:7" x14ac:dyDescent="0.2">
      <c r="A125" s="34"/>
      <c r="B125" s="34"/>
      <c r="C125" s="34"/>
    </row>
    <row r="126" spans="1:7" x14ac:dyDescent="0.2">
      <c r="A126" s="34"/>
      <c r="B126" s="34"/>
      <c r="C126" s="34"/>
    </row>
    <row r="127" spans="1:7" x14ac:dyDescent="0.2">
      <c r="A127" s="34"/>
      <c r="B127" s="34"/>
      <c r="C127" s="34"/>
    </row>
    <row r="128" spans="1:7" x14ac:dyDescent="0.2">
      <c r="A128" s="34"/>
      <c r="B128" s="34"/>
      <c r="C128" s="34"/>
      <c r="D128" s="34"/>
      <c r="E128" s="34"/>
      <c r="F128" s="34"/>
      <c r="G128" s="34"/>
    </row>
    <row r="129" spans="1:7" x14ac:dyDescent="0.2">
      <c r="A129" s="34"/>
      <c r="B129" s="34"/>
      <c r="C129" s="34"/>
      <c r="D129" s="34"/>
      <c r="E129" s="34"/>
      <c r="F129" s="34"/>
      <c r="G129" s="34"/>
    </row>
    <row r="130" spans="1:7" x14ac:dyDescent="0.2">
      <c r="A130" s="34"/>
      <c r="B130" s="34"/>
      <c r="C130" s="34"/>
      <c r="D130" s="34"/>
      <c r="E130" s="34"/>
      <c r="F130" s="34"/>
      <c r="G130" s="34"/>
    </row>
    <row r="131" spans="1:7" x14ac:dyDescent="0.2">
      <c r="A131" s="34"/>
      <c r="B131" s="34"/>
      <c r="C131" s="34"/>
      <c r="D131" s="34"/>
      <c r="E131" s="34"/>
      <c r="F131" s="34"/>
      <c r="G131" s="34"/>
    </row>
    <row r="132" spans="1:7" x14ac:dyDescent="0.2">
      <c r="A132" s="34"/>
      <c r="B132" s="34"/>
      <c r="C132" s="34"/>
      <c r="D132" s="34"/>
      <c r="E132" s="34"/>
      <c r="F132" s="34"/>
      <c r="G132" s="34"/>
    </row>
    <row r="133" spans="1:7" x14ac:dyDescent="0.2">
      <c r="A133" s="34"/>
      <c r="B133" s="34"/>
      <c r="C133" s="34"/>
      <c r="D133" s="34"/>
      <c r="E133" s="34"/>
      <c r="F133" s="34"/>
      <c r="G133" s="34"/>
    </row>
    <row r="134" spans="1:7" x14ac:dyDescent="0.2">
      <c r="A134" s="34"/>
      <c r="B134" s="34"/>
      <c r="C134" s="34"/>
      <c r="D134" s="34"/>
      <c r="E134" s="34"/>
      <c r="F134" s="34"/>
      <c r="G134" s="34"/>
    </row>
    <row r="135" spans="1:7" x14ac:dyDescent="0.2">
      <c r="A135" s="34"/>
      <c r="B135" s="34"/>
      <c r="C135" s="34"/>
      <c r="D135" s="34"/>
      <c r="E135" s="34"/>
      <c r="F135" s="34"/>
      <c r="G135" s="34"/>
    </row>
    <row r="136" spans="1:7" x14ac:dyDescent="0.2">
      <c r="A136" s="34"/>
      <c r="B136" s="34"/>
      <c r="C136" s="34"/>
      <c r="D136" s="34"/>
      <c r="E136" s="34"/>
      <c r="F136" s="34"/>
      <c r="G136" s="34"/>
    </row>
    <row r="137" spans="1:7" x14ac:dyDescent="0.2">
      <c r="A137" s="34"/>
      <c r="B137" s="34"/>
      <c r="C137" s="34"/>
      <c r="D137" s="34"/>
      <c r="E137" s="34"/>
      <c r="F137" s="34"/>
      <c r="G137" s="34"/>
    </row>
    <row r="138" spans="1:7" x14ac:dyDescent="0.2">
      <c r="A138" s="34"/>
      <c r="B138" s="34"/>
      <c r="C138" s="34"/>
      <c r="D138" s="34"/>
      <c r="E138" s="34"/>
      <c r="F138" s="34"/>
      <c r="G138" s="34"/>
    </row>
    <row r="139" spans="1:7" x14ac:dyDescent="0.2">
      <c r="A139" s="34"/>
      <c r="B139" s="34"/>
      <c r="C139" s="34"/>
      <c r="D139" s="34"/>
      <c r="E139" s="34"/>
      <c r="F139" s="34"/>
      <c r="G139" s="34"/>
    </row>
    <row r="140" spans="1:7" x14ac:dyDescent="0.2">
      <c r="A140" s="34"/>
      <c r="B140" s="34"/>
      <c r="C140" s="34"/>
      <c r="D140" s="34"/>
      <c r="E140" s="34"/>
      <c r="F140" s="34"/>
      <c r="G140" s="34"/>
    </row>
    <row r="141" spans="1:7" x14ac:dyDescent="0.2">
      <c r="A141" s="34"/>
      <c r="B141" s="34"/>
      <c r="C141" s="34"/>
      <c r="D141" s="34"/>
      <c r="E141" s="34"/>
      <c r="F141" s="34"/>
      <c r="G141" s="34"/>
    </row>
    <row r="142" spans="1:7" x14ac:dyDescent="0.2">
      <c r="A142" s="34"/>
      <c r="B142" s="34"/>
      <c r="C142" s="34"/>
      <c r="D142" s="34"/>
      <c r="E142" s="34"/>
      <c r="F142" s="34"/>
      <c r="G142" s="34"/>
    </row>
    <row r="143" spans="1:7" x14ac:dyDescent="0.2">
      <c r="A143" s="34"/>
      <c r="B143" s="34"/>
      <c r="C143" s="34"/>
      <c r="D143" s="34"/>
      <c r="E143" s="34"/>
      <c r="F143" s="34"/>
      <c r="G143" s="34"/>
    </row>
    <row r="144" spans="1:7" x14ac:dyDescent="0.2">
      <c r="A144" s="34"/>
      <c r="B144" s="34"/>
      <c r="C144" s="34"/>
      <c r="D144" s="34"/>
      <c r="E144" s="34"/>
      <c r="F144" s="34"/>
      <c r="G144" s="34"/>
    </row>
    <row r="145" spans="1:10" x14ac:dyDescent="0.2">
      <c r="A145" s="34"/>
      <c r="B145" s="34"/>
      <c r="C145" s="34"/>
      <c r="D145" s="34"/>
      <c r="E145" s="34"/>
      <c r="F145" s="34"/>
      <c r="G145" s="34"/>
    </row>
    <row r="146" spans="1:10" x14ac:dyDescent="0.2">
      <c r="A146" s="34"/>
      <c r="B146" s="34"/>
      <c r="C146" s="34"/>
      <c r="D146" s="34"/>
      <c r="E146" s="34"/>
      <c r="F146" s="34"/>
      <c r="G146" s="34"/>
    </row>
    <row r="147" spans="1:10" x14ac:dyDescent="0.2">
      <c r="A147" s="34"/>
      <c r="B147" s="34"/>
      <c r="C147" s="34"/>
      <c r="D147" s="34"/>
      <c r="E147" s="34"/>
      <c r="F147" s="34"/>
      <c r="G147" s="34"/>
    </row>
    <row r="148" spans="1:10" x14ac:dyDescent="0.2">
      <c r="A148" s="34"/>
      <c r="B148" s="34"/>
      <c r="C148" s="34"/>
      <c r="D148" s="34"/>
      <c r="E148" s="34"/>
      <c r="F148" s="34"/>
      <c r="G148" s="34"/>
      <c r="H148" s="34"/>
      <c r="I148" s="34"/>
      <c r="J148" s="34"/>
    </row>
    <row r="149" spans="1:10" x14ac:dyDescent="0.2">
      <c r="A149" s="34"/>
      <c r="B149" s="34"/>
      <c r="C149" s="34"/>
      <c r="D149" s="34"/>
      <c r="E149" s="34"/>
      <c r="F149" s="34"/>
      <c r="G149" s="34"/>
      <c r="H149" s="34"/>
      <c r="I149" s="34"/>
      <c r="J149" s="34"/>
    </row>
    <row r="150" spans="1:10" x14ac:dyDescent="0.2">
      <c r="A150" s="34"/>
      <c r="B150" s="34"/>
      <c r="C150" s="34"/>
      <c r="D150" s="34"/>
      <c r="E150" s="34"/>
      <c r="F150" s="34"/>
      <c r="G150" s="34"/>
      <c r="H150" s="34"/>
      <c r="I150" s="34"/>
      <c r="J150" s="34"/>
    </row>
    <row r="151" spans="1:10" x14ac:dyDescent="0.2">
      <c r="A151" s="34"/>
      <c r="B151" s="34"/>
      <c r="C151" s="34"/>
      <c r="D151" s="34"/>
      <c r="E151" s="34"/>
      <c r="F151" s="34"/>
      <c r="G151" s="34"/>
      <c r="H151" s="34"/>
      <c r="I151" s="34"/>
      <c r="J151" s="34"/>
    </row>
    <row r="152" spans="1:10" x14ac:dyDescent="0.2">
      <c r="A152" s="34"/>
      <c r="B152" s="34"/>
      <c r="C152" s="34"/>
      <c r="D152" s="34"/>
      <c r="E152" s="34"/>
      <c r="F152" s="34"/>
      <c r="G152" s="34"/>
      <c r="H152" s="34"/>
      <c r="I152" s="34"/>
      <c r="J152" s="34"/>
    </row>
    <row r="153" spans="1:10" x14ac:dyDescent="0.2">
      <c r="A153" s="34"/>
      <c r="B153" s="34"/>
      <c r="C153" s="34"/>
      <c r="D153" s="34"/>
      <c r="E153" s="34"/>
      <c r="F153" s="34"/>
      <c r="G153" s="34"/>
      <c r="H153" s="34"/>
      <c r="I153" s="34"/>
      <c r="J153" s="34"/>
    </row>
    <row r="154" spans="1:10" x14ac:dyDescent="0.2">
      <c r="A154" s="34"/>
      <c r="B154" s="34"/>
      <c r="C154" s="34"/>
      <c r="D154" s="34"/>
      <c r="E154" s="34"/>
      <c r="F154" s="34"/>
      <c r="G154" s="34"/>
      <c r="H154" s="34"/>
      <c r="I154" s="34"/>
      <c r="J154" s="34"/>
    </row>
    <row r="155" spans="1:10" x14ac:dyDescent="0.2">
      <c r="A155" s="34"/>
      <c r="B155" s="34"/>
      <c r="C155" s="34"/>
      <c r="D155" s="34"/>
      <c r="E155" s="34"/>
      <c r="F155" s="34"/>
      <c r="G155" s="34"/>
      <c r="H155" s="34"/>
      <c r="I155" s="34"/>
      <c r="J155" s="34"/>
    </row>
    <row r="156" spans="1:10" x14ac:dyDescent="0.2">
      <c r="A156" s="34"/>
      <c r="B156" s="34"/>
      <c r="C156" s="34"/>
      <c r="D156" s="34"/>
      <c r="E156" s="34"/>
      <c r="F156" s="34"/>
      <c r="G156" s="34"/>
      <c r="H156" s="34"/>
      <c r="I156" s="34"/>
      <c r="J156" s="34"/>
    </row>
    <row r="157" spans="1:10" x14ac:dyDescent="0.2">
      <c r="A157" s="34"/>
      <c r="B157" s="34"/>
      <c r="C157" s="34"/>
      <c r="D157" s="34"/>
      <c r="E157" s="34"/>
      <c r="F157" s="34"/>
      <c r="G157" s="34"/>
      <c r="H157" s="34"/>
      <c r="I157" s="34"/>
      <c r="J157" s="34"/>
    </row>
    <row r="158" spans="1:10" x14ac:dyDescent="0.2">
      <c r="A158" s="34"/>
      <c r="B158" s="34"/>
      <c r="C158" s="34"/>
      <c r="D158" s="34"/>
      <c r="E158" s="34"/>
      <c r="F158" s="34"/>
      <c r="G158" s="34"/>
      <c r="H158" s="34"/>
      <c r="I158" s="34"/>
      <c r="J158" s="34"/>
    </row>
    <row r="159" spans="1:10" x14ac:dyDescent="0.2">
      <c r="A159" s="34"/>
      <c r="B159" s="34"/>
      <c r="C159" s="34"/>
      <c r="D159" s="34"/>
      <c r="E159" s="34"/>
      <c r="F159" s="34"/>
      <c r="G159" s="34"/>
      <c r="H159" s="34"/>
      <c r="I159" s="34"/>
      <c r="J159" s="34"/>
    </row>
    <row r="160" spans="1:10" x14ac:dyDescent="0.2">
      <c r="A160" s="34"/>
      <c r="B160" s="34"/>
      <c r="C160" s="34"/>
      <c r="D160" s="34"/>
      <c r="E160" s="34"/>
      <c r="F160" s="34"/>
      <c r="G160" s="34"/>
      <c r="H160" s="34"/>
      <c r="I160" s="34"/>
      <c r="J160" s="34"/>
    </row>
    <row r="161" spans="1:10" x14ac:dyDescent="0.2">
      <c r="A161" s="34"/>
      <c r="B161" s="34"/>
      <c r="C161" s="34"/>
      <c r="D161" s="34"/>
      <c r="E161" s="34"/>
      <c r="F161" s="34"/>
      <c r="G161" s="34"/>
      <c r="H161" s="34"/>
      <c r="I161" s="34"/>
      <c r="J161" s="34"/>
    </row>
  </sheetData>
  <sheetProtection formatCells="0" selectLockedCells="1"/>
  <customSheetViews>
    <customSheetView guid="{111A6EAC-FF6E-44AB-B5F5-6EDFAC2B64B3}" showGridLines="0">
      <selection activeCell="B26" sqref="B26"/>
      <pageMargins left="0.75" right="0.75" top="1" bottom="1" header="0.51180555555555596" footer="0.51180555555555596"/>
      <pageSetup orientation="portrait" r:id="rId1"/>
    </customSheetView>
  </customSheetViews>
  <mergeCells count="1">
    <mergeCell ref="B1:K1"/>
  </mergeCells>
  <phoneticPr fontId="2" type="noConversion"/>
  <pageMargins left="0.75" right="0.75" top="1" bottom="1" header="0.51180555555555596" footer="0.51180555555555596"/>
  <pageSetup orientation="portrait" r:id="rId2"/>
  <ignoredErrors>
    <ignoredError sqref="G3:K106 E31:E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Y393"/>
  <sheetViews>
    <sheetView zoomScale="85" zoomScaleNormal="85" workbookViewId="0">
      <selection activeCell="B6" sqref="B6"/>
    </sheetView>
  </sheetViews>
  <sheetFormatPr defaultRowHeight="14.25" x14ac:dyDescent="0.2"/>
  <cols>
    <col min="2" max="2" width="6.25" customWidth="1"/>
    <col min="3" max="3" width="5.625" style="28" customWidth="1"/>
    <col min="4" max="4" width="79.25" style="29" customWidth="1"/>
    <col min="6" max="6" width="5.625" style="26" customWidth="1"/>
    <col min="7" max="7" width="79.25" style="27" customWidth="1"/>
  </cols>
  <sheetData>
    <row r="1" spans="1:51" s="448" customFormat="1" ht="20.25" customHeight="1" x14ac:dyDescent="0.2">
      <c r="A1" s="447"/>
      <c r="B1" s="447"/>
      <c r="C1" s="863" t="s">
        <v>1487</v>
      </c>
      <c r="D1" s="864"/>
      <c r="E1" s="864"/>
      <c r="F1" s="864"/>
      <c r="G1" s="864"/>
    </row>
    <row r="2" spans="1:51" s="448" customFormat="1" ht="27.75" customHeight="1" x14ac:dyDescent="0.2">
      <c r="A2" s="447"/>
      <c r="B2" s="447"/>
      <c r="C2" s="863"/>
      <c r="D2" s="864"/>
      <c r="E2" s="864"/>
      <c r="F2" s="864"/>
      <c r="G2" s="864"/>
    </row>
    <row r="3" spans="1:51" s="448" customFormat="1" ht="33" customHeight="1" thickBot="1" x14ac:dyDescent="0.25">
      <c r="A3" s="447"/>
      <c r="B3" s="447"/>
      <c r="C3" s="863"/>
      <c r="D3" s="864"/>
      <c r="E3" s="864"/>
      <c r="F3" s="864"/>
      <c r="G3" s="864"/>
    </row>
    <row r="4" spans="1:51" ht="18.75" customHeight="1" x14ac:dyDescent="0.2">
      <c r="A4" s="79"/>
      <c r="B4" s="92"/>
      <c r="C4" s="868" t="s">
        <v>468</v>
      </c>
      <c r="D4" s="869"/>
      <c r="E4" s="93"/>
      <c r="F4" s="870" t="s">
        <v>469</v>
      </c>
      <c r="G4" s="871"/>
      <c r="H4" s="89"/>
      <c r="I4" s="79"/>
      <c r="J4" s="79"/>
      <c r="K4" s="79"/>
      <c r="L4" s="79"/>
      <c r="M4" s="79"/>
      <c r="N4" s="79"/>
      <c r="O4" s="79"/>
      <c r="P4" s="79"/>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row>
    <row r="5" spans="1:51" ht="18" customHeight="1" x14ac:dyDescent="0.2">
      <c r="A5" s="79"/>
      <c r="B5" s="92"/>
      <c r="C5" s="104" t="s">
        <v>18</v>
      </c>
      <c r="D5" s="97" t="s">
        <v>248</v>
      </c>
      <c r="E5" s="94"/>
      <c r="F5" s="96" t="s">
        <v>18</v>
      </c>
      <c r="G5" s="97" t="s">
        <v>248</v>
      </c>
      <c r="H5" s="89"/>
      <c r="I5" s="79"/>
      <c r="J5" s="79"/>
      <c r="K5" s="79"/>
      <c r="L5" s="79"/>
      <c r="M5" s="79"/>
      <c r="N5" s="79"/>
      <c r="O5" s="79"/>
      <c r="P5" s="79"/>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row>
    <row r="6" spans="1:51" ht="51.95" customHeight="1" x14ac:dyDescent="0.2">
      <c r="A6" s="79"/>
      <c r="B6" s="92"/>
      <c r="C6" s="105">
        <v>1</v>
      </c>
      <c r="D6" s="106" t="s">
        <v>1075</v>
      </c>
      <c r="E6" s="94"/>
      <c r="F6" s="98">
        <v>1</v>
      </c>
      <c r="G6" s="99" t="s">
        <v>470</v>
      </c>
      <c r="H6" s="89"/>
      <c r="I6" s="79"/>
      <c r="J6" s="79"/>
      <c r="K6" s="79"/>
      <c r="L6" s="79"/>
      <c r="M6" s="79"/>
      <c r="N6" s="79"/>
      <c r="O6" s="79"/>
      <c r="P6" s="79"/>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row>
    <row r="7" spans="1:51" ht="51.95" customHeight="1" x14ac:dyDescent="0.2">
      <c r="A7" s="79"/>
      <c r="B7" s="92"/>
      <c r="C7" s="107">
        <v>2</v>
      </c>
      <c r="D7" s="108" t="s">
        <v>1071</v>
      </c>
      <c r="E7" s="94"/>
      <c r="F7" s="100">
        <v>2</v>
      </c>
      <c r="G7" s="101" t="s">
        <v>471</v>
      </c>
      <c r="H7" s="89"/>
      <c r="I7" s="79"/>
      <c r="J7" s="79"/>
      <c r="K7" s="79"/>
      <c r="L7" s="79"/>
      <c r="M7" s="79"/>
      <c r="N7" s="79"/>
      <c r="O7" s="79"/>
      <c r="P7" s="79"/>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row>
    <row r="8" spans="1:51" ht="51.95" customHeight="1" x14ac:dyDescent="0.2">
      <c r="A8" s="79"/>
      <c r="B8" s="92"/>
      <c r="C8" s="109">
        <v>3</v>
      </c>
      <c r="D8" s="99" t="s">
        <v>252</v>
      </c>
      <c r="E8" s="94"/>
      <c r="F8" s="98">
        <v>3</v>
      </c>
      <c r="G8" s="99" t="s">
        <v>472</v>
      </c>
      <c r="H8" s="89"/>
      <c r="I8" s="79"/>
      <c r="J8" s="79"/>
      <c r="K8" s="79"/>
      <c r="L8" s="79"/>
      <c r="M8" s="79"/>
      <c r="N8" s="79"/>
      <c r="O8" s="79"/>
      <c r="P8" s="79"/>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row>
    <row r="9" spans="1:51" ht="51.95" customHeight="1" x14ac:dyDescent="0.2">
      <c r="A9" s="79"/>
      <c r="B9" s="92"/>
      <c r="C9" s="110">
        <v>4</v>
      </c>
      <c r="D9" s="101" t="s">
        <v>253</v>
      </c>
      <c r="E9" s="94"/>
      <c r="F9" s="100">
        <v>4</v>
      </c>
      <c r="G9" s="101" t="s">
        <v>473</v>
      </c>
      <c r="H9" s="89"/>
      <c r="I9" s="79"/>
      <c r="J9" s="79"/>
      <c r="K9" s="79"/>
      <c r="L9" s="79"/>
      <c r="M9" s="79"/>
      <c r="N9" s="79"/>
      <c r="O9" s="79"/>
      <c r="P9" s="79"/>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row>
    <row r="10" spans="1:51" ht="51.95" customHeight="1" x14ac:dyDescent="0.2">
      <c r="A10" s="79"/>
      <c r="B10" s="92"/>
      <c r="C10" s="109">
        <v>5</v>
      </c>
      <c r="D10" s="99" t="s">
        <v>1072</v>
      </c>
      <c r="E10" s="94"/>
      <c r="F10" s="98">
        <v>5</v>
      </c>
      <c r="G10" s="99" t="s">
        <v>474</v>
      </c>
      <c r="H10" s="89"/>
      <c r="I10" s="79"/>
      <c r="J10" s="79"/>
      <c r="K10" s="79"/>
      <c r="L10" s="79"/>
      <c r="M10" s="79"/>
      <c r="N10" s="79"/>
      <c r="O10" s="79"/>
      <c r="P10" s="79"/>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row>
    <row r="11" spans="1:51" ht="51.95" customHeight="1" x14ac:dyDescent="0.2">
      <c r="A11" s="79"/>
      <c r="B11" s="92"/>
      <c r="C11" s="110">
        <v>6</v>
      </c>
      <c r="D11" s="101" t="s">
        <v>254</v>
      </c>
      <c r="E11" s="94"/>
      <c r="F11" s="100">
        <v>6</v>
      </c>
      <c r="G11" s="101" t="s">
        <v>475</v>
      </c>
      <c r="H11" s="89"/>
      <c r="I11" s="79"/>
      <c r="J11" s="79"/>
      <c r="K11" s="79"/>
      <c r="L11" s="79"/>
      <c r="M11" s="79"/>
      <c r="N11" s="79"/>
      <c r="O11" s="79"/>
      <c r="P11" s="79"/>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row>
    <row r="12" spans="1:51" ht="51.95" customHeight="1" x14ac:dyDescent="0.2">
      <c r="A12" s="79"/>
      <c r="B12" s="92"/>
      <c r="C12" s="109">
        <v>7</v>
      </c>
      <c r="D12" s="99" t="s">
        <v>1073</v>
      </c>
      <c r="E12" s="94"/>
      <c r="F12" s="98">
        <v>7</v>
      </c>
      <c r="G12" s="99" t="s">
        <v>476</v>
      </c>
      <c r="H12" s="89"/>
      <c r="I12" s="79"/>
      <c r="J12" s="79"/>
      <c r="K12" s="79"/>
      <c r="L12" s="79"/>
      <c r="M12" s="79"/>
      <c r="N12" s="79"/>
      <c r="O12" s="79"/>
      <c r="P12" s="79"/>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row>
    <row r="13" spans="1:51" ht="51.95" customHeight="1" x14ac:dyDescent="0.2">
      <c r="A13" s="79"/>
      <c r="B13" s="92"/>
      <c r="C13" s="110">
        <v>8</v>
      </c>
      <c r="D13" s="101" t="s">
        <v>1074</v>
      </c>
      <c r="E13" s="94"/>
      <c r="F13" s="100">
        <v>8</v>
      </c>
      <c r="G13" s="101" t="s">
        <v>477</v>
      </c>
      <c r="H13" s="89"/>
      <c r="I13" s="79"/>
      <c r="J13" s="79"/>
      <c r="K13" s="79"/>
      <c r="L13" s="79"/>
      <c r="M13" s="79"/>
      <c r="N13" s="79"/>
      <c r="O13" s="79"/>
      <c r="P13" s="79"/>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row>
    <row r="14" spans="1:51" ht="51.95" customHeight="1" x14ac:dyDescent="0.2">
      <c r="A14" s="79"/>
      <c r="B14" s="92"/>
      <c r="C14" s="109">
        <v>9</v>
      </c>
      <c r="D14" s="99" t="s">
        <v>255</v>
      </c>
      <c r="E14" s="94"/>
      <c r="F14" s="98">
        <v>9</v>
      </c>
      <c r="G14" s="99" t="s">
        <v>478</v>
      </c>
      <c r="H14" s="89"/>
      <c r="I14" s="79"/>
      <c r="J14" s="79"/>
      <c r="K14" s="79"/>
      <c r="L14" s="79"/>
      <c r="M14" s="79"/>
      <c r="N14" s="79"/>
      <c r="O14" s="79"/>
      <c r="P14" s="79"/>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row>
    <row r="15" spans="1:51" ht="51.95" customHeight="1" thickBot="1" x14ac:dyDescent="0.25">
      <c r="A15" s="79"/>
      <c r="B15" s="92"/>
      <c r="C15" s="111">
        <v>10</v>
      </c>
      <c r="D15" s="103" t="s">
        <v>256</v>
      </c>
      <c r="E15" s="94"/>
      <c r="F15" s="102">
        <v>10</v>
      </c>
      <c r="G15" s="103" t="s">
        <v>479</v>
      </c>
      <c r="H15" s="89"/>
      <c r="I15" s="79"/>
      <c r="J15" s="79"/>
      <c r="K15" s="79"/>
      <c r="L15" s="79"/>
      <c r="M15" s="79"/>
      <c r="N15" s="79"/>
      <c r="O15" s="79"/>
      <c r="P15" s="79"/>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row>
    <row r="16" spans="1:51" ht="15" thickBot="1" x14ac:dyDescent="0.25">
      <c r="A16" s="79"/>
      <c r="B16" s="79"/>
      <c r="C16" s="112"/>
      <c r="D16" s="113"/>
      <c r="E16" s="79"/>
      <c r="F16" s="120"/>
      <c r="G16" s="121"/>
      <c r="H16" s="79"/>
      <c r="I16" s="79"/>
      <c r="J16" s="79"/>
      <c r="K16" s="79"/>
      <c r="L16" s="79"/>
      <c r="M16" s="79"/>
      <c r="N16" s="79"/>
      <c r="O16" s="79"/>
      <c r="P16" s="79"/>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row>
    <row r="17" spans="1:51" ht="18" customHeight="1" x14ac:dyDescent="0.2">
      <c r="A17" s="79"/>
      <c r="B17" s="92"/>
      <c r="C17" s="866" t="s">
        <v>246</v>
      </c>
      <c r="D17" s="867"/>
      <c r="E17" s="94"/>
      <c r="F17" s="866" t="s">
        <v>250</v>
      </c>
      <c r="G17" s="867"/>
      <c r="H17" s="89"/>
      <c r="I17" s="79"/>
      <c r="J17" s="79"/>
      <c r="K17" s="79"/>
      <c r="L17" s="79"/>
      <c r="M17" s="79"/>
      <c r="N17" s="79"/>
      <c r="O17" s="79"/>
      <c r="P17" s="79"/>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row>
    <row r="18" spans="1:51" ht="18" customHeight="1" x14ac:dyDescent="0.2">
      <c r="A18" s="79"/>
      <c r="B18" s="92"/>
      <c r="C18" s="116" t="s">
        <v>247</v>
      </c>
      <c r="D18" s="117" t="s">
        <v>249</v>
      </c>
      <c r="E18" s="94"/>
      <c r="F18" s="116" t="s">
        <v>247</v>
      </c>
      <c r="G18" s="117" t="s">
        <v>249</v>
      </c>
      <c r="H18" s="89"/>
      <c r="I18" s="79"/>
      <c r="J18" s="79"/>
      <c r="K18" s="79"/>
      <c r="L18" s="79"/>
      <c r="M18" s="79"/>
      <c r="N18" s="79"/>
      <c r="O18" s="79"/>
      <c r="P18" s="79"/>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row>
    <row r="19" spans="1:51" ht="38.25" customHeight="1" thickBot="1" x14ac:dyDescent="0.25">
      <c r="A19" s="79"/>
      <c r="B19" s="92"/>
      <c r="C19" s="118">
        <v>0</v>
      </c>
      <c r="D19" s="119" t="str">
        <f>IF(C19=0,"请在左侧输入数字",VLOOKUP(C19,疯狂附表!A3:B102,2,FALSE))</f>
        <v>请在左侧输入数字</v>
      </c>
      <c r="E19" s="94"/>
      <c r="F19" s="118">
        <v>0</v>
      </c>
      <c r="G19" s="119" t="str">
        <f>IF(F19=0,"请在左侧输入数字",VLOOKUP(F19,疯狂附表!C3:D102,2,FALSE))</f>
        <v>请在左侧输入数字</v>
      </c>
      <c r="H19" s="89"/>
      <c r="I19" s="79"/>
      <c r="J19" s="79"/>
      <c r="K19" s="79"/>
      <c r="L19" s="79"/>
      <c r="M19" s="79"/>
      <c r="N19" s="79"/>
      <c r="O19" s="79"/>
      <c r="P19" s="79"/>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row>
    <row r="20" spans="1:51" x14ac:dyDescent="0.2">
      <c r="A20" s="79"/>
      <c r="B20" s="79"/>
      <c r="C20" s="114"/>
      <c r="D20" s="115"/>
      <c r="E20" s="79"/>
      <c r="F20" s="122"/>
      <c r="G20" s="95"/>
      <c r="H20" s="79"/>
      <c r="I20" s="79"/>
      <c r="J20" s="79"/>
      <c r="K20" s="79"/>
      <c r="L20" s="79"/>
      <c r="M20" s="79"/>
      <c r="N20" s="79"/>
      <c r="O20" s="79"/>
      <c r="P20" s="79"/>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row>
    <row r="21" spans="1:51" ht="18" customHeight="1" x14ac:dyDescent="0.2">
      <c r="A21" s="79"/>
      <c r="B21" s="79"/>
      <c r="C21" s="84"/>
      <c r="D21" s="85"/>
      <c r="E21" s="79"/>
      <c r="F21" s="80"/>
      <c r="G21" s="91"/>
      <c r="H21" s="79"/>
      <c r="I21" s="79"/>
      <c r="J21" s="79"/>
      <c r="K21" s="79"/>
      <c r="L21" s="79"/>
      <c r="M21" s="79"/>
      <c r="N21" s="79"/>
      <c r="O21" s="79"/>
      <c r="P21" s="79"/>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row>
    <row r="22" spans="1:51" x14ac:dyDescent="0.2">
      <c r="A22" s="79"/>
      <c r="B22" s="79"/>
      <c r="C22" s="865" t="s">
        <v>467</v>
      </c>
      <c r="D22" s="865"/>
      <c r="E22" s="79"/>
      <c r="F22" s="80"/>
      <c r="G22" s="81"/>
      <c r="H22" s="79"/>
      <c r="I22" s="79"/>
      <c r="J22" s="79"/>
      <c r="K22" s="79"/>
      <c r="L22" s="79"/>
      <c r="M22" s="79"/>
      <c r="N22" s="79"/>
      <c r="O22" s="79"/>
      <c r="P22" s="79"/>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row>
    <row r="23" spans="1:51" ht="37.5" customHeight="1" x14ac:dyDescent="0.2">
      <c r="A23" s="79"/>
      <c r="B23" s="79"/>
      <c r="C23" s="86"/>
      <c r="D23" s="87"/>
      <c r="E23" s="79"/>
      <c r="F23" s="80"/>
      <c r="G23" s="81"/>
      <c r="H23" s="79"/>
      <c r="I23" s="79"/>
      <c r="J23" s="79"/>
      <c r="K23" s="79"/>
      <c r="L23" s="79"/>
      <c r="M23" s="79"/>
      <c r="N23" s="79"/>
      <c r="O23" s="79"/>
      <c r="P23" s="79"/>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row>
    <row r="24" spans="1:51" x14ac:dyDescent="0.2">
      <c r="A24" s="79"/>
      <c r="B24" s="79"/>
      <c r="C24" s="79"/>
      <c r="D24" s="88"/>
      <c r="E24" s="79"/>
      <c r="F24" s="80"/>
      <c r="G24" s="81"/>
      <c r="H24" s="79"/>
      <c r="I24" s="79"/>
      <c r="J24" s="79"/>
      <c r="K24" s="79"/>
      <c r="L24" s="79"/>
      <c r="M24" s="79"/>
      <c r="N24" s="79"/>
      <c r="O24" s="79"/>
      <c r="P24" s="79"/>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row>
    <row r="25" spans="1:51" ht="13.5" customHeight="1" x14ac:dyDescent="0.2">
      <c r="A25" s="79"/>
      <c r="B25" s="79"/>
      <c r="C25" s="82"/>
      <c r="D25" s="83"/>
      <c r="E25" s="79"/>
      <c r="F25" s="80"/>
      <c r="G25" s="81"/>
      <c r="H25" s="79"/>
      <c r="I25" s="79"/>
      <c r="J25" s="79"/>
      <c r="K25" s="79"/>
      <c r="L25" s="79"/>
      <c r="M25" s="79"/>
      <c r="N25" s="79"/>
      <c r="O25" s="79"/>
      <c r="P25" s="79"/>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row>
    <row r="26" spans="1:51" x14ac:dyDescent="0.2">
      <c r="A26" s="79"/>
      <c r="B26" s="79"/>
      <c r="C26" s="82"/>
      <c r="D26" s="83"/>
      <c r="E26" s="79"/>
      <c r="F26" s="80"/>
      <c r="G26" s="81"/>
      <c r="H26" s="79"/>
      <c r="I26" s="79"/>
      <c r="J26" s="79"/>
      <c r="K26" s="79"/>
      <c r="L26" s="79"/>
      <c r="M26" s="79"/>
      <c r="N26" s="79"/>
      <c r="O26" s="79"/>
      <c r="P26" s="79"/>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row>
    <row r="27" spans="1:51" x14ac:dyDescent="0.2">
      <c r="A27" s="79"/>
      <c r="B27" s="79"/>
      <c r="C27" s="82"/>
      <c r="D27" s="83"/>
      <c r="E27" s="79"/>
      <c r="F27" s="79"/>
      <c r="G27" s="81"/>
      <c r="H27" s="79"/>
      <c r="I27" s="79"/>
      <c r="J27" s="79"/>
      <c r="K27" s="79"/>
      <c r="L27" s="79"/>
      <c r="M27" s="79"/>
      <c r="N27" s="79"/>
      <c r="O27" s="79"/>
      <c r="P27" s="79"/>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row>
    <row r="28" spans="1:51" x14ac:dyDescent="0.2">
      <c r="A28" s="79"/>
      <c r="B28" s="79"/>
      <c r="C28" s="79"/>
      <c r="D28" s="88"/>
      <c r="E28" s="79"/>
      <c r="F28" s="79"/>
      <c r="G28" s="81"/>
      <c r="H28" s="79"/>
      <c r="I28" s="79"/>
      <c r="J28" s="79"/>
      <c r="K28" s="79"/>
      <c r="L28" s="79"/>
      <c r="M28" s="79"/>
      <c r="N28" s="79"/>
      <c r="O28" s="79"/>
      <c r="P28" s="79"/>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row>
    <row r="29" spans="1:51" x14ac:dyDescent="0.2">
      <c r="A29" s="79"/>
      <c r="B29" s="79"/>
      <c r="C29" s="79"/>
      <c r="D29" s="88"/>
      <c r="E29" s="79"/>
      <c r="F29" s="79"/>
      <c r="G29" s="81"/>
      <c r="H29" s="79"/>
      <c r="I29" s="79"/>
      <c r="J29" s="79"/>
      <c r="K29" s="79"/>
      <c r="L29" s="79"/>
      <c r="M29" s="79"/>
      <c r="N29" s="79"/>
      <c r="O29" s="79"/>
      <c r="P29" s="79"/>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row>
    <row r="30" spans="1:51" x14ac:dyDescent="0.2">
      <c r="A30" s="79"/>
      <c r="B30" s="79"/>
      <c r="C30" s="79"/>
      <c r="D30" s="88"/>
      <c r="E30" s="79"/>
      <c r="F30" s="79"/>
      <c r="G30" s="81"/>
      <c r="H30" s="79"/>
      <c r="I30" s="79"/>
      <c r="J30" s="79"/>
      <c r="K30" s="79"/>
      <c r="L30" s="79"/>
      <c r="M30" s="79"/>
      <c r="N30" s="79"/>
      <c r="O30" s="79"/>
      <c r="P30" s="79"/>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row>
    <row r="31" spans="1:51" x14ac:dyDescent="0.2">
      <c r="A31" s="79"/>
      <c r="B31" s="79"/>
      <c r="C31" s="79"/>
      <c r="D31" s="88"/>
      <c r="E31" s="79"/>
      <c r="F31" s="79"/>
      <c r="G31" s="81"/>
      <c r="H31" s="79"/>
      <c r="I31" s="79"/>
      <c r="J31" s="79"/>
      <c r="K31" s="79"/>
      <c r="L31" s="79"/>
      <c r="M31" s="79"/>
      <c r="N31" s="79"/>
      <c r="O31" s="79"/>
      <c r="P31" s="79"/>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row>
    <row r="32" spans="1:51" x14ac:dyDescent="0.2">
      <c r="A32" s="79"/>
      <c r="B32" s="79"/>
      <c r="C32" s="79"/>
      <c r="D32" s="88"/>
      <c r="E32" s="79"/>
      <c r="F32" s="79"/>
      <c r="G32" s="81"/>
      <c r="H32" s="79"/>
      <c r="I32" s="79"/>
      <c r="J32" s="79"/>
      <c r="K32" s="79"/>
      <c r="L32" s="79"/>
      <c r="M32" s="79"/>
      <c r="N32" s="79"/>
      <c r="O32" s="79"/>
      <c r="P32" s="79"/>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row>
    <row r="33" spans="1:51" x14ac:dyDescent="0.2">
      <c r="A33" s="79"/>
      <c r="B33" s="79"/>
      <c r="C33" s="79"/>
      <c r="D33" s="88"/>
      <c r="E33" s="79"/>
      <c r="F33" s="79"/>
      <c r="G33" s="81"/>
      <c r="H33" s="79"/>
      <c r="I33" s="79"/>
      <c r="J33" s="79"/>
      <c r="K33" s="79"/>
      <c r="L33" s="79"/>
      <c r="M33" s="79"/>
      <c r="N33" s="79"/>
      <c r="O33" s="79"/>
      <c r="P33" s="79"/>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row>
    <row r="34" spans="1:51" x14ac:dyDescent="0.2">
      <c r="A34" s="79"/>
      <c r="B34" s="79"/>
      <c r="C34" s="82"/>
      <c r="D34" s="83"/>
      <c r="E34" s="79"/>
      <c r="F34" s="80"/>
      <c r="G34" s="81"/>
      <c r="H34" s="79"/>
      <c r="I34" s="79"/>
      <c r="J34" s="79"/>
      <c r="K34" s="79"/>
      <c r="L34" s="79"/>
      <c r="M34" s="79"/>
      <c r="N34" s="79"/>
      <c r="O34" s="79"/>
      <c r="P34" s="79"/>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row>
    <row r="35" spans="1:51" x14ac:dyDescent="0.2">
      <c r="A35" s="79"/>
      <c r="B35" s="79"/>
      <c r="C35" s="82"/>
      <c r="D35" s="83"/>
      <c r="E35" s="79"/>
      <c r="F35" s="80"/>
      <c r="G35" s="81"/>
      <c r="H35" s="79"/>
      <c r="I35" s="79"/>
      <c r="J35" s="79"/>
      <c r="K35" s="79"/>
      <c r="L35" s="79"/>
      <c r="M35" s="79"/>
      <c r="N35" s="79"/>
      <c r="O35" s="79"/>
      <c r="P35" s="79"/>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row>
    <row r="36" spans="1:51" x14ac:dyDescent="0.2">
      <c r="A36" s="79"/>
      <c r="B36" s="79"/>
      <c r="C36" s="82"/>
      <c r="D36" s="83"/>
      <c r="E36" s="79"/>
      <c r="F36" s="80"/>
      <c r="G36" s="81"/>
      <c r="H36" s="79"/>
      <c r="I36" s="79"/>
      <c r="J36" s="79"/>
      <c r="K36" s="79"/>
      <c r="L36" s="79"/>
      <c r="M36" s="79"/>
      <c r="N36" s="79"/>
      <c r="O36" s="79"/>
      <c r="P36" s="79"/>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row>
    <row r="37" spans="1:51" x14ac:dyDescent="0.2">
      <c r="A37" s="79"/>
      <c r="B37" s="79"/>
      <c r="C37" s="82"/>
      <c r="D37" s="83"/>
      <c r="E37" s="79"/>
      <c r="F37" s="80"/>
      <c r="G37" s="81"/>
      <c r="H37" s="79"/>
      <c r="I37" s="79"/>
      <c r="J37" s="79"/>
      <c r="K37" s="79"/>
      <c r="L37" s="79"/>
      <c r="M37" s="79"/>
      <c r="N37" s="79"/>
      <c r="O37" s="79"/>
      <c r="P37" s="79"/>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row>
    <row r="38" spans="1:51" x14ac:dyDescent="0.2">
      <c r="A38" s="79"/>
      <c r="B38" s="79"/>
      <c r="C38" s="82"/>
      <c r="D38" s="83"/>
      <c r="E38" s="79"/>
      <c r="F38" s="80"/>
      <c r="G38" s="81"/>
      <c r="H38" s="79"/>
      <c r="I38" s="79"/>
      <c r="J38" s="79"/>
      <c r="K38" s="79"/>
      <c r="L38" s="79"/>
      <c r="M38" s="79"/>
      <c r="N38" s="79"/>
      <c r="O38" s="79"/>
      <c r="P38" s="79"/>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row>
    <row r="39" spans="1:51" x14ac:dyDescent="0.2">
      <c r="A39" s="79"/>
      <c r="B39" s="79"/>
      <c r="C39" s="82"/>
      <c r="D39" s="83"/>
      <c r="E39" s="79"/>
      <c r="F39" s="80"/>
      <c r="G39" s="81"/>
      <c r="H39" s="79"/>
      <c r="I39" s="79"/>
      <c r="J39" s="79"/>
      <c r="K39" s="79"/>
      <c r="L39" s="79"/>
      <c r="M39" s="79"/>
      <c r="N39" s="79"/>
      <c r="O39" s="79"/>
      <c r="P39" s="79"/>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row>
    <row r="40" spans="1:51" x14ac:dyDescent="0.2">
      <c r="A40" s="79"/>
      <c r="B40" s="79"/>
      <c r="C40" s="82"/>
      <c r="D40" s="83"/>
      <c r="E40" s="79"/>
      <c r="F40" s="80"/>
      <c r="G40" s="81"/>
      <c r="H40" s="79"/>
      <c r="I40" s="79"/>
      <c r="J40" s="79"/>
      <c r="K40" s="79"/>
      <c r="L40" s="79"/>
      <c r="M40" s="79"/>
      <c r="N40" s="79"/>
      <c r="O40" s="79"/>
      <c r="P40" s="79"/>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row>
    <row r="41" spans="1:51" x14ac:dyDescent="0.2">
      <c r="A41" s="79"/>
      <c r="B41" s="79"/>
      <c r="C41" s="82"/>
      <c r="D41" s="83"/>
      <c r="E41" s="79"/>
      <c r="F41" s="80"/>
      <c r="G41" s="81"/>
      <c r="H41" s="79"/>
      <c r="I41" s="79"/>
      <c r="J41" s="79"/>
      <c r="K41" s="79"/>
      <c r="L41" s="79"/>
      <c r="M41" s="79"/>
      <c r="N41" s="79"/>
      <c r="O41" s="79"/>
      <c r="P41" s="79"/>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row>
    <row r="42" spans="1:51" x14ac:dyDescent="0.2">
      <c r="A42" s="79"/>
      <c r="B42" s="79"/>
      <c r="C42" s="82"/>
      <c r="D42" s="83"/>
      <c r="E42" s="79"/>
      <c r="F42" s="80"/>
      <c r="G42" s="81"/>
      <c r="H42" s="79"/>
      <c r="I42" s="79"/>
      <c r="J42" s="79"/>
      <c r="K42" s="79"/>
      <c r="L42" s="79"/>
      <c r="M42" s="79"/>
      <c r="N42" s="79"/>
      <c r="O42" s="79"/>
      <c r="P42" s="79"/>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row>
    <row r="43" spans="1:51" x14ac:dyDescent="0.2">
      <c r="A43" s="79"/>
      <c r="B43" s="79"/>
      <c r="C43" s="82"/>
      <c r="D43" s="83"/>
      <c r="E43" s="79"/>
      <c r="F43" s="80"/>
      <c r="G43" s="81"/>
      <c r="H43" s="79"/>
      <c r="I43" s="79"/>
      <c r="J43" s="79"/>
      <c r="K43" s="79"/>
      <c r="L43" s="79"/>
      <c r="M43" s="79"/>
      <c r="N43" s="79"/>
      <c r="O43" s="79"/>
      <c r="P43" s="79"/>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row>
    <row r="44" spans="1:51" x14ac:dyDescent="0.2">
      <c r="A44" s="79"/>
      <c r="B44" s="79"/>
      <c r="C44" s="82"/>
      <c r="D44" s="83"/>
      <c r="E44" s="79"/>
      <c r="F44" s="80"/>
      <c r="G44" s="81"/>
      <c r="H44" s="79"/>
      <c r="I44" s="79"/>
      <c r="J44" s="79"/>
      <c r="K44" s="79"/>
      <c r="L44" s="79"/>
      <c r="M44" s="79"/>
      <c r="N44" s="79"/>
      <c r="O44" s="79"/>
      <c r="P44" s="79"/>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row>
    <row r="45" spans="1:51" x14ac:dyDescent="0.2">
      <c r="A45" s="79"/>
      <c r="B45" s="79"/>
      <c r="C45" s="82"/>
      <c r="D45" s="83"/>
      <c r="E45" s="79"/>
      <c r="F45" s="80"/>
      <c r="G45" s="81"/>
      <c r="H45" s="79"/>
      <c r="I45" s="79"/>
      <c r="J45" s="79"/>
      <c r="K45" s="79"/>
      <c r="L45" s="79"/>
      <c r="M45" s="79"/>
      <c r="N45" s="79"/>
      <c r="O45" s="79"/>
      <c r="P45" s="79"/>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row>
    <row r="46" spans="1:51" x14ac:dyDescent="0.2">
      <c r="A46" s="79"/>
      <c r="B46" s="79"/>
      <c r="C46" s="82"/>
      <c r="D46" s="83"/>
      <c r="E46" s="79"/>
      <c r="F46" s="80"/>
      <c r="G46" s="81"/>
      <c r="H46" s="79"/>
      <c r="I46" s="79"/>
      <c r="J46" s="79"/>
      <c r="K46" s="79"/>
      <c r="L46" s="79"/>
      <c r="M46" s="79"/>
      <c r="N46" s="79"/>
      <c r="O46" s="79"/>
      <c r="P46" s="79"/>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row>
    <row r="47" spans="1:51" x14ac:dyDescent="0.2">
      <c r="A47" s="79"/>
      <c r="B47" s="79"/>
      <c r="C47" s="82"/>
      <c r="D47" s="83"/>
      <c r="E47" s="79"/>
      <c r="F47" s="80"/>
      <c r="G47" s="81"/>
      <c r="H47" s="79"/>
      <c r="I47" s="79"/>
      <c r="J47" s="79"/>
      <c r="K47" s="79"/>
      <c r="L47" s="79"/>
      <c r="M47" s="79"/>
      <c r="N47" s="79"/>
      <c r="O47" s="79"/>
      <c r="P47" s="79"/>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row>
    <row r="48" spans="1:51" x14ac:dyDescent="0.2">
      <c r="A48" s="79"/>
      <c r="B48" s="79"/>
      <c r="C48" s="82"/>
      <c r="D48" s="83"/>
      <c r="E48" s="79"/>
      <c r="F48" s="80"/>
      <c r="G48" s="81"/>
      <c r="H48" s="79"/>
      <c r="I48" s="79"/>
      <c r="J48" s="79"/>
      <c r="K48" s="79"/>
      <c r="L48" s="79"/>
      <c r="M48" s="79"/>
      <c r="N48" s="79"/>
      <c r="O48" s="79"/>
      <c r="P48" s="79"/>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row>
    <row r="49" spans="1:51" x14ac:dyDescent="0.2">
      <c r="A49" s="79"/>
      <c r="B49" s="79"/>
      <c r="C49" s="82"/>
      <c r="D49" s="83"/>
      <c r="E49" s="79"/>
      <c r="F49" s="80"/>
      <c r="G49" s="81"/>
      <c r="H49" s="79"/>
      <c r="I49" s="79"/>
      <c r="J49" s="79"/>
      <c r="K49" s="79"/>
      <c r="L49" s="79"/>
      <c r="M49" s="79"/>
      <c r="N49" s="79"/>
      <c r="O49" s="79"/>
      <c r="P49" s="79"/>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row>
    <row r="50" spans="1:51" x14ac:dyDescent="0.2">
      <c r="A50" s="79"/>
      <c r="B50" s="79"/>
      <c r="C50" s="82"/>
      <c r="D50" s="83"/>
      <c r="E50" s="79"/>
      <c r="F50" s="80"/>
      <c r="G50" s="81"/>
      <c r="H50" s="79"/>
      <c r="I50" s="79"/>
      <c r="J50" s="79"/>
      <c r="K50" s="79"/>
      <c r="L50" s="79"/>
      <c r="M50" s="79"/>
      <c r="N50" s="79"/>
      <c r="O50" s="79"/>
      <c r="P50" s="79"/>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row>
    <row r="51" spans="1:51" x14ac:dyDescent="0.2">
      <c r="A51" s="79"/>
      <c r="B51" s="79"/>
      <c r="C51" s="82"/>
      <c r="D51" s="83"/>
      <c r="E51" s="79"/>
      <c r="F51" s="80"/>
      <c r="G51" s="81"/>
      <c r="H51" s="79"/>
      <c r="I51" s="79"/>
      <c r="J51" s="79"/>
      <c r="K51" s="79"/>
      <c r="L51" s="79"/>
      <c r="M51" s="79"/>
      <c r="N51" s="79"/>
      <c r="O51" s="79"/>
      <c r="P51" s="79"/>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row>
    <row r="52" spans="1:51" x14ac:dyDescent="0.2">
      <c r="A52" s="79"/>
      <c r="B52" s="79"/>
      <c r="C52" s="82"/>
      <c r="D52" s="83"/>
      <c r="E52" s="79"/>
      <c r="F52" s="80"/>
      <c r="G52" s="81"/>
      <c r="H52" s="79"/>
      <c r="I52" s="79"/>
      <c r="J52" s="79"/>
      <c r="K52" s="79"/>
      <c r="L52" s="79"/>
      <c r="M52" s="79"/>
      <c r="N52" s="79"/>
      <c r="O52" s="79"/>
      <c r="P52" s="79"/>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row>
    <row r="53" spans="1:51" x14ac:dyDescent="0.2">
      <c r="A53" s="79"/>
      <c r="B53" s="79"/>
      <c r="C53" s="82"/>
      <c r="D53" s="83"/>
      <c r="E53" s="79"/>
      <c r="F53" s="80"/>
      <c r="G53" s="81"/>
      <c r="H53" s="79"/>
      <c r="I53" s="79"/>
      <c r="J53" s="79"/>
      <c r="K53" s="79"/>
      <c r="L53" s="79"/>
      <c r="M53" s="79"/>
      <c r="N53" s="79"/>
      <c r="O53" s="79"/>
      <c r="P53" s="79"/>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row>
    <row r="54" spans="1:51" x14ac:dyDescent="0.2">
      <c r="A54" s="79"/>
      <c r="B54" s="79"/>
      <c r="C54" s="82"/>
      <c r="D54" s="83"/>
      <c r="E54" s="79"/>
      <c r="F54" s="80"/>
      <c r="G54" s="81"/>
      <c r="H54" s="79"/>
      <c r="I54" s="79"/>
      <c r="J54" s="79"/>
      <c r="K54" s="79"/>
      <c r="L54" s="79"/>
      <c r="M54" s="79"/>
      <c r="N54" s="79"/>
      <c r="O54" s="79"/>
      <c r="P54" s="79"/>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row>
    <row r="55" spans="1:51" x14ac:dyDescent="0.2">
      <c r="A55" s="79"/>
      <c r="B55" s="79"/>
      <c r="C55" s="82"/>
      <c r="D55" s="83"/>
      <c r="E55" s="79"/>
      <c r="F55" s="80"/>
      <c r="G55" s="81"/>
      <c r="H55" s="79"/>
      <c r="I55" s="79"/>
      <c r="J55" s="79"/>
      <c r="K55" s="79"/>
      <c r="L55" s="79"/>
      <c r="M55" s="79"/>
      <c r="N55" s="79"/>
      <c r="O55" s="79"/>
      <c r="P55" s="79"/>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row>
    <row r="56" spans="1:51" x14ac:dyDescent="0.2">
      <c r="A56" s="79"/>
      <c r="B56" s="79"/>
      <c r="C56" s="82"/>
      <c r="D56" s="83"/>
      <c r="E56" s="79"/>
      <c r="F56" s="80"/>
      <c r="G56" s="81"/>
      <c r="H56" s="79"/>
      <c r="I56" s="79"/>
      <c r="J56" s="79"/>
      <c r="K56" s="79"/>
      <c r="L56" s="79"/>
      <c r="M56" s="79"/>
      <c r="N56" s="79"/>
      <c r="O56" s="79"/>
      <c r="P56" s="79"/>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row>
    <row r="57" spans="1:51" x14ac:dyDescent="0.2">
      <c r="A57" s="79"/>
      <c r="B57" s="79"/>
      <c r="C57" s="82"/>
      <c r="D57" s="83"/>
      <c r="E57" s="79"/>
      <c r="F57" s="80"/>
      <c r="G57" s="81"/>
      <c r="H57" s="79"/>
      <c r="I57" s="79"/>
      <c r="J57" s="79"/>
      <c r="K57" s="79"/>
      <c r="L57" s="79"/>
      <c r="M57" s="79"/>
      <c r="N57" s="79"/>
      <c r="O57" s="79"/>
      <c r="P57" s="79"/>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row>
    <row r="58" spans="1:51" x14ac:dyDescent="0.2">
      <c r="A58" s="79"/>
      <c r="B58" s="79"/>
      <c r="C58" s="82"/>
      <c r="D58" s="83"/>
      <c r="E58" s="79"/>
      <c r="F58" s="80"/>
      <c r="G58" s="81"/>
      <c r="H58" s="79"/>
      <c r="I58" s="79"/>
      <c r="J58" s="79"/>
      <c r="K58" s="79"/>
      <c r="L58" s="79"/>
      <c r="M58" s="79"/>
      <c r="N58" s="79"/>
      <c r="O58" s="79"/>
      <c r="P58" s="79"/>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row>
    <row r="59" spans="1:51" x14ac:dyDescent="0.2">
      <c r="A59" s="79"/>
      <c r="B59" s="79"/>
      <c r="C59" s="82"/>
      <c r="D59" s="83"/>
      <c r="E59" s="79"/>
      <c r="F59" s="80"/>
      <c r="G59" s="81"/>
      <c r="H59" s="79"/>
      <c r="I59" s="79"/>
      <c r="J59" s="79"/>
      <c r="K59" s="79"/>
      <c r="L59" s="79"/>
      <c r="M59" s="79"/>
      <c r="N59" s="79"/>
      <c r="O59" s="79"/>
      <c r="P59" s="79"/>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row>
    <row r="60" spans="1:51" x14ac:dyDescent="0.2">
      <c r="A60" s="79"/>
      <c r="B60" s="79"/>
      <c r="C60" s="82"/>
      <c r="D60" s="83"/>
      <c r="E60" s="79"/>
      <c r="F60" s="80"/>
      <c r="G60" s="81"/>
      <c r="H60" s="79"/>
      <c r="I60" s="79"/>
      <c r="J60" s="79"/>
      <c r="K60" s="79"/>
      <c r="L60" s="79"/>
      <c r="M60" s="79"/>
      <c r="N60" s="79"/>
      <c r="O60" s="79"/>
      <c r="P60" s="79"/>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row>
    <row r="61" spans="1:51" x14ac:dyDescent="0.2">
      <c r="A61" s="79"/>
      <c r="B61" s="79"/>
      <c r="C61" s="82"/>
      <c r="D61" s="83"/>
      <c r="E61" s="79"/>
      <c r="F61" s="80"/>
      <c r="G61" s="81"/>
      <c r="H61" s="79"/>
      <c r="I61" s="79"/>
      <c r="J61" s="79"/>
      <c r="K61" s="79"/>
      <c r="L61" s="79"/>
      <c r="M61" s="79"/>
      <c r="N61" s="79"/>
      <c r="O61" s="79"/>
      <c r="P61" s="79"/>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row>
    <row r="62" spans="1:51" x14ac:dyDescent="0.2">
      <c r="A62" s="79"/>
      <c r="B62" s="79"/>
      <c r="C62" s="82"/>
      <c r="D62" s="83"/>
      <c r="E62" s="79"/>
      <c r="F62" s="80"/>
      <c r="G62" s="81"/>
      <c r="H62" s="79"/>
      <c r="I62" s="79"/>
      <c r="J62" s="79"/>
      <c r="K62" s="79"/>
      <c r="L62" s="79"/>
      <c r="M62" s="79"/>
      <c r="N62" s="79"/>
      <c r="O62" s="79"/>
      <c r="P62" s="79"/>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row>
    <row r="63" spans="1:51" x14ac:dyDescent="0.2">
      <c r="A63" s="79"/>
      <c r="B63" s="79"/>
      <c r="C63" s="82"/>
      <c r="D63" s="83"/>
      <c r="E63" s="79"/>
      <c r="F63" s="80"/>
      <c r="G63" s="81"/>
      <c r="H63" s="79"/>
      <c r="I63" s="79"/>
      <c r="J63" s="79"/>
      <c r="K63" s="79"/>
      <c r="L63" s="79"/>
      <c r="M63" s="79"/>
      <c r="N63" s="79"/>
      <c r="O63" s="79"/>
      <c r="P63" s="79"/>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row>
    <row r="64" spans="1:51" x14ac:dyDescent="0.2">
      <c r="A64" s="79"/>
      <c r="B64" s="79"/>
      <c r="C64" s="82"/>
      <c r="D64" s="83"/>
      <c r="E64" s="79"/>
      <c r="F64" s="80"/>
      <c r="G64" s="81"/>
      <c r="H64" s="79"/>
      <c r="I64" s="79"/>
      <c r="J64" s="79"/>
      <c r="K64" s="79"/>
      <c r="L64" s="79"/>
      <c r="M64" s="79"/>
      <c r="N64" s="79"/>
      <c r="O64" s="79"/>
      <c r="P64" s="79"/>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row>
    <row r="65" spans="1:51" x14ac:dyDescent="0.2">
      <c r="A65" s="79"/>
      <c r="B65" s="79"/>
      <c r="C65" s="82"/>
      <c r="D65" s="83"/>
      <c r="E65" s="79"/>
      <c r="F65" s="80"/>
      <c r="G65" s="81"/>
      <c r="H65" s="79"/>
      <c r="I65" s="79"/>
      <c r="J65" s="79"/>
      <c r="K65" s="79"/>
      <c r="L65" s="79"/>
      <c r="M65" s="79"/>
      <c r="N65" s="79"/>
      <c r="O65" s="79"/>
      <c r="P65" s="79"/>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row>
    <row r="66" spans="1:51" x14ac:dyDescent="0.2">
      <c r="A66" s="79"/>
      <c r="B66" s="79"/>
      <c r="C66" s="82"/>
      <c r="D66" s="83"/>
      <c r="E66" s="79"/>
      <c r="F66" s="80"/>
      <c r="G66" s="81"/>
      <c r="H66" s="79"/>
      <c r="I66" s="79"/>
      <c r="J66" s="79"/>
      <c r="K66" s="79"/>
      <c r="L66" s="79"/>
      <c r="M66" s="79"/>
      <c r="N66" s="79"/>
      <c r="O66" s="79"/>
      <c r="P66" s="79"/>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row>
    <row r="67" spans="1:51" x14ac:dyDescent="0.2">
      <c r="A67" s="79"/>
      <c r="B67" s="79"/>
      <c r="C67" s="82"/>
      <c r="D67" s="83"/>
      <c r="E67" s="79"/>
      <c r="F67" s="80"/>
      <c r="G67" s="81"/>
      <c r="H67" s="79"/>
      <c r="I67" s="79"/>
      <c r="J67" s="79"/>
      <c r="K67" s="79"/>
      <c r="L67" s="79"/>
      <c r="M67" s="79"/>
      <c r="N67" s="79"/>
      <c r="O67" s="79"/>
      <c r="P67" s="79"/>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row>
    <row r="68" spans="1:51" x14ac:dyDescent="0.2">
      <c r="A68" s="79"/>
      <c r="B68" s="79"/>
      <c r="C68" s="82"/>
      <c r="D68" s="83"/>
      <c r="E68" s="79"/>
      <c r="F68" s="80"/>
      <c r="G68" s="81"/>
      <c r="H68" s="79"/>
      <c r="I68" s="79"/>
      <c r="J68" s="79"/>
      <c r="K68" s="79"/>
      <c r="L68" s="79"/>
      <c r="M68" s="79"/>
      <c r="N68" s="79"/>
      <c r="O68" s="79"/>
      <c r="P68" s="79"/>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row>
    <row r="69" spans="1:51" x14ac:dyDescent="0.2">
      <c r="A69" s="79"/>
      <c r="B69" s="79"/>
      <c r="C69" s="82"/>
      <c r="D69" s="83"/>
      <c r="E69" s="79"/>
      <c r="F69" s="80"/>
      <c r="G69" s="81"/>
      <c r="H69" s="79"/>
      <c r="I69" s="79"/>
      <c r="J69" s="79"/>
      <c r="K69" s="79"/>
      <c r="L69" s="79"/>
      <c r="M69" s="79"/>
      <c r="N69" s="79"/>
      <c r="O69" s="79"/>
      <c r="P69" s="79"/>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row>
    <row r="70" spans="1:51" x14ac:dyDescent="0.2">
      <c r="A70" s="79"/>
      <c r="B70" s="79"/>
      <c r="C70" s="82"/>
      <c r="D70" s="83"/>
      <c r="E70" s="79"/>
      <c r="F70" s="80"/>
      <c r="G70" s="81"/>
      <c r="H70" s="79"/>
      <c r="I70" s="79"/>
      <c r="J70" s="79"/>
      <c r="K70" s="79"/>
      <c r="L70" s="79"/>
      <c r="M70" s="79"/>
      <c r="N70" s="79"/>
      <c r="O70" s="79"/>
      <c r="P70" s="79"/>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row>
    <row r="71" spans="1:51" x14ac:dyDescent="0.2">
      <c r="A71" s="79"/>
      <c r="B71" s="79"/>
      <c r="C71" s="82"/>
      <c r="D71" s="83"/>
      <c r="E71" s="79"/>
      <c r="F71" s="80"/>
      <c r="G71" s="81"/>
      <c r="H71" s="79"/>
      <c r="I71" s="79"/>
      <c r="J71" s="79"/>
      <c r="K71" s="79"/>
      <c r="L71" s="79"/>
      <c r="M71" s="79"/>
      <c r="N71" s="79"/>
      <c r="O71" s="79"/>
      <c r="P71" s="79"/>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row>
    <row r="72" spans="1:51" x14ac:dyDescent="0.2">
      <c r="A72" s="79"/>
      <c r="B72" s="79"/>
      <c r="C72" s="82"/>
      <c r="D72" s="83"/>
      <c r="E72" s="79"/>
      <c r="F72" s="80"/>
      <c r="G72" s="81"/>
      <c r="H72" s="79"/>
      <c r="I72" s="79"/>
      <c r="J72" s="79"/>
      <c r="K72" s="79"/>
      <c r="L72" s="79"/>
      <c r="M72" s="79"/>
      <c r="N72" s="79"/>
      <c r="O72" s="79"/>
      <c r="P72" s="79"/>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row>
    <row r="73" spans="1:51" x14ac:dyDescent="0.2">
      <c r="A73" s="79"/>
      <c r="B73" s="79"/>
      <c r="C73" s="82"/>
      <c r="D73" s="83"/>
      <c r="E73" s="79"/>
      <c r="F73" s="80"/>
      <c r="G73" s="81"/>
      <c r="H73" s="79"/>
      <c r="I73" s="79"/>
      <c r="J73" s="79"/>
      <c r="K73" s="79"/>
      <c r="L73" s="79"/>
      <c r="M73" s="79"/>
      <c r="N73" s="79"/>
      <c r="O73" s="79"/>
      <c r="P73" s="79"/>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row>
    <row r="74" spans="1:51" x14ac:dyDescent="0.2">
      <c r="A74" s="79"/>
      <c r="B74" s="79"/>
      <c r="C74" s="82"/>
      <c r="D74" s="83"/>
      <c r="E74" s="79"/>
      <c r="F74" s="80"/>
      <c r="G74" s="81"/>
      <c r="H74" s="79"/>
      <c r="I74" s="79"/>
      <c r="J74" s="79"/>
      <c r="K74" s="79"/>
      <c r="L74" s="79"/>
      <c r="M74" s="79"/>
      <c r="N74" s="79"/>
      <c r="O74" s="79"/>
      <c r="P74" s="79"/>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row>
    <row r="75" spans="1:51" x14ac:dyDescent="0.2">
      <c r="A75" s="79"/>
      <c r="B75" s="79"/>
      <c r="C75" s="82"/>
      <c r="D75" s="83"/>
      <c r="E75" s="79"/>
      <c r="F75" s="80"/>
      <c r="G75" s="81"/>
      <c r="H75" s="79"/>
      <c r="I75" s="79"/>
      <c r="J75" s="79"/>
      <c r="K75" s="79"/>
      <c r="L75" s="79"/>
      <c r="M75" s="79"/>
      <c r="N75" s="79"/>
      <c r="O75" s="79"/>
      <c r="P75" s="79"/>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row>
    <row r="76" spans="1:51" x14ac:dyDescent="0.2">
      <c r="A76" s="79"/>
      <c r="B76" s="79"/>
      <c r="C76" s="82"/>
      <c r="D76" s="83"/>
      <c r="E76" s="79"/>
      <c r="F76" s="80"/>
      <c r="G76" s="81"/>
      <c r="H76" s="79"/>
      <c r="I76" s="79"/>
      <c r="J76" s="79"/>
      <c r="K76" s="79"/>
      <c r="L76" s="79"/>
      <c r="M76" s="79"/>
      <c r="N76" s="79"/>
      <c r="O76" s="79"/>
      <c r="P76" s="79"/>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row>
    <row r="77" spans="1:51" x14ac:dyDescent="0.2">
      <c r="A77" s="79"/>
      <c r="B77" s="79"/>
      <c r="C77" s="82"/>
      <c r="D77" s="83"/>
      <c r="E77" s="79"/>
      <c r="F77" s="80"/>
      <c r="G77" s="81"/>
      <c r="H77" s="79"/>
      <c r="I77" s="79"/>
      <c r="J77" s="79"/>
      <c r="K77" s="79"/>
      <c r="L77" s="79"/>
      <c r="M77" s="79"/>
      <c r="N77" s="79"/>
      <c r="O77" s="79"/>
      <c r="P77" s="79"/>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row>
    <row r="78" spans="1:51" x14ac:dyDescent="0.2">
      <c r="A78" s="79"/>
      <c r="B78" s="79"/>
      <c r="C78" s="82"/>
      <c r="D78" s="83"/>
      <c r="E78" s="79"/>
      <c r="F78" s="80"/>
      <c r="G78" s="81"/>
      <c r="H78" s="79"/>
      <c r="I78" s="79"/>
      <c r="J78" s="79"/>
      <c r="K78" s="79"/>
      <c r="L78" s="79"/>
      <c r="M78" s="79"/>
      <c r="N78" s="79"/>
      <c r="O78" s="79"/>
      <c r="P78" s="79"/>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row>
    <row r="79" spans="1:51" x14ac:dyDescent="0.2">
      <c r="A79" s="79"/>
      <c r="B79" s="79"/>
      <c r="C79" s="82"/>
      <c r="D79" s="83"/>
      <c r="E79" s="79"/>
      <c r="F79" s="80"/>
      <c r="G79" s="81"/>
      <c r="H79" s="79"/>
      <c r="I79" s="79"/>
      <c r="J79" s="79"/>
      <c r="K79" s="79"/>
      <c r="L79" s="79"/>
      <c r="M79" s="79"/>
      <c r="N79" s="79"/>
      <c r="O79" s="79"/>
      <c r="P79" s="79"/>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row>
    <row r="80" spans="1:51" x14ac:dyDescent="0.2">
      <c r="A80" s="79"/>
      <c r="B80" s="79"/>
      <c r="C80" s="82"/>
      <c r="D80" s="83"/>
      <c r="E80" s="79"/>
      <c r="F80" s="80"/>
      <c r="G80" s="81"/>
      <c r="H80" s="79"/>
      <c r="I80" s="79"/>
      <c r="J80" s="79"/>
      <c r="K80" s="79"/>
      <c r="L80" s="79"/>
      <c r="M80" s="79"/>
      <c r="N80" s="79"/>
      <c r="O80" s="79"/>
      <c r="P80" s="79"/>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row>
    <row r="81" spans="1:51" x14ac:dyDescent="0.2">
      <c r="A81" s="79"/>
      <c r="B81" s="79"/>
      <c r="C81" s="82"/>
      <c r="D81" s="83"/>
      <c r="E81" s="79"/>
      <c r="F81" s="80"/>
      <c r="G81" s="81"/>
      <c r="H81" s="79"/>
      <c r="I81" s="79"/>
      <c r="J81" s="79"/>
      <c r="K81" s="79"/>
      <c r="L81" s="79"/>
      <c r="M81" s="79"/>
      <c r="N81" s="79"/>
      <c r="O81" s="79"/>
      <c r="P81" s="79"/>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row>
    <row r="82" spans="1:51" x14ac:dyDescent="0.2">
      <c r="A82" s="79"/>
      <c r="B82" s="79"/>
      <c r="C82" s="82"/>
      <c r="D82" s="83"/>
      <c r="E82" s="79"/>
      <c r="F82" s="80"/>
      <c r="G82" s="81"/>
      <c r="H82" s="79"/>
      <c r="I82" s="79"/>
      <c r="J82" s="79"/>
      <c r="K82" s="79"/>
      <c r="L82" s="79"/>
      <c r="M82" s="79"/>
      <c r="N82" s="79"/>
      <c r="O82" s="79"/>
      <c r="P82" s="79"/>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row>
    <row r="83" spans="1:51" x14ac:dyDescent="0.2">
      <c r="A83" s="79"/>
      <c r="B83" s="79"/>
      <c r="C83" s="82"/>
      <c r="D83" s="83"/>
      <c r="E83" s="79"/>
      <c r="F83" s="80"/>
      <c r="G83" s="81"/>
      <c r="H83" s="79"/>
      <c r="I83" s="79"/>
      <c r="J83" s="79"/>
      <c r="K83" s="79"/>
      <c r="L83" s="79"/>
      <c r="M83" s="79"/>
      <c r="N83" s="79"/>
      <c r="O83" s="79"/>
      <c r="P83" s="79"/>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row>
    <row r="84" spans="1:51" x14ac:dyDescent="0.2">
      <c r="A84" s="79"/>
      <c r="B84" s="79"/>
      <c r="C84" s="82"/>
      <c r="D84" s="83"/>
      <c r="E84" s="79"/>
      <c r="F84" s="80"/>
      <c r="G84" s="81"/>
      <c r="H84" s="79"/>
      <c r="I84" s="79"/>
      <c r="J84" s="79"/>
      <c r="K84" s="79"/>
      <c r="L84" s="79"/>
      <c r="M84" s="79"/>
      <c r="N84" s="79"/>
      <c r="O84" s="79"/>
      <c r="P84" s="79"/>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row>
    <row r="85" spans="1:51" x14ac:dyDescent="0.2">
      <c r="A85" s="79"/>
      <c r="B85" s="79"/>
      <c r="C85" s="82"/>
      <c r="D85" s="83"/>
      <c r="E85" s="79"/>
      <c r="F85" s="80"/>
      <c r="G85" s="81"/>
      <c r="H85" s="79"/>
      <c r="I85" s="79"/>
      <c r="J85" s="79"/>
      <c r="K85" s="79"/>
      <c r="L85" s="79"/>
      <c r="M85" s="79"/>
      <c r="N85" s="79"/>
      <c r="O85" s="79"/>
      <c r="P85" s="79"/>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row>
    <row r="86" spans="1:51" x14ac:dyDescent="0.2">
      <c r="A86" s="79"/>
      <c r="B86" s="79"/>
      <c r="C86" s="82"/>
      <c r="D86" s="83"/>
      <c r="E86" s="79"/>
      <c r="F86" s="80"/>
      <c r="G86" s="81"/>
      <c r="H86" s="79"/>
      <c r="I86" s="79"/>
      <c r="J86" s="79"/>
      <c r="K86" s="79"/>
      <c r="L86" s="79"/>
      <c r="M86" s="79"/>
      <c r="N86" s="79"/>
      <c r="O86" s="79"/>
      <c r="P86" s="79"/>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row>
    <row r="87" spans="1:51" x14ac:dyDescent="0.2">
      <c r="A87" s="79"/>
      <c r="B87" s="79"/>
      <c r="C87" s="82"/>
      <c r="D87" s="83"/>
      <c r="E87" s="79"/>
      <c r="F87" s="80"/>
      <c r="G87" s="81"/>
      <c r="H87" s="79"/>
      <c r="I87" s="79"/>
      <c r="J87" s="79"/>
      <c r="K87" s="79"/>
      <c r="L87" s="79"/>
      <c r="M87" s="79"/>
      <c r="N87" s="79"/>
      <c r="O87" s="79"/>
      <c r="P87" s="79"/>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row>
    <row r="88" spans="1:51" x14ac:dyDescent="0.2">
      <c r="A88" s="79"/>
      <c r="B88" s="79"/>
      <c r="C88" s="82"/>
      <c r="D88" s="83"/>
      <c r="E88" s="79"/>
      <c r="F88" s="80"/>
      <c r="G88" s="81"/>
      <c r="H88" s="79"/>
      <c r="I88" s="79"/>
      <c r="J88" s="79"/>
      <c r="K88" s="79"/>
      <c r="L88" s="79"/>
      <c r="M88" s="79"/>
      <c r="N88" s="79"/>
      <c r="O88" s="79"/>
      <c r="P88" s="79"/>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row>
    <row r="89" spans="1:51" x14ac:dyDescent="0.2">
      <c r="A89" s="79"/>
      <c r="B89" s="79"/>
      <c r="C89" s="82"/>
      <c r="D89" s="83"/>
      <c r="E89" s="79"/>
      <c r="F89" s="80"/>
      <c r="G89" s="81"/>
      <c r="H89" s="79"/>
      <c r="I89" s="79"/>
      <c r="J89" s="79"/>
      <c r="K89" s="79"/>
      <c r="L89" s="79"/>
      <c r="M89" s="79"/>
      <c r="N89" s="79"/>
      <c r="O89" s="79"/>
      <c r="P89" s="79"/>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row>
    <row r="90" spans="1:51" x14ac:dyDescent="0.2">
      <c r="A90" s="79"/>
      <c r="B90" s="79"/>
      <c r="C90" s="82"/>
      <c r="D90" s="83"/>
      <c r="E90" s="79"/>
      <c r="F90" s="80"/>
      <c r="G90" s="81"/>
      <c r="H90" s="79"/>
      <c r="I90" s="79"/>
      <c r="J90" s="79"/>
      <c r="K90" s="79"/>
      <c r="L90" s="79"/>
      <c r="M90" s="79"/>
      <c r="N90" s="79"/>
      <c r="O90" s="79"/>
      <c r="P90" s="79"/>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row>
    <row r="91" spans="1:51" x14ac:dyDescent="0.2">
      <c r="A91" s="79"/>
      <c r="B91" s="79"/>
      <c r="C91" s="82"/>
      <c r="D91" s="83"/>
      <c r="E91" s="79"/>
      <c r="F91" s="80"/>
      <c r="G91" s="81"/>
      <c r="H91" s="79"/>
      <c r="I91" s="79"/>
      <c r="J91" s="79"/>
      <c r="K91" s="79"/>
      <c r="L91" s="79"/>
      <c r="M91" s="79"/>
      <c r="N91" s="79"/>
      <c r="O91" s="79"/>
      <c r="P91" s="79"/>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row>
    <row r="92" spans="1:51" x14ac:dyDescent="0.2">
      <c r="A92" s="79"/>
      <c r="B92" s="79"/>
      <c r="C92" s="82"/>
      <c r="D92" s="83"/>
      <c r="E92" s="79"/>
      <c r="F92" s="80"/>
      <c r="G92" s="81"/>
      <c r="H92" s="79"/>
      <c r="I92" s="79"/>
      <c r="J92" s="79"/>
      <c r="K92" s="79"/>
      <c r="L92" s="79"/>
      <c r="M92" s="79"/>
      <c r="N92" s="79"/>
      <c r="O92" s="79"/>
      <c r="P92" s="79"/>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row>
    <row r="93" spans="1:51" x14ac:dyDescent="0.2">
      <c r="A93" s="79"/>
      <c r="B93" s="79"/>
      <c r="C93" s="82"/>
      <c r="D93" s="83"/>
      <c r="E93" s="79"/>
      <c r="F93" s="80"/>
      <c r="G93" s="81"/>
      <c r="H93" s="79"/>
      <c r="I93" s="79"/>
      <c r="J93" s="79"/>
      <c r="K93" s="79"/>
      <c r="L93" s="79"/>
      <c r="M93" s="79"/>
      <c r="N93" s="79"/>
      <c r="O93" s="79"/>
      <c r="P93" s="79"/>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row>
    <row r="94" spans="1:51" x14ac:dyDescent="0.2">
      <c r="A94" s="79"/>
      <c r="B94" s="79"/>
      <c r="C94" s="82"/>
      <c r="D94" s="83"/>
      <c r="E94" s="79"/>
      <c r="F94" s="80"/>
      <c r="G94" s="81"/>
      <c r="H94" s="79"/>
      <c r="I94" s="79"/>
      <c r="J94" s="79"/>
      <c r="K94" s="79"/>
      <c r="L94" s="79"/>
      <c r="M94" s="79"/>
      <c r="N94" s="79"/>
      <c r="O94" s="79"/>
      <c r="P94" s="79"/>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row>
    <row r="95" spans="1:51" x14ac:dyDescent="0.2">
      <c r="A95" s="79"/>
      <c r="B95" s="79"/>
      <c r="C95" s="82"/>
      <c r="D95" s="83"/>
      <c r="E95" s="79"/>
      <c r="F95" s="80"/>
      <c r="G95" s="81"/>
      <c r="H95" s="79"/>
      <c r="I95" s="79"/>
      <c r="J95" s="79"/>
      <c r="K95" s="79"/>
      <c r="L95" s="79"/>
      <c r="M95" s="79"/>
      <c r="N95" s="79"/>
      <c r="O95" s="79"/>
      <c r="P95" s="79"/>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row>
    <row r="96" spans="1:51" x14ac:dyDescent="0.2">
      <c r="A96" s="79"/>
      <c r="B96" s="79"/>
      <c r="C96" s="82"/>
      <c r="D96" s="83"/>
      <c r="E96" s="79"/>
      <c r="F96" s="80"/>
      <c r="G96" s="81"/>
      <c r="H96" s="79"/>
      <c r="I96" s="79"/>
      <c r="J96" s="79"/>
      <c r="K96" s="79"/>
      <c r="L96" s="79"/>
      <c r="M96" s="79"/>
      <c r="N96" s="79"/>
      <c r="O96" s="79"/>
      <c r="P96" s="79"/>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row>
    <row r="97" spans="1:51" x14ac:dyDescent="0.2">
      <c r="A97" s="79"/>
      <c r="B97" s="79"/>
      <c r="C97" s="82"/>
      <c r="D97" s="83"/>
      <c r="E97" s="79"/>
      <c r="F97" s="80"/>
      <c r="G97" s="81"/>
      <c r="H97" s="79"/>
      <c r="I97" s="79"/>
      <c r="J97" s="79"/>
      <c r="K97" s="79"/>
      <c r="L97" s="79"/>
      <c r="M97" s="79"/>
      <c r="N97" s="79"/>
      <c r="O97" s="79"/>
      <c r="P97" s="79"/>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row>
    <row r="98" spans="1:51" x14ac:dyDescent="0.2">
      <c r="A98" s="79"/>
      <c r="B98" s="79"/>
      <c r="C98" s="82"/>
      <c r="D98" s="83"/>
      <c r="E98" s="79"/>
      <c r="F98" s="80"/>
      <c r="G98" s="81"/>
      <c r="H98" s="79"/>
      <c r="I98" s="79"/>
      <c r="J98" s="79"/>
      <c r="K98" s="79"/>
      <c r="L98" s="79"/>
      <c r="M98" s="79"/>
      <c r="N98" s="79"/>
      <c r="O98" s="79"/>
      <c r="P98" s="79"/>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row>
    <row r="99" spans="1:51" x14ac:dyDescent="0.2">
      <c r="A99" s="79"/>
      <c r="B99" s="79"/>
      <c r="C99" s="82"/>
      <c r="D99" s="83"/>
      <c r="E99" s="79"/>
      <c r="F99" s="80"/>
      <c r="G99" s="81"/>
      <c r="H99" s="79"/>
      <c r="I99" s="79"/>
      <c r="J99" s="79"/>
      <c r="K99" s="79"/>
      <c r="L99" s="79"/>
      <c r="M99" s="79"/>
      <c r="N99" s="79"/>
      <c r="O99" s="79"/>
      <c r="P99" s="79"/>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row>
    <row r="100" spans="1:51" x14ac:dyDescent="0.2">
      <c r="A100" s="79"/>
      <c r="B100" s="79"/>
      <c r="C100" s="82"/>
      <c r="D100" s="83"/>
      <c r="E100" s="79"/>
      <c r="F100" s="80"/>
      <c r="G100" s="81"/>
      <c r="H100" s="79"/>
      <c r="I100" s="79"/>
      <c r="J100" s="79"/>
      <c r="K100" s="79"/>
      <c r="L100" s="79"/>
      <c r="M100" s="79"/>
      <c r="N100" s="79"/>
      <c r="O100" s="79"/>
      <c r="P100" s="79"/>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row>
    <row r="101" spans="1:51" x14ac:dyDescent="0.2">
      <c r="A101" s="79"/>
      <c r="B101" s="79"/>
      <c r="C101" s="82"/>
      <c r="D101" s="83"/>
      <c r="E101" s="79"/>
      <c r="F101" s="80"/>
      <c r="G101" s="81"/>
      <c r="H101" s="79"/>
      <c r="I101" s="79"/>
      <c r="J101" s="79"/>
      <c r="K101" s="79"/>
      <c r="L101" s="79"/>
      <c r="M101" s="79"/>
      <c r="N101" s="79"/>
      <c r="O101" s="79"/>
      <c r="P101" s="79"/>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row>
    <row r="102" spans="1:51" x14ac:dyDescent="0.2">
      <c r="A102" s="79"/>
      <c r="B102" s="79"/>
      <c r="C102" s="82"/>
      <c r="D102" s="83"/>
      <c r="E102" s="79"/>
      <c r="F102" s="80"/>
      <c r="G102" s="81"/>
      <c r="H102" s="79"/>
      <c r="I102" s="79"/>
      <c r="J102" s="79"/>
      <c r="K102" s="79"/>
      <c r="L102" s="79"/>
      <c r="M102" s="79"/>
      <c r="N102" s="79"/>
      <c r="O102" s="79"/>
      <c r="P102" s="79"/>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row>
    <row r="103" spans="1:51" x14ac:dyDescent="0.2">
      <c r="A103" s="79"/>
      <c r="B103" s="79"/>
      <c r="C103" s="82"/>
      <c r="D103" s="83"/>
      <c r="E103" s="79"/>
      <c r="F103" s="80"/>
      <c r="G103" s="81"/>
      <c r="H103" s="79"/>
      <c r="I103" s="79"/>
      <c r="J103" s="79"/>
      <c r="K103" s="79"/>
      <c r="L103" s="79"/>
      <c r="M103" s="79"/>
      <c r="N103" s="79"/>
      <c r="O103" s="79"/>
      <c r="P103" s="79"/>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row>
    <row r="104" spans="1:51" x14ac:dyDescent="0.2">
      <c r="A104" s="79"/>
      <c r="B104" s="79"/>
      <c r="C104" s="82"/>
      <c r="D104" s="83"/>
      <c r="E104" s="79"/>
      <c r="F104" s="80"/>
      <c r="G104" s="81"/>
      <c r="H104" s="79"/>
      <c r="I104" s="79"/>
      <c r="J104" s="79"/>
      <c r="K104" s="79"/>
      <c r="L104" s="79"/>
      <c r="M104" s="79"/>
      <c r="N104" s="79"/>
      <c r="O104" s="79"/>
      <c r="P104" s="79"/>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row>
    <row r="105" spans="1:51" x14ac:dyDescent="0.2">
      <c r="A105" s="79"/>
      <c r="B105" s="79"/>
      <c r="C105" s="82"/>
      <c r="D105" s="83"/>
      <c r="E105" s="79"/>
      <c r="F105" s="80"/>
      <c r="G105" s="81"/>
      <c r="H105" s="79"/>
      <c r="I105" s="79"/>
      <c r="J105" s="79"/>
      <c r="K105" s="79"/>
      <c r="L105" s="79"/>
      <c r="M105" s="79"/>
      <c r="N105" s="79"/>
      <c r="O105" s="79"/>
      <c r="P105" s="79"/>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row>
    <row r="106" spans="1:51" x14ac:dyDescent="0.2">
      <c r="A106" s="79"/>
      <c r="B106" s="79"/>
      <c r="C106" s="82"/>
      <c r="D106" s="83"/>
      <c r="E106" s="79"/>
      <c r="F106" s="80"/>
      <c r="G106" s="81"/>
      <c r="H106" s="79"/>
      <c r="I106" s="79"/>
      <c r="J106" s="79"/>
      <c r="K106" s="79"/>
      <c r="L106" s="79"/>
      <c r="M106" s="79"/>
      <c r="N106" s="79"/>
      <c r="O106" s="79"/>
      <c r="P106" s="79"/>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row>
    <row r="107" spans="1:51" x14ac:dyDescent="0.2">
      <c r="A107" s="79"/>
      <c r="B107" s="79"/>
      <c r="C107" s="82"/>
      <c r="D107" s="83"/>
      <c r="E107" s="79"/>
      <c r="F107" s="80"/>
      <c r="G107" s="81"/>
      <c r="H107" s="79"/>
      <c r="I107" s="79"/>
      <c r="J107" s="79"/>
      <c r="K107" s="79"/>
      <c r="L107" s="79"/>
      <c r="M107" s="79"/>
      <c r="N107" s="79"/>
      <c r="O107" s="79"/>
      <c r="P107" s="79"/>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row>
    <row r="108" spans="1:51" x14ac:dyDescent="0.2">
      <c r="A108" s="79"/>
      <c r="B108" s="79"/>
      <c r="C108" s="82"/>
      <c r="D108" s="83"/>
      <c r="E108" s="79"/>
      <c r="F108" s="80"/>
      <c r="G108" s="81"/>
      <c r="H108" s="79"/>
      <c r="I108" s="79"/>
      <c r="J108" s="79"/>
      <c r="K108" s="79"/>
      <c r="L108" s="79"/>
      <c r="M108" s="79"/>
      <c r="N108" s="79"/>
      <c r="O108" s="79"/>
      <c r="P108" s="79"/>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row>
    <row r="109" spans="1:51" x14ac:dyDescent="0.2">
      <c r="A109" s="79"/>
      <c r="B109" s="79"/>
      <c r="C109" s="82"/>
      <c r="D109" s="83"/>
      <c r="E109" s="79"/>
      <c r="F109" s="80"/>
      <c r="G109" s="81"/>
      <c r="H109" s="79"/>
      <c r="I109" s="79"/>
      <c r="J109" s="79"/>
      <c r="K109" s="79"/>
      <c r="L109" s="79"/>
      <c r="M109" s="79"/>
      <c r="N109" s="79"/>
      <c r="O109" s="79"/>
      <c r="P109" s="79"/>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row>
    <row r="110" spans="1:51" x14ac:dyDescent="0.2">
      <c r="A110" s="79"/>
      <c r="B110" s="79"/>
      <c r="C110" s="82"/>
      <c r="D110" s="83"/>
      <c r="E110" s="79"/>
      <c r="F110" s="80"/>
      <c r="G110" s="81"/>
      <c r="H110" s="79"/>
      <c r="I110" s="79"/>
      <c r="J110" s="79"/>
      <c r="K110" s="79"/>
      <c r="L110" s="79"/>
      <c r="M110" s="79"/>
      <c r="N110" s="79"/>
      <c r="O110" s="79"/>
      <c r="P110" s="79"/>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row>
    <row r="111" spans="1:51" x14ac:dyDescent="0.2">
      <c r="A111" s="79"/>
      <c r="B111" s="79"/>
      <c r="C111" s="82"/>
      <c r="D111" s="83"/>
      <c r="E111" s="79"/>
      <c r="F111" s="80"/>
      <c r="G111" s="81"/>
      <c r="H111" s="79"/>
      <c r="I111" s="79"/>
      <c r="J111" s="79"/>
      <c r="K111" s="79"/>
      <c r="L111" s="79"/>
      <c r="M111" s="79"/>
      <c r="N111" s="79"/>
      <c r="O111" s="79"/>
      <c r="P111" s="79"/>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row>
    <row r="112" spans="1:51" x14ac:dyDescent="0.2">
      <c r="A112" s="79"/>
      <c r="B112" s="79"/>
      <c r="C112" s="82"/>
      <c r="D112" s="83"/>
      <c r="E112" s="79"/>
      <c r="F112" s="80"/>
      <c r="G112" s="81"/>
      <c r="H112" s="79"/>
      <c r="I112" s="79"/>
      <c r="J112" s="79"/>
      <c r="K112" s="79"/>
      <c r="L112" s="79"/>
      <c r="M112" s="79"/>
      <c r="N112" s="79"/>
      <c r="O112" s="79"/>
      <c r="P112" s="79"/>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row>
    <row r="113" spans="1:51" x14ac:dyDescent="0.2">
      <c r="A113" s="79"/>
      <c r="B113" s="79"/>
      <c r="C113" s="82"/>
      <c r="D113" s="83"/>
      <c r="E113" s="79"/>
      <c r="F113" s="80"/>
      <c r="G113" s="81"/>
      <c r="H113" s="79"/>
      <c r="I113" s="79"/>
      <c r="J113" s="79"/>
      <c r="K113" s="79"/>
      <c r="L113" s="79"/>
      <c r="M113" s="79"/>
      <c r="N113" s="79"/>
      <c r="O113" s="79"/>
      <c r="P113" s="79"/>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row>
    <row r="114" spans="1:51" x14ac:dyDescent="0.2">
      <c r="A114" s="79"/>
      <c r="B114" s="79"/>
      <c r="C114" s="82"/>
      <c r="D114" s="83"/>
      <c r="E114" s="79"/>
      <c r="F114" s="80"/>
      <c r="G114" s="81"/>
      <c r="H114" s="79"/>
      <c r="I114" s="79"/>
      <c r="J114" s="79"/>
      <c r="K114" s="79"/>
      <c r="L114" s="79"/>
      <c r="M114" s="79"/>
      <c r="N114" s="79"/>
      <c r="O114" s="79"/>
      <c r="P114" s="79"/>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row>
    <row r="115" spans="1:51" x14ac:dyDescent="0.2">
      <c r="A115" s="79"/>
      <c r="B115" s="79"/>
      <c r="C115" s="82"/>
      <c r="D115" s="83"/>
      <c r="E115" s="79"/>
      <c r="F115" s="80"/>
      <c r="G115" s="81"/>
      <c r="H115" s="79"/>
      <c r="I115" s="79"/>
      <c r="J115" s="79"/>
      <c r="K115" s="79"/>
      <c r="L115" s="79"/>
      <c r="M115" s="79"/>
      <c r="N115" s="79"/>
      <c r="O115" s="79"/>
      <c r="P115" s="79"/>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row>
    <row r="116" spans="1:51" x14ac:dyDescent="0.2">
      <c r="A116" s="79"/>
      <c r="B116" s="79"/>
      <c r="C116" s="82"/>
      <c r="D116" s="83"/>
      <c r="E116" s="79"/>
      <c r="F116" s="80"/>
      <c r="G116" s="81"/>
      <c r="H116" s="79"/>
      <c r="I116" s="79"/>
      <c r="J116" s="79"/>
      <c r="K116" s="79"/>
      <c r="L116" s="79"/>
      <c r="M116" s="79"/>
      <c r="N116" s="79"/>
      <c r="O116" s="79"/>
      <c r="P116" s="79"/>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row>
    <row r="117" spans="1:51" x14ac:dyDescent="0.2">
      <c r="A117" s="79"/>
      <c r="B117" s="79"/>
      <c r="C117" s="82"/>
      <c r="D117" s="83"/>
      <c r="E117" s="79"/>
      <c r="F117" s="80"/>
      <c r="G117" s="81"/>
      <c r="H117" s="79"/>
      <c r="I117" s="79"/>
      <c r="J117" s="79"/>
      <c r="K117" s="79"/>
      <c r="L117" s="79"/>
      <c r="M117" s="79"/>
      <c r="N117" s="79"/>
      <c r="O117" s="79"/>
      <c r="P117" s="79"/>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row>
    <row r="118" spans="1:51" x14ac:dyDescent="0.2">
      <c r="A118" s="79"/>
      <c r="B118" s="79"/>
      <c r="C118" s="82"/>
      <c r="D118" s="83"/>
      <c r="E118" s="79"/>
      <c r="F118" s="80"/>
      <c r="G118" s="81"/>
      <c r="H118" s="79"/>
      <c r="I118" s="79"/>
      <c r="J118" s="79"/>
      <c r="K118" s="79"/>
      <c r="L118" s="79"/>
      <c r="M118" s="79"/>
      <c r="N118" s="79"/>
      <c r="O118" s="79"/>
      <c r="P118" s="79"/>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row>
    <row r="119" spans="1:51" x14ac:dyDescent="0.2">
      <c r="A119" s="79"/>
      <c r="B119" s="79"/>
      <c r="C119" s="82"/>
      <c r="D119" s="83"/>
      <c r="E119" s="79"/>
      <c r="F119" s="80"/>
      <c r="G119" s="81"/>
      <c r="H119" s="79"/>
      <c r="I119" s="79"/>
      <c r="J119" s="79"/>
      <c r="K119" s="79"/>
      <c r="L119" s="79"/>
      <c r="M119" s="79"/>
      <c r="N119" s="79"/>
      <c r="O119" s="79"/>
      <c r="P119" s="79"/>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row>
    <row r="120" spans="1:51" x14ac:dyDescent="0.2">
      <c r="A120" s="79"/>
      <c r="B120" s="79"/>
      <c r="C120" s="82"/>
      <c r="D120" s="83"/>
      <c r="E120" s="79"/>
      <c r="F120" s="80"/>
      <c r="G120" s="81"/>
      <c r="H120" s="79"/>
      <c r="I120" s="79"/>
      <c r="J120" s="79"/>
      <c r="K120" s="79"/>
      <c r="L120" s="79"/>
      <c r="M120" s="79"/>
      <c r="N120" s="79"/>
      <c r="O120" s="79"/>
      <c r="P120" s="79"/>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row>
    <row r="121" spans="1:51" x14ac:dyDescent="0.2">
      <c r="A121" s="79"/>
      <c r="B121" s="79"/>
      <c r="C121" s="82"/>
      <c r="D121" s="83"/>
      <c r="E121" s="79"/>
      <c r="F121" s="80"/>
      <c r="G121" s="81"/>
      <c r="H121" s="79"/>
      <c r="I121" s="79"/>
      <c r="J121" s="79"/>
      <c r="K121" s="79"/>
      <c r="L121" s="79"/>
      <c r="M121" s="79"/>
      <c r="N121" s="79"/>
      <c r="O121" s="79"/>
      <c r="P121" s="79"/>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row>
    <row r="122" spans="1:51" x14ac:dyDescent="0.2">
      <c r="A122" s="79"/>
      <c r="B122" s="79"/>
      <c r="C122" s="82"/>
      <c r="D122" s="83"/>
      <c r="E122" s="79"/>
      <c r="F122" s="80"/>
      <c r="G122" s="81"/>
      <c r="H122" s="79"/>
      <c r="I122" s="79"/>
      <c r="J122" s="79"/>
      <c r="K122" s="79"/>
      <c r="L122" s="79"/>
      <c r="M122" s="79"/>
      <c r="N122" s="79"/>
      <c r="O122" s="79"/>
      <c r="P122" s="79"/>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row>
    <row r="123" spans="1:51" x14ac:dyDescent="0.2">
      <c r="A123" s="79"/>
      <c r="B123" s="79"/>
      <c r="C123" s="82"/>
      <c r="D123" s="83"/>
      <c r="E123" s="79"/>
      <c r="F123" s="80"/>
      <c r="G123" s="81"/>
      <c r="H123" s="79"/>
      <c r="I123" s="79"/>
      <c r="J123" s="79"/>
      <c r="K123" s="79"/>
      <c r="L123" s="79"/>
      <c r="M123" s="79"/>
      <c r="N123" s="79"/>
      <c r="O123" s="79"/>
      <c r="P123" s="79"/>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row>
    <row r="124" spans="1:51" x14ac:dyDescent="0.2">
      <c r="A124" s="79"/>
      <c r="B124" s="79"/>
      <c r="C124" s="82"/>
      <c r="D124" s="83"/>
      <c r="E124" s="79"/>
      <c r="F124" s="80"/>
      <c r="G124" s="81"/>
      <c r="H124" s="79"/>
      <c r="I124" s="79"/>
      <c r="J124" s="79"/>
      <c r="K124" s="79"/>
      <c r="L124" s="79"/>
      <c r="M124" s="79"/>
      <c r="N124" s="79"/>
      <c r="O124" s="79"/>
      <c r="P124" s="79"/>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row>
    <row r="125" spans="1:51" x14ac:dyDescent="0.2">
      <c r="A125" s="79"/>
      <c r="B125" s="79"/>
      <c r="C125" s="82"/>
      <c r="D125" s="83"/>
      <c r="E125" s="79"/>
      <c r="F125" s="80"/>
      <c r="G125" s="81"/>
      <c r="H125" s="79"/>
      <c r="I125" s="79"/>
      <c r="J125" s="79"/>
      <c r="K125" s="79"/>
      <c r="L125" s="79"/>
      <c r="M125" s="79"/>
      <c r="N125" s="79"/>
      <c r="O125" s="79"/>
      <c r="P125" s="79"/>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row>
    <row r="126" spans="1:51" x14ac:dyDescent="0.2">
      <c r="A126" s="79"/>
      <c r="B126" s="79"/>
      <c r="C126" s="82"/>
      <c r="D126" s="83"/>
      <c r="E126" s="79"/>
      <c r="F126" s="80"/>
      <c r="G126" s="81"/>
      <c r="H126" s="79"/>
      <c r="I126" s="79"/>
      <c r="J126" s="79"/>
      <c r="K126" s="79"/>
      <c r="L126" s="79"/>
      <c r="M126" s="79"/>
      <c r="N126" s="79"/>
      <c r="O126" s="79"/>
      <c r="P126" s="79"/>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row>
    <row r="127" spans="1:51" x14ac:dyDescent="0.2">
      <c r="A127" s="79"/>
      <c r="B127" s="79"/>
      <c r="C127" s="82"/>
      <c r="D127" s="83"/>
      <c r="E127" s="79"/>
      <c r="F127" s="80"/>
      <c r="G127" s="81"/>
      <c r="H127" s="79"/>
      <c r="I127" s="79"/>
      <c r="J127" s="79"/>
      <c r="K127" s="79"/>
      <c r="L127" s="79"/>
      <c r="M127" s="79"/>
      <c r="N127" s="79"/>
      <c r="O127" s="79"/>
      <c r="P127" s="79"/>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row>
    <row r="128" spans="1:51" x14ac:dyDescent="0.2">
      <c r="A128" s="79"/>
      <c r="B128" s="79"/>
      <c r="C128" s="82"/>
      <c r="D128" s="83"/>
      <c r="E128" s="79"/>
      <c r="F128" s="80"/>
      <c r="G128" s="81"/>
      <c r="H128" s="79"/>
      <c r="I128" s="79"/>
      <c r="J128" s="79"/>
      <c r="K128" s="79"/>
      <c r="L128" s="79"/>
      <c r="M128" s="79"/>
      <c r="N128" s="79"/>
      <c r="O128" s="79"/>
      <c r="P128" s="79"/>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row>
    <row r="129" spans="1:51" x14ac:dyDescent="0.2">
      <c r="A129" s="79"/>
      <c r="B129" s="79"/>
      <c r="C129" s="82"/>
      <c r="D129" s="83"/>
      <c r="E129" s="79"/>
      <c r="F129" s="80"/>
      <c r="G129" s="81"/>
      <c r="H129" s="79"/>
      <c r="I129" s="79"/>
      <c r="J129" s="79"/>
      <c r="K129" s="79"/>
      <c r="L129" s="79"/>
      <c r="M129" s="79"/>
      <c r="N129" s="79"/>
      <c r="O129" s="79"/>
      <c r="P129" s="79"/>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row>
    <row r="130" spans="1:51" x14ac:dyDescent="0.2">
      <c r="A130" s="79"/>
      <c r="B130" s="79"/>
      <c r="C130" s="82"/>
      <c r="D130" s="83"/>
      <c r="E130" s="79"/>
      <c r="F130" s="80"/>
      <c r="G130" s="81"/>
      <c r="H130" s="79"/>
      <c r="I130" s="79"/>
      <c r="J130" s="79"/>
      <c r="K130" s="79"/>
      <c r="L130" s="79"/>
      <c r="M130" s="79"/>
      <c r="N130" s="79"/>
      <c r="O130" s="79"/>
      <c r="P130" s="79"/>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row>
    <row r="131" spans="1:51" x14ac:dyDescent="0.2">
      <c r="A131" s="79"/>
      <c r="B131" s="79"/>
      <c r="C131" s="82"/>
      <c r="D131" s="83"/>
      <c r="E131" s="79"/>
      <c r="F131" s="80"/>
      <c r="G131" s="81"/>
      <c r="H131" s="79"/>
      <c r="I131" s="79"/>
      <c r="J131" s="79"/>
      <c r="K131" s="79"/>
      <c r="L131" s="79"/>
      <c r="M131" s="79"/>
      <c r="N131" s="79"/>
      <c r="O131" s="79"/>
      <c r="P131" s="79"/>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row>
    <row r="132" spans="1:51" x14ac:dyDescent="0.2">
      <c r="A132" s="79"/>
      <c r="B132" s="79"/>
      <c r="C132" s="82"/>
      <c r="D132" s="83"/>
      <c r="E132" s="79"/>
      <c r="F132" s="80"/>
      <c r="G132" s="81"/>
      <c r="H132" s="79"/>
      <c r="I132" s="79"/>
      <c r="J132" s="79"/>
      <c r="K132" s="79"/>
      <c r="L132" s="79"/>
      <c r="M132" s="79"/>
      <c r="N132" s="79"/>
      <c r="O132" s="79"/>
      <c r="P132" s="79"/>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row>
    <row r="133" spans="1:51" x14ac:dyDescent="0.2">
      <c r="A133" s="79"/>
      <c r="B133" s="79"/>
      <c r="C133" s="82"/>
      <c r="D133" s="83"/>
      <c r="E133" s="79"/>
      <c r="F133" s="80"/>
      <c r="G133" s="81"/>
      <c r="H133" s="79"/>
      <c r="I133" s="79"/>
      <c r="J133" s="79"/>
      <c r="K133" s="79"/>
      <c r="L133" s="79"/>
      <c r="M133" s="79"/>
      <c r="N133" s="79"/>
      <c r="O133" s="79"/>
      <c r="P133" s="79"/>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row>
    <row r="134" spans="1:51" x14ac:dyDescent="0.2">
      <c r="A134" s="79"/>
      <c r="B134" s="79"/>
      <c r="C134" s="82"/>
      <c r="D134" s="83"/>
      <c r="E134" s="79"/>
      <c r="F134" s="80"/>
      <c r="G134" s="81"/>
      <c r="H134" s="79"/>
      <c r="I134" s="79"/>
      <c r="J134" s="79"/>
      <c r="K134" s="79"/>
      <c r="L134" s="79"/>
      <c r="M134" s="79"/>
      <c r="N134" s="79"/>
      <c r="O134" s="79"/>
      <c r="P134" s="79"/>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row>
    <row r="135" spans="1:51" x14ac:dyDescent="0.2">
      <c r="A135" s="79"/>
      <c r="B135" s="79"/>
      <c r="C135" s="82"/>
      <c r="D135" s="83"/>
      <c r="E135" s="79"/>
      <c r="F135" s="80"/>
      <c r="G135" s="81"/>
      <c r="H135" s="79"/>
      <c r="I135" s="79"/>
      <c r="J135" s="79"/>
      <c r="K135" s="79"/>
      <c r="L135" s="79"/>
      <c r="M135" s="79"/>
      <c r="N135" s="79"/>
      <c r="O135" s="79"/>
      <c r="P135" s="79"/>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row>
    <row r="136" spans="1:51" x14ac:dyDescent="0.2">
      <c r="A136" s="79"/>
      <c r="B136" s="79"/>
      <c r="C136" s="82"/>
      <c r="D136" s="83"/>
      <c r="E136" s="79"/>
      <c r="F136" s="80"/>
      <c r="G136" s="81"/>
      <c r="H136" s="79"/>
      <c r="I136" s="79"/>
      <c r="J136" s="79"/>
      <c r="K136" s="79"/>
      <c r="L136" s="79"/>
      <c r="M136" s="79"/>
      <c r="N136" s="79"/>
      <c r="O136" s="79"/>
      <c r="P136" s="79"/>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row>
    <row r="137" spans="1:51" x14ac:dyDescent="0.2">
      <c r="A137" s="79"/>
      <c r="B137" s="79"/>
      <c r="C137" s="82"/>
      <c r="D137" s="83"/>
      <c r="E137" s="79"/>
      <c r="F137" s="80"/>
      <c r="G137" s="81"/>
      <c r="H137" s="79"/>
      <c r="I137" s="79"/>
      <c r="J137" s="79"/>
      <c r="K137" s="79"/>
      <c r="L137" s="79"/>
      <c r="M137" s="79"/>
      <c r="N137" s="79"/>
      <c r="O137" s="79"/>
      <c r="P137" s="79"/>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row>
    <row r="138" spans="1:51" x14ac:dyDescent="0.2">
      <c r="A138" s="79"/>
      <c r="B138" s="79"/>
      <c r="C138" s="82"/>
      <c r="D138" s="83"/>
      <c r="E138" s="79"/>
      <c r="F138" s="80"/>
      <c r="G138" s="81"/>
      <c r="H138" s="79"/>
      <c r="I138" s="79"/>
      <c r="J138" s="79"/>
      <c r="K138" s="79"/>
      <c r="L138" s="79"/>
      <c r="M138" s="79"/>
      <c r="N138" s="79"/>
      <c r="O138" s="79"/>
      <c r="P138" s="79"/>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row>
    <row r="139" spans="1:51" x14ac:dyDescent="0.2">
      <c r="A139" s="79"/>
      <c r="B139" s="79"/>
      <c r="C139" s="82"/>
      <c r="D139" s="83"/>
      <c r="E139" s="79"/>
      <c r="F139" s="80"/>
      <c r="G139" s="81"/>
      <c r="H139" s="79"/>
      <c r="I139" s="79"/>
      <c r="J139" s="79"/>
      <c r="K139" s="79"/>
      <c r="L139" s="79"/>
      <c r="M139" s="79"/>
      <c r="N139" s="79"/>
      <c r="O139" s="79"/>
      <c r="P139" s="79"/>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row>
    <row r="140" spans="1:51" x14ac:dyDescent="0.2">
      <c r="A140" s="79"/>
      <c r="B140" s="79"/>
      <c r="C140" s="82"/>
      <c r="D140" s="83"/>
      <c r="E140" s="79"/>
      <c r="F140" s="80"/>
      <c r="G140" s="81"/>
      <c r="H140" s="79"/>
      <c r="I140" s="79"/>
      <c r="J140" s="79"/>
      <c r="K140" s="79"/>
      <c r="L140" s="79"/>
      <c r="M140" s="79"/>
      <c r="N140" s="79"/>
      <c r="O140" s="79"/>
      <c r="P140" s="79"/>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row>
    <row r="141" spans="1:51" x14ac:dyDescent="0.2">
      <c r="A141" s="79"/>
      <c r="B141" s="79"/>
      <c r="C141" s="82"/>
      <c r="D141" s="83"/>
      <c r="E141" s="79"/>
      <c r="F141" s="80"/>
      <c r="G141" s="81"/>
      <c r="H141" s="79"/>
      <c r="I141" s="79"/>
      <c r="J141" s="79"/>
      <c r="K141" s="79"/>
      <c r="L141" s="79"/>
      <c r="M141" s="79"/>
      <c r="N141" s="79"/>
      <c r="O141" s="79"/>
      <c r="P141" s="79"/>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row>
    <row r="142" spans="1:51" x14ac:dyDescent="0.2">
      <c r="A142" s="79"/>
      <c r="B142" s="79"/>
      <c r="C142" s="82"/>
      <c r="D142" s="83"/>
      <c r="E142" s="79"/>
      <c r="F142" s="80"/>
      <c r="G142" s="81"/>
      <c r="H142" s="79"/>
      <c r="I142" s="79"/>
      <c r="J142" s="79"/>
      <c r="K142" s="79"/>
      <c r="L142" s="79"/>
      <c r="M142" s="79"/>
      <c r="N142" s="79"/>
      <c r="O142" s="79"/>
      <c r="P142" s="79"/>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row>
    <row r="143" spans="1:51" x14ac:dyDescent="0.2">
      <c r="A143" s="79"/>
      <c r="B143" s="79"/>
      <c r="C143" s="82"/>
      <c r="D143" s="83"/>
      <c r="E143" s="79"/>
      <c r="F143" s="80"/>
      <c r="G143" s="81"/>
      <c r="H143" s="79"/>
      <c r="I143" s="79"/>
      <c r="J143" s="79"/>
      <c r="K143" s="79"/>
      <c r="L143" s="79"/>
      <c r="M143" s="79"/>
      <c r="N143" s="79"/>
      <c r="O143" s="79"/>
      <c r="P143" s="79"/>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row>
    <row r="144" spans="1:51" x14ac:dyDescent="0.2">
      <c r="A144" s="79"/>
      <c r="B144" s="79"/>
      <c r="C144" s="82"/>
      <c r="D144" s="83"/>
      <c r="E144" s="79"/>
      <c r="F144" s="80"/>
      <c r="G144" s="81"/>
      <c r="H144" s="79"/>
      <c r="I144" s="79"/>
      <c r="J144" s="79"/>
      <c r="K144" s="79"/>
      <c r="L144" s="79"/>
      <c r="M144" s="79"/>
      <c r="N144" s="79"/>
      <c r="O144" s="79"/>
      <c r="P144" s="79"/>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row>
    <row r="145" spans="1:51" x14ac:dyDescent="0.2">
      <c r="A145" s="79"/>
      <c r="B145" s="79"/>
      <c r="C145" s="82"/>
      <c r="D145" s="83"/>
      <c r="E145" s="79"/>
      <c r="F145" s="80"/>
      <c r="G145" s="81"/>
      <c r="H145" s="79"/>
      <c r="I145" s="79"/>
      <c r="J145" s="79"/>
      <c r="K145" s="79"/>
      <c r="L145" s="79"/>
      <c r="M145" s="79"/>
      <c r="N145" s="79"/>
      <c r="O145" s="79"/>
      <c r="P145" s="79"/>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row>
    <row r="146" spans="1:51" x14ac:dyDescent="0.2">
      <c r="A146" s="79"/>
      <c r="B146" s="79"/>
      <c r="C146" s="82"/>
      <c r="D146" s="83"/>
      <c r="E146" s="79"/>
      <c r="F146" s="80"/>
      <c r="G146" s="81"/>
      <c r="H146" s="79"/>
      <c r="I146" s="79"/>
      <c r="J146" s="79"/>
      <c r="K146" s="79"/>
      <c r="L146" s="79"/>
      <c r="M146" s="79"/>
      <c r="N146" s="79"/>
      <c r="O146" s="79"/>
      <c r="P146" s="79"/>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row>
    <row r="147" spans="1:51" x14ac:dyDescent="0.2">
      <c r="A147" s="79"/>
      <c r="B147" s="79"/>
      <c r="C147" s="82"/>
      <c r="D147" s="83"/>
      <c r="E147" s="79"/>
      <c r="F147" s="80"/>
      <c r="G147" s="81"/>
      <c r="H147" s="79"/>
      <c r="I147" s="79"/>
      <c r="J147" s="79"/>
      <c r="K147" s="79"/>
      <c r="L147" s="79"/>
      <c r="M147" s="79"/>
      <c r="N147" s="79"/>
      <c r="O147" s="79"/>
      <c r="P147" s="79"/>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row>
    <row r="148" spans="1:51" x14ac:dyDescent="0.2">
      <c r="A148" s="79"/>
      <c r="B148" s="79"/>
      <c r="C148" s="82"/>
      <c r="D148" s="83"/>
      <c r="E148" s="79"/>
      <c r="F148" s="80"/>
      <c r="G148" s="81"/>
      <c r="H148" s="79"/>
      <c r="I148" s="79"/>
      <c r="J148" s="79"/>
      <c r="K148" s="79"/>
      <c r="L148" s="79"/>
      <c r="M148" s="79"/>
      <c r="N148" s="79"/>
      <c r="O148" s="79"/>
      <c r="P148" s="79"/>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row>
    <row r="149" spans="1:51" x14ac:dyDescent="0.2">
      <c r="A149" s="79"/>
      <c r="B149" s="79"/>
      <c r="C149" s="82"/>
      <c r="D149" s="83"/>
      <c r="E149" s="79"/>
      <c r="F149" s="80"/>
      <c r="G149" s="81"/>
      <c r="H149" s="79"/>
      <c r="I149" s="79"/>
      <c r="J149" s="79"/>
      <c r="K149" s="79"/>
      <c r="L149" s="79"/>
      <c r="M149" s="79"/>
      <c r="N149" s="79"/>
      <c r="O149" s="79"/>
      <c r="P149" s="79"/>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row>
    <row r="150" spans="1:51" x14ac:dyDescent="0.2">
      <c r="A150" s="79"/>
      <c r="B150" s="79"/>
      <c r="C150" s="82"/>
      <c r="D150" s="83"/>
      <c r="E150" s="79"/>
      <c r="F150" s="80"/>
      <c r="G150" s="81"/>
      <c r="H150" s="79"/>
      <c r="I150" s="79"/>
      <c r="J150" s="79"/>
      <c r="K150" s="79"/>
      <c r="L150" s="79"/>
      <c r="M150" s="79"/>
      <c r="N150" s="79"/>
      <c r="O150" s="79"/>
      <c r="P150" s="79"/>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row>
    <row r="151" spans="1:51" x14ac:dyDescent="0.2">
      <c r="A151" s="79"/>
      <c r="B151" s="79"/>
      <c r="C151" s="82"/>
      <c r="D151" s="83"/>
      <c r="E151" s="79"/>
      <c r="F151" s="80"/>
      <c r="G151" s="81"/>
      <c r="H151" s="79"/>
      <c r="I151" s="79"/>
      <c r="J151" s="79"/>
      <c r="K151" s="79"/>
      <c r="L151" s="79"/>
      <c r="M151" s="79"/>
      <c r="N151" s="79"/>
      <c r="O151" s="79"/>
      <c r="P151" s="79"/>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row>
    <row r="152" spans="1:51" x14ac:dyDescent="0.2">
      <c r="A152" s="79"/>
      <c r="B152" s="79"/>
      <c r="C152" s="82"/>
      <c r="D152" s="83"/>
      <c r="E152" s="79"/>
      <c r="F152" s="80"/>
      <c r="G152" s="81"/>
      <c r="H152" s="79"/>
      <c r="I152" s="79"/>
      <c r="J152" s="79"/>
      <c r="K152" s="79"/>
      <c r="L152" s="79"/>
      <c r="M152" s="79"/>
      <c r="N152" s="79"/>
      <c r="O152" s="79"/>
      <c r="P152" s="79"/>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row>
    <row r="153" spans="1:51" x14ac:dyDescent="0.2">
      <c r="A153" s="79"/>
      <c r="B153" s="79"/>
      <c r="C153" s="82"/>
      <c r="D153" s="83"/>
      <c r="E153" s="79"/>
      <c r="F153" s="80"/>
      <c r="G153" s="81"/>
      <c r="H153" s="79"/>
      <c r="I153" s="79"/>
      <c r="J153" s="79"/>
      <c r="K153" s="79"/>
      <c r="L153" s="79"/>
      <c r="M153" s="79"/>
      <c r="N153" s="79"/>
      <c r="O153" s="79"/>
      <c r="P153" s="79"/>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row>
    <row r="154" spans="1:51" x14ac:dyDescent="0.2">
      <c r="A154" s="79"/>
      <c r="B154" s="79"/>
      <c r="C154" s="82"/>
      <c r="D154" s="83"/>
      <c r="E154" s="79"/>
      <c r="F154" s="80"/>
      <c r="G154" s="81"/>
      <c r="H154" s="79"/>
      <c r="I154" s="79"/>
      <c r="J154" s="79"/>
      <c r="K154" s="79"/>
      <c r="L154" s="79"/>
      <c r="M154" s="79"/>
      <c r="N154" s="79"/>
      <c r="O154" s="79"/>
      <c r="P154" s="79"/>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row>
    <row r="155" spans="1:51" x14ac:dyDescent="0.2">
      <c r="A155" s="79"/>
      <c r="B155" s="79"/>
      <c r="C155" s="82"/>
      <c r="D155" s="83"/>
      <c r="E155" s="79"/>
      <c r="F155" s="80"/>
      <c r="G155" s="81"/>
      <c r="H155" s="79"/>
      <c r="I155" s="79"/>
      <c r="J155" s="79"/>
      <c r="K155" s="79"/>
      <c r="L155" s="79"/>
      <c r="M155" s="79"/>
      <c r="N155" s="79"/>
      <c r="O155" s="79"/>
      <c r="P155" s="79"/>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row>
    <row r="156" spans="1:51" x14ac:dyDescent="0.2">
      <c r="A156" s="79"/>
      <c r="B156" s="79"/>
      <c r="C156" s="82"/>
      <c r="D156" s="83"/>
      <c r="E156" s="79"/>
      <c r="F156" s="80"/>
      <c r="G156" s="81"/>
      <c r="H156" s="79"/>
      <c r="I156" s="79"/>
      <c r="J156" s="79"/>
      <c r="K156" s="79"/>
      <c r="L156" s="79"/>
      <c r="M156" s="79"/>
      <c r="N156" s="79"/>
      <c r="O156" s="79"/>
      <c r="P156" s="79"/>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row>
    <row r="157" spans="1:51" x14ac:dyDescent="0.2">
      <c r="A157" s="79"/>
      <c r="B157" s="79"/>
      <c r="C157" s="82"/>
      <c r="D157" s="83"/>
      <c r="E157" s="79"/>
      <c r="F157" s="80"/>
      <c r="G157" s="81"/>
      <c r="H157" s="79"/>
      <c r="I157" s="79"/>
      <c r="J157" s="79"/>
      <c r="K157" s="79"/>
      <c r="L157" s="79"/>
      <c r="M157" s="79"/>
      <c r="N157" s="79"/>
      <c r="O157" s="79"/>
      <c r="P157" s="79"/>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row>
    <row r="158" spans="1:51" x14ac:dyDescent="0.2">
      <c r="A158" s="79"/>
      <c r="B158" s="79"/>
      <c r="C158" s="82"/>
      <c r="D158" s="83"/>
      <c r="E158" s="79"/>
      <c r="F158" s="80"/>
      <c r="G158" s="81"/>
      <c r="H158" s="79"/>
      <c r="I158" s="79"/>
      <c r="J158" s="79"/>
      <c r="K158" s="79"/>
      <c r="L158" s="79"/>
      <c r="M158" s="79"/>
      <c r="N158" s="79"/>
      <c r="O158" s="79"/>
      <c r="P158" s="79"/>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row>
    <row r="159" spans="1:51" x14ac:dyDescent="0.2">
      <c r="A159" s="79"/>
      <c r="B159" s="79"/>
      <c r="C159" s="82"/>
      <c r="D159" s="83"/>
      <c r="E159" s="79"/>
      <c r="F159" s="80"/>
      <c r="G159" s="81"/>
      <c r="H159" s="79"/>
      <c r="I159" s="79"/>
      <c r="J159" s="79"/>
      <c r="K159" s="79"/>
      <c r="L159" s="79"/>
      <c r="M159" s="79"/>
      <c r="N159" s="79"/>
      <c r="O159" s="79"/>
      <c r="P159" s="79"/>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row>
    <row r="160" spans="1:51" x14ac:dyDescent="0.2">
      <c r="A160" s="79"/>
      <c r="B160" s="79"/>
      <c r="C160" s="82"/>
      <c r="D160" s="83"/>
      <c r="E160" s="79"/>
      <c r="F160" s="80"/>
      <c r="G160" s="81"/>
      <c r="H160" s="79"/>
      <c r="I160" s="79"/>
      <c r="J160" s="79"/>
      <c r="K160" s="79"/>
      <c r="L160" s="79"/>
      <c r="M160" s="79"/>
      <c r="N160" s="79"/>
      <c r="O160" s="79"/>
      <c r="P160" s="79"/>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row>
    <row r="161" spans="1:51" x14ac:dyDescent="0.2">
      <c r="A161" s="79"/>
      <c r="B161" s="79"/>
      <c r="C161" s="82"/>
      <c r="D161" s="83"/>
      <c r="E161" s="79"/>
      <c r="F161" s="80"/>
      <c r="G161" s="81"/>
      <c r="H161" s="79"/>
      <c r="I161" s="79"/>
      <c r="J161" s="79"/>
      <c r="K161" s="79"/>
      <c r="L161" s="79"/>
      <c r="M161" s="79"/>
      <c r="N161" s="79"/>
      <c r="O161" s="79"/>
      <c r="P161" s="79"/>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row>
    <row r="162" spans="1:51" x14ac:dyDescent="0.2">
      <c r="A162" s="79"/>
      <c r="B162" s="79"/>
      <c r="C162" s="82"/>
      <c r="D162" s="83"/>
      <c r="E162" s="79"/>
      <c r="F162" s="80"/>
      <c r="G162" s="81"/>
      <c r="H162" s="79"/>
      <c r="I162" s="79"/>
      <c r="J162" s="79"/>
      <c r="K162" s="79"/>
      <c r="L162" s="79"/>
      <c r="M162" s="79"/>
      <c r="N162" s="79"/>
      <c r="O162" s="79"/>
      <c r="P162" s="79"/>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row>
    <row r="163" spans="1:51" x14ac:dyDescent="0.2">
      <c r="A163" s="79"/>
      <c r="B163" s="79"/>
      <c r="C163" s="82"/>
      <c r="D163" s="83"/>
      <c r="E163" s="79"/>
      <c r="F163" s="80"/>
      <c r="G163" s="81"/>
      <c r="H163" s="79"/>
      <c r="I163" s="79"/>
      <c r="J163" s="79"/>
      <c r="K163" s="79"/>
      <c r="L163" s="79"/>
      <c r="M163" s="79"/>
      <c r="N163" s="79"/>
      <c r="O163" s="79"/>
      <c r="P163" s="79"/>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row>
    <row r="164" spans="1:51" x14ac:dyDescent="0.2">
      <c r="A164" s="79"/>
      <c r="B164" s="79"/>
      <c r="C164" s="82"/>
      <c r="D164" s="83"/>
      <c r="E164" s="79"/>
      <c r="F164" s="80"/>
      <c r="G164" s="81"/>
      <c r="H164" s="79"/>
      <c r="I164" s="79"/>
      <c r="J164" s="79"/>
      <c r="K164" s="79"/>
      <c r="L164" s="79"/>
      <c r="M164" s="79"/>
      <c r="N164" s="79"/>
      <c r="O164" s="79"/>
      <c r="P164" s="79"/>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row>
    <row r="165" spans="1:51" x14ac:dyDescent="0.2">
      <c r="A165" s="79"/>
      <c r="B165" s="79"/>
      <c r="C165" s="82"/>
      <c r="D165" s="83"/>
      <c r="E165" s="79"/>
      <c r="F165" s="80"/>
      <c r="G165" s="81"/>
      <c r="H165" s="79"/>
      <c r="I165" s="79"/>
      <c r="J165" s="79"/>
      <c r="K165" s="79"/>
      <c r="L165" s="79"/>
      <c r="M165" s="79"/>
      <c r="N165" s="79"/>
      <c r="O165" s="79"/>
      <c r="P165" s="79"/>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row>
    <row r="166" spans="1:51" x14ac:dyDescent="0.2">
      <c r="A166" s="79"/>
      <c r="B166" s="79"/>
      <c r="C166" s="82"/>
      <c r="D166" s="83"/>
      <c r="E166" s="79"/>
      <c r="F166" s="80"/>
      <c r="G166" s="81"/>
      <c r="H166" s="79"/>
      <c r="I166" s="79"/>
      <c r="J166" s="79"/>
      <c r="K166" s="79"/>
      <c r="L166" s="79"/>
      <c r="M166" s="79"/>
      <c r="N166" s="79"/>
      <c r="O166" s="79"/>
      <c r="P166" s="79"/>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row>
    <row r="167" spans="1:51" x14ac:dyDescent="0.2">
      <c r="A167" s="79"/>
      <c r="B167" s="79"/>
      <c r="C167" s="82"/>
      <c r="D167" s="83"/>
      <c r="E167" s="79"/>
      <c r="F167" s="80"/>
      <c r="G167" s="81"/>
      <c r="H167" s="79"/>
      <c r="I167" s="79"/>
      <c r="J167" s="79"/>
      <c r="K167" s="79"/>
      <c r="L167" s="79"/>
      <c r="M167" s="79"/>
      <c r="N167" s="79"/>
      <c r="O167" s="79"/>
      <c r="P167" s="79"/>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row>
    <row r="168" spans="1:51" x14ac:dyDescent="0.2">
      <c r="A168" s="79"/>
      <c r="B168" s="79"/>
      <c r="C168" s="82"/>
      <c r="D168" s="83"/>
      <c r="E168" s="79"/>
      <c r="F168" s="80"/>
      <c r="G168" s="81"/>
      <c r="H168" s="79"/>
      <c r="I168" s="79"/>
      <c r="J168" s="79"/>
      <c r="K168" s="79"/>
      <c r="L168" s="79"/>
      <c r="M168" s="79"/>
      <c r="N168" s="79"/>
      <c r="O168" s="79"/>
      <c r="P168" s="79"/>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row>
    <row r="169" spans="1:51" x14ac:dyDescent="0.2">
      <c r="A169" s="79"/>
      <c r="B169" s="79"/>
      <c r="C169" s="82"/>
      <c r="D169" s="83"/>
      <c r="E169" s="79"/>
      <c r="F169" s="80"/>
      <c r="G169" s="81"/>
      <c r="H169" s="79"/>
      <c r="I169" s="79"/>
      <c r="J169" s="79"/>
      <c r="K169" s="79"/>
      <c r="L169" s="79"/>
      <c r="M169" s="79"/>
      <c r="N169" s="79"/>
      <c r="O169" s="79"/>
      <c r="P169" s="79"/>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row>
    <row r="170" spans="1:51" x14ac:dyDescent="0.2">
      <c r="A170" s="79"/>
      <c r="B170" s="79"/>
      <c r="C170" s="82"/>
      <c r="D170" s="83"/>
      <c r="E170" s="79"/>
      <c r="F170" s="80"/>
      <c r="G170" s="81"/>
      <c r="H170" s="79"/>
      <c r="I170" s="79"/>
      <c r="J170" s="79"/>
      <c r="K170" s="79"/>
      <c r="L170" s="79"/>
      <c r="M170" s="79"/>
      <c r="N170" s="79"/>
      <c r="O170" s="79"/>
      <c r="P170" s="79"/>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row>
    <row r="171" spans="1:51" x14ac:dyDescent="0.2">
      <c r="A171" s="79"/>
      <c r="B171" s="79"/>
      <c r="C171" s="82"/>
      <c r="D171" s="83"/>
      <c r="E171" s="79"/>
      <c r="F171" s="80"/>
      <c r="G171" s="81"/>
      <c r="H171" s="79"/>
      <c r="I171" s="79"/>
      <c r="J171" s="79"/>
      <c r="K171" s="79"/>
      <c r="L171" s="79"/>
      <c r="M171" s="79"/>
      <c r="N171" s="79"/>
      <c r="O171" s="79"/>
      <c r="P171" s="79"/>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row>
    <row r="172" spans="1:51" x14ac:dyDescent="0.2">
      <c r="A172" s="79"/>
      <c r="B172" s="79"/>
      <c r="C172" s="82"/>
      <c r="D172" s="83"/>
      <c r="E172" s="79"/>
      <c r="F172" s="80"/>
      <c r="G172" s="81"/>
      <c r="H172" s="79"/>
      <c r="I172" s="79"/>
      <c r="J172" s="79"/>
      <c r="K172" s="79"/>
      <c r="L172" s="79"/>
      <c r="M172" s="79"/>
      <c r="N172" s="79"/>
      <c r="O172" s="79"/>
      <c r="P172" s="79"/>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row>
    <row r="173" spans="1:51" x14ac:dyDescent="0.2">
      <c r="A173" s="79"/>
      <c r="B173" s="79"/>
      <c r="C173" s="82"/>
      <c r="D173" s="83"/>
      <c r="E173" s="79"/>
      <c r="F173" s="80"/>
      <c r="G173" s="81"/>
      <c r="H173" s="79"/>
      <c r="I173" s="79"/>
      <c r="J173" s="79"/>
      <c r="K173" s="79"/>
      <c r="L173" s="79"/>
      <c r="M173" s="79"/>
      <c r="N173" s="79"/>
      <c r="O173" s="79"/>
      <c r="P173" s="79"/>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row>
    <row r="174" spans="1:51" x14ac:dyDescent="0.2">
      <c r="A174" s="79"/>
      <c r="B174" s="79"/>
      <c r="C174" s="82"/>
      <c r="D174" s="83"/>
      <c r="E174" s="79"/>
      <c r="F174" s="80"/>
      <c r="G174" s="81"/>
      <c r="H174" s="79"/>
      <c r="I174" s="79"/>
      <c r="J174" s="79"/>
      <c r="K174" s="79"/>
      <c r="L174" s="79"/>
      <c r="M174" s="79"/>
      <c r="N174" s="79"/>
      <c r="O174" s="79"/>
      <c r="P174" s="79"/>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row>
    <row r="175" spans="1:51" x14ac:dyDescent="0.2">
      <c r="A175" s="79"/>
      <c r="B175" s="79"/>
      <c r="C175" s="82"/>
      <c r="D175" s="83"/>
      <c r="E175" s="79"/>
      <c r="F175" s="80"/>
      <c r="G175" s="81"/>
      <c r="H175" s="79"/>
      <c r="I175" s="79"/>
      <c r="J175" s="79"/>
      <c r="K175" s="79"/>
      <c r="L175" s="79"/>
      <c r="M175" s="79"/>
      <c r="N175" s="79"/>
      <c r="O175" s="79"/>
      <c r="P175" s="79"/>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row>
    <row r="176" spans="1:51" x14ac:dyDescent="0.2">
      <c r="A176" s="79"/>
      <c r="B176" s="79"/>
      <c r="C176" s="82"/>
      <c r="D176" s="83"/>
      <c r="E176" s="79"/>
      <c r="F176" s="80"/>
      <c r="G176" s="81"/>
      <c r="H176" s="79"/>
      <c r="I176" s="79"/>
      <c r="J176" s="79"/>
      <c r="K176" s="79"/>
      <c r="L176" s="79"/>
      <c r="M176" s="79"/>
      <c r="N176" s="79"/>
      <c r="O176" s="79"/>
      <c r="P176" s="79"/>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row>
    <row r="177" spans="1:51" x14ac:dyDescent="0.2">
      <c r="A177" s="79"/>
      <c r="B177" s="79"/>
      <c r="C177" s="82"/>
      <c r="D177" s="83"/>
      <c r="E177" s="79"/>
      <c r="F177" s="80"/>
      <c r="G177" s="81"/>
      <c r="H177" s="79"/>
      <c r="I177" s="79"/>
      <c r="J177" s="79"/>
      <c r="K177" s="79"/>
      <c r="L177" s="79"/>
      <c r="M177" s="79"/>
      <c r="N177" s="79"/>
      <c r="O177" s="79"/>
      <c r="P177" s="79"/>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row>
    <row r="178" spans="1:51" x14ac:dyDescent="0.2">
      <c r="A178" s="79"/>
      <c r="B178" s="79"/>
      <c r="C178" s="82"/>
      <c r="D178" s="83"/>
      <c r="E178" s="79"/>
      <c r="F178" s="80"/>
      <c r="G178" s="81"/>
      <c r="H178" s="79"/>
      <c r="I178" s="79"/>
      <c r="J178" s="79"/>
      <c r="K178" s="79"/>
      <c r="L178" s="79"/>
      <c r="M178" s="79"/>
      <c r="N178" s="79"/>
      <c r="O178" s="79"/>
      <c r="P178" s="79"/>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row>
    <row r="179" spans="1:51" x14ac:dyDescent="0.2">
      <c r="A179" s="79"/>
      <c r="B179" s="79"/>
      <c r="C179" s="82"/>
      <c r="D179" s="83"/>
      <c r="E179" s="79"/>
      <c r="F179" s="80"/>
      <c r="G179" s="81"/>
      <c r="H179" s="79"/>
      <c r="I179" s="79"/>
      <c r="J179" s="79"/>
      <c r="K179" s="79"/>
      <c r="L179" s="79"/>
      <c r="M179" s="79"/>
      <c r="N179" s="79"/>
      <c r="O179" s="79"/>
      <c r="P179" s="79"/>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row>
    <row r="180" spans="1:51" x14ac:dyDescent="0.2">
      <c r="A180" s="79"/>
      <c r="B180" s="79"/>
      <c r="C180" s="82"/>
      <c r="D180" s="83"/>
      <c r="E180" s="79"/>
      <c r="F180" s="80"/>
      <c r="G180" s="81"/>
      <c r="H180" s="79"/>
      <c r="I180" s="79"/>
      <c r="J180" s="79"/>
      <c r="K180" s="79"/>
      <c r="L180" s="79"/>
      <c r="M180" s="79"/>
      <c r="N180" s="79"/>
      <c r="O180" s="79"/>
      <c r="P180" s="79"/>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row>
    <row r="181" spans="1:51" x14ac:dyDescent="0.2">
      <c r="A181" s="79"/>
      <c r="B181" s="79"/>
      <c r="C181" s="82"/>
      <c r="D181" s="83"/>
      <c r="E181" s="79"/>
      <c r="F181" s="80"/>
      <c r="G181" s="81"/>
      <c r="H181" s="79"/>
      <c r="I181" s="79"/>
      <c r="J181" s="79"/>
      <c r="K181" s="79"/>
      <c r="L181" s="79"/>
      <c r="M181" s="79"/>
      <c r="N181" s="79"/>
      <c r="O181" s="79"/>
      <c r="P181" s="79"/>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row>
    <row r="182" spans="1:51" x14ac:dyDescent="0.2">
      <c r="A182" s="79"/>
      <c r="B182" s="79"/>
      <c r="C182" s="82"/>
      <c r="D182" s="83"/>
      <c r="E182" s="79"/>
      <c r="F182" s="80"/>
      <c r="G182" s="81"/>
      <c r="H182" s="79"/>
      <c r="I182" s="79"/>
      <c r="J182" s="79"/>
      <c r="K182" s="79"/>
      <c r="L182" s="79"/>
      <c r="M182" s="79"/>
      <c r="N182" s="79"/>
      <c r="O182" s="79"/>
      <c r="P182" s="79"/>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row>
    <row r="183" spans="1:51" x14ac:dyDescent="0.2">
      <c r="A183" s="79"/>
      <c r="B183" s="79"/>
      <c r="C183" s="82"/>
      <c r="D183" s="83"/>
      <c r="E183" s="79"/>
      <c r="F183" s="80"/>
      <c r="G183" s="81"/>
      <c r="H183" s="79"/>
      <c r="I183" s="79"/>
      <c r="J183" s="79"/>
      <c r="K183" s="79"/>
      <c r="L183" s="79"/>
      <c r="M183" s="79"/>
      <c r="N183" s="79"/>
      <c r="O183" s="79"/>
      <c r="P183" s="79"/>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row>
    <row r="184" spans="1:51" x14ac:dyDescent="0.2">
      <c r="A184" s="79"/>
      <c r="B184" s="79"/>
      <c r="C184" s="82"/>
      <c r="D184" s="83"/>
      <c r="E184" s="79"/>
      <c r="F184" s="80"/>
      <c r="G184" s="81"/>
      <c r="H184" s="79"/>
      <c r="I184" s="79"/>
      <c r="J184" s="79"/>
      <c r="K184" s="79"/>
      <c r="L184" s="79"/>
      <c r="M184" s="79"/>
      <c r="N184" s="79"/>
      <c r="O184" s="79"/>
      <c r="P184" s="79"/>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row>
    <row r="185" spans="1:51" x14ac:dyDescent="0.2">
      <c r="A185" s="79"/>
      <c r="B185" s="79"/>
      <c r="C185" s="82"/>
      <c r="D185" s="83"/>
      <c r="E185" s="79"/>
      <c r="F185" s="80"/>
      <c r="G185" s="81"/>
      <c r="H185" s="79"/>
      <c r="I185" s="79"/>
      <c r="J185" s="79"/>
      <c r="K185" s="79"/>
      <c r="L185" s="79"/>
      <c r="M185" s="79"/>
      <c r="N185" s="79"/>
      <c r="O185" s="79"/>
      <c r="P185" s="79"/>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row>
    <row r="186" spans="1:51" x14ac:dyDescent="0.2">
      <c r="A186" s="79"/>
      <c r="B186" s="79"/>
      <c r="C186" s="82"/>
      <c r="D186" s="83"/>
      <c r="E186" s="79"/>
      <c r="F186" s="80"/>
      <c r="G186" s="81"/>
      <c r="H186" s="79"/>
      <c r="I186" s="79"/>
      <c r="J186" s="79"/>
      <c r="K186" s="79"/>
      <c r="L186" s="79"/>
      <c r="M186" s="79"/>
      <c r="N186" s="79"/>
      <c r="O186" s="79"/>
      <c r="P186" s="79"/>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row>
    <row r="187" spans="1:51" x14ac:dyDescent="0.2">
      <c r="A187" s="79"/>
      <c r="B187" s="79"/>
      <c r="C187" s="82"/>
      <c r="D187" s="83"/>
      <c r="E187" s="79"/>
      <c r="F187" s="80"/>
      <c r="G187" s="81"/>
      <c r="H187" s="79"/>
      <c r="I187" s="79"/>
      <c r="J187" s="79"/>
      <c r="K187" s="79"/>
      <c r="L187" s="79"/>
      <c r="M187" s="79"/>
      <c r="N187" s="79"/>
      <c r="O187" s="79"/>
      <c r="P187" s="79"/>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row>
    <row r="188" spans="1:51" x14ac:dyDescent="0.2">
      <c r="A188" s="79"/>
      <c r="B188" s="79"/>
      <c r="C188" s="82"/>
      <c r="D188" s="83"/>
      <c r="E188" s="79"/>
      <c r="F188" s="80"/>
      <c r="G188" s="81"/>
      <c r="H188" s="79"/>
      <c r="I188" s="79"/>
      <c r="J188" s="79"/>
      <c r="K188" s="79"/>
      <c r="L188" s="79"/>
      <c r="M188" s="79"/>
      <c r="N188" s="79"/>
      <c r="O188" s="79"/>
      <c r="P188" s="79"/>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row>
    <row r="189" spans="1:51" x14ac:dyDescent="0.2">
      <c r="A189" s="79"/>
      <c r="B189" s="79"/>
      <c r="C189" s="82"/>
      <c r="D189" s="83"/>
      <c r="E189" s="79"/>
      <c r="F189" s="80"/>
      <c r="G189" s="81"/>
      <c r="H189" s="79"/>
      <c r="I189" s="79"/>
      <c r="J189" s="79"/>
      <c r="K189" s="79"/>
      <c r="L189" s="79"/>
      <c r="M189" s="79"/>
      <c r="N189" s="79"/>
      <c r="O189" s="79"/>
      <c r="P189" s="79"/>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row>
    <row r="190" spans="1:51" x14ac:dyDescent="0.2">
      <c r="A190" s="79"/>
      <c r="B190" s="79"/>
      <c r="C190" s="82"/>
      <c r="D190" s="83"/>
      <c r="E190" s="79"/>
      <c r="F190" s="80"/>
      <c r="G190" s="81"/>
      <c r="H190" s="79"/>
      <c r="I190" s="79"/>
      <c r="J190" s="79"/>
      <c r="K190" s="79"/>
      <c r="L190" s="79"/>
      <c r="M190" s="79"/>
      <c r="N190" s="79"/>
      <c r="O190" s="79"/>
      <c r="P190" s="79"/>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row>
    <row r="191" spans="1:51" x14ac:dyDescent="0.2">
      <c r="A191" s="79"/>
      <c r="B191" s="79"/>
      <c r="C191" s="82"/>
      <c r="D191" s="83"/>
      <c r="E191" s="79"/>
      <c r="F191" s="80"/>
      <c r="G191" s="81"/>
      <c r="H191" s="79"/>
      <c r="I191" s="79"/>
      <c r="J191" s="79"/>
      <c r="K191" s="79"/>
      <c r="L191" s="79"/>
      <c r="M191" s="79"/>
      <c r="N191" s="79"/>
      <c r="O191" s="79"/>
      <c r="P191" s="79"/>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row>
    <row r="192" spans="1:51" x14ac:dyDescent="0.2">
      <c r="A192" s="79"/>
      <c r="B192" s="79"/>
      <c r="C192" s="82"/>
      <c r="D192" s="83"/>
      <c r="E192" s="79"/>
      <c r="F192" s="80"/>
      <c r="G192" s="81"/>
      <c r="H192" s="79"/>
      <c r="I192" s="79"/>
      <c r="J192" s="79"/>
      <c r="K192" s="79"/>
      <c r="L192" s="79"/>
      <c r="M192" s="79"/>
      <c r="N192" s="79"/>
      <c r="O192" s="79"/>
      <c r="P192" s="79"/>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row>
    <row r="193" spans="1:51" x14ac:dyDescent="0.2">
      <c r="A193" s="79"/>
      <c r="B193" s="79"/>
      <c r="C193" s="82"/>
      <c r="D193" s="83"/>
      <c r="E193" s="79"/>
      <c r="F193" s="80"/>
      <c r="G193" s="81"/>
      <c r="H193" s="79"/>
      <c r="I193" s="79"/>
      <c r="J193" s="79"/>
      <c r="K193" s="79"/>
      <c r="L193" s="79"/>
      <c r="M193" s="79"/>
      <c r="N193" s="79"/>
      <c r="O193" s="79"/>
      <c r="P193" s="79"/>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row>
    <row r="194" spans="1:51" x14ac:dyDescent="0.2">
      <c r="A194" s="79"/>
      <c r="B194" s="79"/>
      <c r="C194" s="82"/>
      <c r="D194" s="83"/>
      <c r="E194" s="79"/>
      <c r="F194" s="80"/>
      <c r="G194" s="81"/>
      <c r="H194" s="79"/>
      <c r="I194" s="79"/>
      <c r="J194" s="79"/>
      <c r="K194" s="79"/>
      <c r="L194" s="79"/>
      <c r="M194" s="79"/>
      <c r="N194" s="79"/>
      <c r="O194" s="79"/>
      <c r="P194" s="79"/>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row>
    <row r="195" spans="1:51" x14ac:dyDescent="0.2">
      <c r="A195" s="79"/>
      <c r="B195" s="79"/>
      <c r="C195" s="82"/>
      <c r="D195" s="83"/>
      <c r="E195" s="79"/>
      <c r="F195" s="80"/>
      <c r="G195" s="81"/>
      <c r="H195" s="79"/>
      <c r="I195" s="79"/>
      <c r="J195" s="79"/>
      <c r="K195" s="79"/>
      <c r="L195" s="79"/>
      <c r="M195" s="79"/>
      <c r="N195" s="79"/>
      <c r="O195" s="79"/>
      <c r="P195" s="79"/>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row>
    <row r="196" spans="1:51" x14ac:dyDescent="0.2">
      <c r="A196" s="79"/>
      <c r="B196" s="79"/>
      <c r="C196" s="82"/>
      <c r="D196" s="83"/>
      <c r="E196" s="79"/>
      <c r="F196" s="80"/>
      <c r="G196" s="81"/>
      <c r="H196" s="79"/>
      <c r="I196" s="79"/>
      <c r="J196" s="79"/>
      <c r="K196" s="79"/>
      <c r="L196" s="79"/>
      <c r="M196" s="79"/>
      <c r="N196" s="79"/>
      <c r="O196" s="79"/>
      <c r="P196" s="79"/>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row>
    <row r="197" spans="1:51" x14ac:dyDescent="0.2">
      <c r="A197" s="79"/>
      <c r="B197" s="79"/>
      <c r="C197" s="82"/>
      <c r="D197" s="83"/>
      <c r="E197" s="79"/>
      <c r="F197" s="80"/>
      <c r="G197" s="81"/>
      <c r="H197" s="79"/>
      <c r="I197" s="79"/>
      <c r="J197" s="79"/>
      <c r="K197" s="79"/>
      <c r="L197" s="79"/>
      <c r="M197" s="79"/>
      <c r="N197" s="79"/>
      <c r="O197" s="79"/>
      <c r="P197" s="79"/>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row>
    <row r="198" spans="1:51" x14ac:dyDescent="0.2">
      <c r="A198" s="79"/>
      <c r="B198" s="79"/>
      <c r="C198" s="82"/>
      <c r="D198" s="83"/>
      <c r="E198" s="79"/>
      <c r="F198" s="80"/>
      <c r="G198" s="81"/>
      <c r="H198" s="79"/>
      <c r="I198" s="79"/>
      <c r="J198" s="79"/>
      <c r="K198" s="79"/>
      <c r="L198" s="79"/>
      <c r="M198" s="79"/>
      <c r="N198" s="79"/>
      <c r="O198" s="79"/>
      <c r="P198" s="79"/>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row>
    <row r="199" spans="1:51" x14ac:dyDescent="0.2">
      <c r="A199" s="79"/>
      <c r="B199" s="79"/>
      <c r="C199" s="82"/>
      <c r="D199" s="83"/>
      <c r="E199" s="79"/>
      <c r="F199" s="80"/>
      <c r="G199" s="81"/>
      <c r="H199" s="79"/>
      <c r="I199" s="79"/>
      <c r="J199" s="79"/>
      <c r="K199" s="79"/>
      <c r="L199" s="79"/>
      <c r="M199" s="79"/>
      <c r="N199" s="79"/>
      <c r="O199" s="79"/>
      <c r="P199" s="79"/>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row>
    <row r="200" spans="1:51" x14ac:dyDescent="0.2">
      <c r="A200" s="79"/>
      <c r="B200" s="79"/>
      <c r="C200" s="82"/>
      <c r="D200" s="83"/>
      <c r="E200" s="79"/>
      <c r="F200" s="80"/>
      <c r="G200" s="81"/>
      <c r="H200" s="79"/>
      <c r="I200" s="79"/>
      <c r="J200" s="79"/>
      <c r="K200" s="79"/>
      <c r="L200" s="79"/>
      <c r="M200" s="79"/>
      <c r="N200" s="79"/>
      <c r="O200" s="79"/>
      <c r="P200" s="79"/>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row>
    <row r="201" spans="1:51" x14ac:dyDescent="0.2">
      <c r="A201" s="79"/>
      <c r="B201" s="79"/>
      <c r="C201" s="82"/>
      <c r="D201" s="83"/>
      <c r="E201" s="79"/>
      <c r="F201" s="80"/>
      <c r="G201" s="81"/>
      <c r="H201" s="79"/>
      <c r="I201" s="79"/>
      <c r="J201" s="79"/>
      <c r="K201" s="79"/>
      <c r="L201" s="79"/>
      <c r="M201" s="79"/>
      <c r="N201" s="79"/>
      <c r="O201" s="79"/>
      <c r="P201" s="79"/>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row>
    <row r="202" spans="1:51" x14ac:dyDescent="0.2">
      <c r="A202" s="79"/>
      <c r="B202" s="79"/>
      <c r="C202" s="82"/>
      <c r="D202" s="83"/>
      <c r="E202" s="79"/>
      <c r="F202" s="80"/>
      <c r="G202" s="81"/>
      <c r="H202" s="79"/>
      <c r="I202" s="79"/>
      <c r="J202" s="79"/>
      <c r="K202" s="79"/>
      <c r="L202" s="79"/>
      <c r="M202" s="79"/>
      <c r="N202" s="79"/>
      <c r="O202" s="79"/>
      <c r="P202" s="79"/>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row>
    <row r="203" spans="1:51" x14ac:dyDescent="0.2">
      <c r="A203" s="79"/>
      <c r="B203" s="79"/>
      <c r="C203" s="82"/>
      <c r="D203" s="83"/>
      <c r="E203" s="79"/>
      <c r="F203" s="80"/>
      <c r="G203" s="81"/>
      <c r="H203" s="79"/>
      <c r="I203" s="79"/>
      <c r="J203" s="79"/>
      <c r="K203" s="79"/>
      <c r="L203" s="79"/>
      <c r="M203" s="79"/>
      <c r="N203" s="79"/>
      <c r="O203" s="79"/>
      <c r="P203" s="79"/>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row>
    <row r="204" spans="1:51" x14ac:dyDescent="0.2">
      <c r="A204" s="79"/>
      <c r="B204" s="79"/>
      <c r="C204" s="82"/>
      <c r="D204" s="83"/>
      <c r="E204" s="79"/>
      <c r="F204" s="80"/>
      <c r="G204" s="81"/>
      <c r="H204" s="79"/>
      <c r="I204" s="79"/>
      <c r="J204" s="79"/>
      <c r="K204" s="79"/>
      <c r="L204" s="79"/>
      <c r="M204" s="79"/>
      <c r="N204" s="79"/>
      <c r="O204" s="79"/>
      <c r="P204" s="79"/>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row>
    <row r="205" spans="1:51" x14ac:dyDescent="0.2">
      <c r="A205" s="79"/>
      <c r="B205" s="79"/>
      <c r="C205" s="82"/>
      <c r="D205" s="83"/>
      <c r="E205" s="79"/>
      <c r="F205" s="80"/>
      <c r="G205" s="81"/>
      <c r="H205" s="79"/>
      <c r="I205" s="79"/>
      <c r="J205" s="79"/>
      <c r="K205" s="79"/>
      <c r="L205" s="79"/>
      <c r="M205" s="79"/>
      <c r="N205" s="79"/>
      <c r="O205" s="79"/>
      <c r="P205" s="79"/>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row>
    <row r="206" spans="1:51" x14ac:dyDescent="0.2">
      <c r="A206" s="79"/>
      <c r="B206" s="79"/>
      <c r="C206" s="82"/>
      <c r="D206" s="83"/>
      <c r="E206" s="79"/>
      <c r="F206" s="80"/>
      <c r="G206" s="81"/>
      <c r="H206" s="79"/>
      <c r="I206" s="79"/>
      <c r="J206" s="79"/>
      <c r="K206" s="79"/>
      <c r="L206" s="79"/>
      <c r="M206" s="79"/>
      <c r="N206" s="79"/>
      <c r="O206" s="79"/>
      <c r="P206" s="79"/>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row>
    <row r="207" spans="1:51" x14ac:dyDescent="0.2">
      <c r="A207" s="79"/>
      <c r="B207" s="79"/>
      <c r="C207" s="82"/>
      <c r="D207" s="83"/>
      <c r="E207" s="79"/>
      <c r="F207" s="80"/>
      <c r="G207" s="81"/>
      <c r="H207" s="79"/>
      <c r="I207" s="79"/>
      <c r="J207" s="79"/>
      <c r="K207" s="79"/>
      <c r="L207" s="79"/>
      <c r="M207" s="79"/>
      <c r="N207" s="79"/>
      <c r="O207" s="79"/>
      <c r="P207" s="79"/>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row>
    <row r="208" spans="1:51" x14ac:dyDescent="0.2">
      <c r="A208" s="79"/>
      <c r="B208" s="79"/>
      <c r="C208" s="82"/>
      <c r="D208" s="83"/>
      <c r="E208" s="79"/>
      <c r="F208" s="80"/>
      <c r="G208" s="81"/>
      <c r="H208" s="79"/>
      <c r="I208" s="79"/>
      <c r="J208" s="79"/>
      <c r="K208" s="79"/>
      <c r="L208" s="79"/>
      <c r="M208" s="79"/>
      <c r="N208" s="79"/>
      <c r="O208" s="79"/>
      <c r="P208" s="79"/>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row>
    <row r="209" spans="1:51" x14ac:dyDescent="0.2">
      <c r="A209" s="79"/>
      <c r="B209" s="79"/>
      <c r="C209" s="82"/>
      <c r="D209" s="83"/>
      <c r="E209" s="79"/>
      <c r="F209" s="80"/>
      <c r="G209" s="81"/>
      <c r="H209" s="79"/>
      <c r="I209" s="79"/>
      <c r="J209" s="79"/>
      <c r="K209" s="79"/>
      <c r="L209" s="79"/>
      <c r="M209" s="79"/>
      <c r="N209" s="79"/>
      <c r="O209" s="79"/>
      <c r="P209" s="79"/>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row>
    <row r="210" spans="1:51" x14ac:dyDescent="0.2">
      <c r="A210" s="79"/>
      <c r="B210" s="79"/>
      <c r="C210" s="82"/>
      <c r="D210" s="83"/>
      <c r="E210" s="79"/>
      <c r="F210" s="80"/>
      <c r="G210" s="81"/>
      <c r="H210" s="79"/>
      <c r="I210" s="79"/>
      <c r="J210" s="79"/>
      <c r="K210" s="79"/>
      <c r="L210" s="79"/>
      <c r="M210" s="79"/>
      <c r="N210" s="79"/>
      <c r="O210" s="79"/>
      <c r="P210" s="79"/>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row>
    <row r="211" spans="1:51" x14ac:dyDescent="0.2">
      <c r="A211" s="79"/>
      <c r="B211" s="79"/>
      <c r="C211" s="82"/>
      <c r="D211" s="83"/>
      <c r="E211" s="79"/>
      <c r="F211" s="80"/>
      <c r="G211" s="81"/>
      <c r="H211" s="79"/>
      <c r="I211" s="79"/>
      <c r="J211" s="79"/>
      <c r="K211" s="79"/>
      <c r="L211" s="79"/>
      <c r="M211" s="79"/>
      <c r="N211" s="79"/>
      <c r="O211" s="79"/>
      <c r="P211" s="79"/>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row>
    <row r="212" spans="1:51" x14ac:dyDescent="0.2">
      <c r="A212" s="79"/>
      <c r="B212" s="79"/>
      <c r="C212" s="82"/>
      <c r="D212" s="83"/>
      <c r="E212" s="79"/>
      <c r="F212" s="80"/>
      <c r="G212" s="81"/>
      <c r="H212" s="79"/>
      <c r="I212" s="79"/>
      <c r="J212" s="79"/>
      <c r="K212" s="79"/>
      <c r="L212" s="79"/>
      <c r="M212" s="79"/>
      <c r="N212" s="79"/>
      <c r="O212" s="79"/>
      <c r="P212" s="79"/>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row>
    <row r="213" spans="1:51" x14ac:dyDescent="0.2">
      <c r="A213" s="79"/>
      <c r="B213" s="79"/>
      <c r="C213" s="82"/>
      <c r="D213" s="83"/>
      <c r="E213" s="79"/>
      <c r="F213" s="80"/>
      <c r="G213" s="81"/>
      <c r="H213" s="79"/>
      <c r="I213" s="79"/>
      <c r="J213" s="79"/>
      <c r="K213" s="79"/>
      <c r="L213" s="79"/>
      <c r="M213" s="79"/>
      <c r="N213" s="79"/>
      <c r="O213" s="79"/>
      <c r="P213" s="79"/>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row>
    <row r="214" spans="1:51" x14ac:dyDescent="0.2">
      <c r="A214" s="79"/>
      <c r="B214" s="79"/>
      <c r="C214" s="82"/>
      <c r="D214" s="83"/>
      <c r="E214" s="79"/>
      <c r="F214" s="80"/>
      <c r="G214" s="81"/>
      <c r="H214" s="79"/>
      <c r="I214" s="79"/>
      <c r="J214" s="79"/>
      <c r="K214" s="79"/>
      <c r="L214" s="79"/>
      <c r="M214" s="79"/>
      <c r="N214" s="79"/>
      <c r="O214" s="79"/>
      <c r="P214" s="79"/>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row>
    <row r="215" spans="1:51" x14ac:dyDescent="0.2">
      <c r="A215" s="79"/>
      <c r="B215" s="79"/>
      <c r="C215" s="82"/>
      <c r="D215" s="83"/>
      <c r="E215" s="79"/>
      <c r="F215" s="80"/>
      <c r="G215" s="81"/>
      <c r="H215" s="79"/>
      <c r="I215" s="79"/>
      <c r="J215" s="79"/>
      <c r="K215" s="79"/>
      <c r="L215" s="79"/>
      <c r="M215" s="79"/>
      <c r="N215" s="79"/>
      <c r="O215" s="79"/>
      <c r="P215" s="79"/>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row>
    <row r="216" spans="1:51" x14ac:dyDescent="0.2">
      <c r="A216" s="79"/>
      <c r="B216" s="79"/>
      <c r="C216" s="82"/>
      <c r="D216" s="83"/>
      <c r="E216" s="79"/>
      <c r="F216" s="80"/>
      <c r="G216" s="81"/>
      <c r="H216" s="79"/>
      <c r="I216" s="79"/>
      <c r="J216" s="79"/>
      <c r="K216" s="79"/>
      <c r="L216" s="79"/>
      <c r="M216" s="79"/>
      <c r="N216" s="79"/>
      <c r="O216" s="79"/>
      <c r="P216" s="79"/>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row>
    <row r="217" spans="1:51" x14ac:dyDescent="0.2">
      <c r="A217" s="79"/>
      <c r="B217" s="79"/>
      <c r="C217" s="82"/>
      <c r="D217" s="83"/>
      <c r="E217" s="79"/>
      <c r="F217" s="80"/>
      <c r="G217" s="81"/>
      <c r="H217" s="79"/>
      <c r="I217" s="79"/>
      <c r="J217" s="79"/>
      <c r="K217" s="79"/>
      <c r="L217" s="79"/>
      <c r="M217" s="79"/>
      <c r="N217" s="79"/>
      <c r="O217" s="79"/>
      <c r="P217" s="79"/>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row>
    <row r="218" spans="1:51" x14ac:dyDescent="0.2">
      <c r="A218" s="79"/>
      <c r="B218" s="79"/>
      <c r="C218" s="82"/>
      <c r="D218" s="83"/>
      <c r="E218" s="79"/>
      <c r="F218" s="80"/>
      <c r="G218" s="81"/>
      <c r="H218" s="79"/>
      <c r="I218" s="79"/>
      <c r="J218" s="79"/>
      <c r="K218" s="79"/>
      <c r="L218" s="79"/>
      <c r="M218" s="79"/>
      <c r="N218" s="79"/>
      <c r="O218" s="79"/>
      <c r="P218" s="79"/>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row>
    <row r="219" spans="1:51" x14ac:dyDescent="0.2">
      <c r="A219" s="79"/>
      <c r="B219" s="79"/>
      <c r="C219" s="82"/>
      <c r="D219" s="83"/>
      <c r="E219" s="79"/>
      <c r="F219" s="80"/>
      <c r="G219" s="81"/>
      <c r="H219" s="79"/>
      <c r="I219" s="79"/>
      <c r="J219" s="79"/>
      <c r="K219" s="79"/>
      <c r="L219" s="79"/>
      <c r="M219" s="79"/>
      <c r="N219" s="79"/>
      <c r="O219" s="79"/>
      <c r="P219" s="79"/>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row>
    <row r="220" spans="1:51" x14ac:dyDescent="0.2">
      <c r="A220" s="79"/>
      <c r="B220" s="79"/>
      <c r="C220" s="82"/>
      <c r="D220" s="83"/>
      <c r="E220" s="79"/>
      <c r="F220" s="80"/>
      <c r="G220" s="81"/>
      <c r="H220" s="79"/>
      <c r="I220" s="79"/>
      <c r="J220" s="79"/>
      <c r="K220" s="79"/>
      <c r="L220" s="79"/>
      <c r="M220" s="79"/>
      <c r="N220" s="79"/>
      <c r="O220" s="79"/>
      <c r="P220" s="79"/>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row>
    <row r="221" spans="1:51" x14ac:dyDescent="0.2">
      <c r="A221" s="79"/>
      <c r="B221" s="79"/>
      <c r="C221" s="82"/>
      <c r="D221" s="83"/>
      <c r="E221" s="79"/>
      <c r="F221" s="80"/>
      <c r="G221" s="81"/>
      <c r="H221" s="79"/>
      <c r="I221" s="79"/>
      <c r="J221" s="79"/>
      <c r="K221" s="79"/>
      <c r="L221" s="79"/>
      <c r="M221" s="79"/>
      <c r="N221" s="79"/>
      <c r="O221" s="79"/>
      <c r="P221" s="79"/>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row>
    <row r="222" spans="1:51" x14ac:dyDescent="0.2">
      <c r="A222" s="79"/>
      <c r="B222" s="79"/>
      <c r="C222" s="82"/>
      <c r="D222" s="83"/>
      <c r="E222" s="79"/>
      <c r="F222" s="80"/>
      <c r="G222" s="81"/>
      <c r="H222" s="79"/>
      <c r="I222" s="79"/>
      <c r="J222" s="79"/>
      <c r="K222" s="79"/>
      <c r="L222" s="79"/>
      <c r="M222" s="79"/>
      <c r="N222" s="79"/>
      <c r="O222" s="79"/>
      <c r="P222" s="79"/>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row>
    <row r="223" spans="1:51" x14ac:dyDescent="0.2">
      <c r="A223" s="79"/>
      <c r="B223" s="79"/>
      <c r="C223" s="82"/>
      <c r="D223" s="83"/>
      <c r="E223" s="79"/>
      <c r="F223" s="80"/>
      <c r="G223" s="81"/>
      <c r="H223" s="79"/>
      <c r="I223" s="79"/>
      <c r="J223" s="79"/>
      <c r="K223" s="79"/>
      <c r="L223" s="79"/>
      <c r="M223" s="79"/>
      <c r="N223" s="79"/>
      <c r="O223" s="79"/>
      <c r="P223" s="79"/>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row>
    <row r="224" spans="1:51" x14ac:dyDescent="0.2">
      <c r="A224" s="79"/>
      <c r="B224" s="79"/>
      <c r="C224" s="82"/>
      <c r="D224" s="83"/>
      <c r="E224" s="79"/>
      <c r="F224" s="80"/>
      <c r="G224" s="81"/>
      <c r="H224" s="79"/>
      <c r="I224" s="79"/>
      <c r="J224" s="79"/>
      <c r="K224" s="79"/>
      <c r="L224" s="79"/>
      <c r="M224" s="79"/>
      <c r="N224" s="79"/>
      <c r="O224" s="79"/>
      <c r="P224" s="79"/>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row>
    <row r="225" spans="1:51" x14ac:dyDescent="0.2">
      <c r="A225" s="79"/>
      <c r="B225" s="79"/>
      <c r="C225" s="82"/>
      <c r="D225" s="83"/>
      <c r="E225" s="79"/>
      <c r="F225" s="80"/>
      <c r="G225" s="81"/>
      <c r="H225" s="79"/>
      <c r="I225" s="79"/>
      <c r="J225" s="79"/>
      <c r="K225" s="79"/>
      <c r="L225" s="79"/>
      <c r="M225" s="79"/>
      <c r="N225" s="79"/>
      <c r="O225" s="79"/>
      <c r="P225" s="79"/>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row>
    <row r="226" spans="1:51" x14ac:dyDescent="0.2">
      <c r="A226" s="79"/>
      <c r="B226" s="79"/>
      <c r="C226" s="82"/>
      <c r="D226" s="83"/>
      <c r="E226" s="79"/>
      <c r="F226" s="80"/>
      <c r="G226" s="81"/>
      <c r="H226" s="79"/>
      <c r="I226" s="79"/>
      <c r="J226" s="79"/>
      <c r="K226" s="79"/>
      <c r="L226" s="79"/>
      <c r="M226" s="79"/>
      <c r="N226" s="79"/>
      <c r="O226" s="79"/>
      <c r="P226" s="79"/>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row>
    <row r="227" spans="1:51" x14ac:dyDescent="0.2">
      <c r="A227" s="79"/>
      <c r="B227" s="79"/>
      <c r="C227" s="82"/>
      <c r="D227" s="83"/>
      <c r="E227" s="79"/>
      <c r="F227" s="80"/>
      <c r="G227" s="81"/>
      <c r="H227" s="79"/>
      <c r="I227" s="79"/>
      <c r="J227" s="79"/>
      <c r="K227" s="79"/>
      <c r="L227" s="79"/>
      <c r="M227" s="79"/>
      <c r="N227" s="79"/>
      <c r="O227" s="79"/>
      <c r="P227" s="79"/>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row>
    <row r="228" spans="1:51" x14ac:dyDescent="0.2">
      <c r="A228" s="79"/>
      <c r="B228" s="79"/>
      <c r="C228" s="82"/>
      <c r="D228" s="83"/>
      <c r="E228" s="79"/>
      <c r="F228" s="80"/>
      <c r="G228" s="81"/>
      <c r="H228" s="79"/>
      <c r="I228" s="79"/>
      <c r="J228" s="79"/>
      <c r="K228" s="79"/>
      <c r="L228" s="79"/>
      <c r="M228" s="79"/>
      <c r="N228" s="79"/>
      <c r="O228" s="79"/>
      <c r="P228" s="79"/>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row>
    <row r="229" spans="1:51" x14ac:dyDescent="0.2">
      <c r="A229" s="79"/>
      <c r="B229" s="79"/>
      <c r="C229" s="82"/>
      <c r="D229" s="83"/>
      <c r="E229" s="79"/>
      <c r="F229" s="80"/>
      <c r="G229" s="81"/>
      <c r="H229" s="79"/>
      <c r="I229" s="79"/>
      <c r="J229" s="79"/>
      <c r="K229" s="79"/>
      <c r="L229" s="79"/>
      <c r="M229" s="79"/>
      <c r="N229" s="79"/>
      <c r="O229" s="79"/>
      <c r="P229" s="79"/>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row>
    <row r="230" spans="1:51" x14ac:dyDescent="0.2">
      <c r="A230" s="79"/>
      <c r="B230" s="79"/>
      <c r="C230" s="82"/>
      <c r="D230" s="83"/>
      <c r="E230" s="79"/>
      <c r="F230" s="80"/>
      <c r="G230" s="81"/>
      <c r="H230" s="79"/>
      <c r="I230" s="79"/>
      <c r="J230" s="79"/>
      <c r="K230" s="79"/>
      <c r="L230" s="79"/>
      <c r="M230" s="79"/>
      <c r="N230" s="79"/>
      <c r="O230" s="79"/>
      <c r="P230" s="79"/>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row>
    <row r="231" spans="1:51" x14ac:dyDescent="0.2">
      <c r="A231" s="79"/>
      <c r="B231" s="79"/>
      <c r="C231" s="82"/>
      <c r="D231" s="83"/>
      <c r="E231" s="79"/>
      <c r="F231" s="80"/>
      <c r="G231" s="81"/>
      <c r="H231" s="79"/>
      <c r="I231" s="79"/>
      <c r="J231" s="79"/>
      <c r="K231" s="79"/>
      <c r="L231" s="79"/>
      <c r="M231" s="79"/>
      <c r="N231" s="79"/>
      <c r="O231" s="79"/>
      <c r="P231" s="79"/>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row>
    <row r="232" spans="1:51" x14ac:dyDescent="0.2">
      <c r="A232" s="79"/>
      <c r="B232" s="79"/>
      <c r="C232" s="82"/>
      <c r="D232" s="83"/>
      <c r="E232" s="79"/>
      <c r="F232" s="80"/>
      <c r="G232" s="81"/>
      <c r="H232" s="79"/>
      <c r="I232" s="79"/>
      <c r="J232" s="79"/>
      <c r="K232" s="79"/>
      <c r="L232" s="79"/>
      <c r="M232" s="79"/>
      <c r="N232" s="79"/>
      <c r="O232" s="79"/>
      <c r="P232" s="79"/>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row>
    <row r="233" spans="1:51" x14ac:dyDescent="0.2">
      <c r="A233" s="79"/>
      <c r="B233" s="79"/>
      <c r="C233" s="82"/>
      <c r="D233" s="83"/>
      <c r="E233" s="79"/>
      <c r="F233" s="80"/>
      <c r="G233" s="81"/>
      <c r="H233" s="79"/>
      <c r="I233" s="79"/>
      <c r="J233" s="79"/>
      <c r="K233" s="79"/>
      <c r="L233" s="79"/>
      <c r="M233" s="79"/>
      <c r="N233" s="79"/>
      <c r="O233" s="79"/>
      <c r="P233" s="79"/>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row>
    <row r="234" spans="1:51" x14ac:dyDescent="0.2">
      <c r="A234" s="79"/>
      <c r="B234" s="79"/>
      <c r="C234" s="82"/>
      <c r="D234" s="83"/>
      <c r="E234" s="79"/>
      <c r="F234" s="80"/>
      <c r="G234" s="81"/>
      <c r="H234" s="79"/>
      <c r="I234" s="79"/>
      <c r="J234" s="79"/>
      <c r="K234" s="79"/>
      <c r="L234" s="79"/>
      <c r="M234" s="79"/>
      <c r="N234" s="79"/>
      <c r="O234" s="79"/>
      <c r="P234" s="79"/>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row>
    <row r="235" spans="1:51" x14ac:dyDescent="0.2">
      <c r="A235" s="79"/>
      <c r="B235" s="79"/>
      <c r="C235" s="82"/>
      <c r="D235" s="83"/>
      <c r="E235" s="79"/>
      <c r="F235" s="80"/>
      <c r="G235" s="81"/>
      <c r="H235" s="79"/>
      <c r="I235" s="79"/>
      <c r="J235" s="79"/>
      <c r="K235" s="79"/>
      <c r="L235" s="79"/>
      <c r="M235" s="79"/>
      <c r="N235" s="79"/>
      <c r="O235" s="79"/>
      <c r="P235" s="79"/>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row>
    <row r="236" spans="1:51" x14ac:dyDescent="0.2">
      <c r="A236" s="79"/>
      <c r="B236" s="79"/>
      <c r="C236" s="82"/>
      <c r="D236" s="83"/>
      <c r="E236" s="79"/>
      <c r="F236" s="80"/>
      <c r="G236" s="81"/>
      <c r="H236" s="79"/>
      <c r="I236" s="79"/>
      <c r="J236" s="79"/>
      <c r="K236" s="79"/>
      <c r="L236" s="79"/>
      <c r="M236" s="79"/>
      <c r="N236" s="79"/>
      <c r="O236" s="79"/>
      <c r="P236" s="79"/>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row>
    <row r="237" spans="1:51" x14ac:dyDescent="0.2">
      <c r="A237" s="79"/>
      <c r="B237" s="79"/>
      <c r="C237" s="82"/>
      <c r="D237" s="83"/>
      <c r="E237" s="79"/>
      <c r="F237" s="80"/>
      <c r="G237" s="81"/>
      <c r="H237" s="79"/>
      <c r="I237" s="79"/>
      <c r="J237" s="79"/>
      <c r="K237" s="79"/>
      <c r="L237" s="79"/>
      <c r="M237" s="79"/>
      <c r="N237" s="79"/>
      <c r="O237" s="79"/>
      <c r="P237" s="79"/>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row>
    <row r="238" spans="1:51" x14ac:dyDescent="0.2">
      <c r="A238" s="79"/>
      <c r="B238" s="79"/>
      <c r="C238" s="82"/>
      <c r="D238" s="83"/>
      <c r="E238" s="79"/>
      <c r="F238" s="80"/>
      <c r="G238" s="81"/>
      <c r="H238" s="79"/>
      <c r="I238" s="79"/>
      <c r="J238" s="79"/>
      <c r="K238" s="79"/>
      <c r="L238" s="79"/>
      <c r="M238" s="79"/>
      <c r="N238" s="79"/>
      <c r="O238" s="79"/>
      <c r="P238" s="79"/>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row>
    <row r="239" spans="1:51" x14ac:dyDescent="0.2">
      <c r="A239" s="79"/>
      <c r="B239" s="79"/>
      <c r="C239" s="82"/>
      <c r="D239" s="83"/>
      <c r="E239" s="79"/>
      <c r="F239" s="80"/>
      <c r="G239" s="81"/>
      <c r="H239" s="79"/>
      <c r="I239" s="79"/>
      <c r="J239" s="79"/>
      <c r="K239" s="79"/>
      <c r="L239" s="79"/>
      <c r="M239" s="79"/>
      <c r="N239" s="79"/>
      <c r="O239" s="79"/>
      <c r="P239" s="79"/>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row>
    <row r="240" spans="1:51" x14ac:dyDescent="0.2">
      <c r="A240" s="79"/>
      <c r="B240" s="79"/>
      <c r="C240" s="82"/>
      <c r="D240" s="83"/>
      <c r="E240" s="79"/>
      <c r="F240" s="80"/>
      <c r="G240" s="81"/>
      <c r="H240" s="79"/>
      <c r="I240" s="79"/>
      <c r="J240" s="79"/>
      <c r="K240" s="79"/>
      <c r="L240" s="79"/>
      <c r="M240" s="79"/>
      <c r="N240" s="79"/>
      <c r="O240" s="79"/>
      <c r="P240" s="79"/>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row>
    <row r="241" spans="1:51" x14ac:dyDescent="0.2">
      <c r="A241" s="79"/>
      <c r="B241" s="79"/>
      <c r="C241" s="82"/>
      <c r="D241" s="83"/>
      <c r="E241" s="79"/>
      <c r="F241" s="80"/>
      <c r="G241" s="81"/>
      <c r="H241" s="79"/>
      <c r="I241" s="79"/>
      <c r="J241" s="79"/>
      <c r="K241" s="79"/>
      <c r="L241" s="79"/>
      <c r="M241" s="79"/>
      <c r="N241" s="79"/>
      <c r="O241" s="79"/>
      <c r="P241" s="79"/>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row>
    <row r="242" spans="1:51" x14ac:dyDescent="0.2">
      <c r="A242" s="79"/>
      <c r="B242" s="79"/>
      <c r="C242" s="82"/>
      <c r="D242" s="83"/>
      <c r="E242" s="79"/>
      <c r="F242" s="80"/>
      <c r="G242" s="81"/>
      <c r="H242" s="79"/>
      <c r="I242" s="79"/>
      <c r="J242" s="79"/>
      <c r="K242" s="79"/>
      <c r="L242" s="79"/>
      <c r="M242" s="79"/>
      <c r="N242" s="79"/>
      <c r="O242" s="79"/>
      <c r="P242" s="79"/>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row>
    <row r="243" spans="1:51" x14ac:dyDescent="0.2">
      <c r="A243" s="79"/>
      <c r="B243" s="79"/>
      <c r="C243" s="82"/>
      <c r="D243" s="83"/>
      <c r="E243" s="79"/>
      <c r="F243" s="80"/>
      <c r="G243" s="81"/>
      <c r="H243" s="79"/>
      <c r="I243" s="79"/>
      <c r="J243" s="79"/>
      <c r="K243" s="79"/>
      <c r="L243" s="79"/>
      <c r="M243" s="79"/>
      <c r="N243" s="79"/>
      <c r="O243" s="79"/>
      <c r="P243" s="79"/>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row>
    <row r="244" spans="1:51" x14ac:dyDescent="0.2">
      <c r="A244" s="79"/>
      <c r="B244" s="79"/>
      <c r="C244" s="82"/>
      <c r="D244" s="83"/>
      <c r="E244" s="79"/>
      <c r="F244" s="80"/>
      <c r="G244" s="81"/>
      <c r="H244" s="79"/>
      <c r="I244" s="79"/>
      <c r="J244" s="79"/>
      <c r="K244" s="79"/>
      <c r="L244" s="79"/>
      <c r="M244" s="79"/>
      <c r="N244" s="79"/>
      <c r="O244" s="79"/>
      <c r="P244" s="79"/>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row>
    <row r="245" spans="1:51" x14ac:dyDescent="0.2">
      <c r="A245" s="79"/>
      <c r="B245" s="79"/>
      <c r="C245" s="82"/>
      <c r="D245" s="83"/>
      <c r="E245" s="79"/>
      <c r="F245" s="80"/>
      <c r="G245" s="81"/>
      <c r="H245" s="79"/>
      <c r="I245" s="79"/>
      <c r="J245" s="79"/>
      <c r="K245" s="79"/>
      <c r="L245" s="79"/>
      <c r="M245" s="79"/>
      <c r="N245" s="79"/>
      <c r="O245" s="79"/>
      <c r="P245" s="79"/>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row>
    <row r="246" spans="1:51" x14ac:dyDescent="0.2">
      <c r="A246" s="79"/>
      <c r="B246" s="79"/>
      <c r="C246" s="82"/>
      <c r="D246" s="83"/>
      <c r="E246" s="79"/>
      <c r="F246" s="80"/>
      <c r="G246" s="81"/>
      <c r="H246" s="79"/>
      <c r="I246" s="79"/>
      <c r="J246" s="79"/>
      <c r="K246" s="79"/>
      <c r="L246" s="79"/>
      <c r="M246" s="79"/>
      <c r="N246" s="79"/>
      <c r="O246" s="79"/>
      <c r="P246" s="79"/>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row>
    <row r="247" spans="1:51" x14ac:dyDescent="0.2">
      <c r="A247" s="79"/>
      <c r="B247" s="79"/>
      <c r="C247" s="82"/>
      <c r="D247" s="83"/>
      <c r="E247" s="79"/>
      <c r="F247" s="80"/>
      <c r="G247" s="81"/>
      <c r="H247" s="79"/>
      <c r="I247" s="79"/>
      <c r="J247" s="79"/>
      <c r="K247" s="79"/>
      <c r="L247" s="79"/>
      <c r="M247" s="79"/>
      <c r="N247" s="79"/>
      <c r="O247" s="79"/>
      <c r="P247" s="79"/>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row>
    <row r="248" spans="1:51" x14ac:dyDescent="0.2">
      <c r="A248" s="79"/>
      <c r="B248" s="79"/>
      <c r="C248" s="82"/>
      <c r="D248" s="83"/>
      <c r="E248" s="79"/>
      <c r="F248" s="80"/>
      <c r="G248" s="81"/>
      <c r="H248" s="79"/>
      <c r="I248" s="79"/>
      <c r="J248" s="79"/>
      <c r="K248" s="79"/>
      <c r="L248" s="79"/>
      <c r="M248" s="79"/>
      <c r="N248" s="79"/>
      <c r="O248" s="79"/>
      <c r="P248" s="79"/>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row>
    <row r="249" spans="1:51" x14ac:dyDescent="0.2">
      <c r="A249" s="79"/>
      <c r="B249" s="79"/>
      <c r="C249" s="82"/>
      <c r="D249" s="83"/>
      <c r="E249" s="79"/>
      <c r="F249" s="80"/>
      <c r="G249" s="81"/>
      <c r="H249" s="79"/>
      <c r="I249" s="79"/>
      <c r="J249" s="79"/>
      <c r="K249" s="79"/>
      <c r="L249" s="79"/>
      <c r="M249" s="79"/>
      <c r="N249" s="79"/>
      <c r="O249" s="79"/>
      <c r="P249" s="79"/>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row>
    <row r="250" spans="1:51" x14ac:dyDescent="0.2">
      <c r="A250" s="79"/>
      <c r="B250" s="79"/>
      <c r="C250" s="82"/>
      <c r="D250" s="83"/>
      <c r="E250" s="79"/>
      <c r="F250" s="80"/>
      <c r="G250" s="81"/>
      <c r="H250" s="79"/>
      <c r="I250" s="79"/>
      <c r="J250" s="79"/>
      <c r="K250" s="79"/>
      <c r="L250" s="79"/>
      <c r="M250" s="79"/>
      <c r="N250" s="79"/>
      <c r="O250" s="79"/>
      <c r="P250" s="79"/>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row>
    <row r="251" spans="1:51" x14ac:dyDescent="0.2">
      <c r="A251" s="79"/>
      <c r="B251" s="79"/>
      <c r="C251" s="82"/>
      <c r="D251" s="83"/>
      <c r="E251" s="79"/>
      <c r="F251" s="80"/>
      <c r="G251" s="81"/>
      <c r="H251" s="79"/>
      <c r="I251" s="79"/>
      <c r="J251" s="79"/>
      <c r="K251" s="79"/>
      <c r="L251" s="79"/>
      <c r="M251" s="79"/>
      <c r="N251" s="79"/>
      <c r="O251" s="79"/>
      <c r="P251" s="79"/>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row>
    <row r="252" spans="1:51" x14ac:dyDescent="0.2">
      <c r="A252" s="79"/>
      <c r="B252" s="79"/>
      <c r="C252" s="82"/>
      <c r="D252" s="83"/>
      <c r="E252" s="79"/>
      <c r="F252" s="80"/>
      <c r="G252" s="81"/>
      <c r="H252" s="79"/>
      <c r="I252" s="79"/>
      <c r="J252" s="79"/>
      <c r="K252" s="79"/>
      <c r="L252" s="79"/>
      <c r="M252" s="79"/>
      <c r="N252" s="79"/>
      <c r="O252" s="79"/>
      <c r="P252" s="79"/>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row>
    <row r="253" spans="1:51" x14ac:dyDescent="0.2">
      <c r="A253" s="79"/>
      <c r="B253" s="79"/>
      <c r="C253" s="82"/>
      <c r="D253" s="83"/>
      <c r="E253" s="79"/>
      <c r="F253" s="80"/>
      <c r="G253" s="81"/>
      <c r="H253" s="79"/>
      <c r="I253" s="79"/>
      <c r="J253" s="79"/>
      <c r="K253" s="79"/>
      <c r="L253" s="79"/>
      <c r="M253" s="79"/>
      <c r="N253" s="79"/>
      <c r="O253" s="79"/>
      <c r="P253" s="79"/>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row>
    <row r="254" spans="1:51" x14ac:dyDescent="0.2">
      <c r="A254" s="79"/>
      <c r="B254" s="79"/>
      <c r="C254" s="82"/>
      <c r="D254" s="83"/>
      <c r="E254" s="79"/>
      <c r="F254" s="80"/>
      <c r="G254" s="81"/>
      <c r="H254" s="79"/>
      <c r="I254" s="79"/>
      <c r="J254" s="79"/>
      <c r="K254" s="79"/>
      <c r="L254" s="79"/>
      <c r="M254" s="79"/>
      <c r="N254" s="79"/>
      <c r="O254" s="79"/>
      <c r="P254" s="79"/>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row>
    <row r="255" spans="1:51" x14ac:dyDescent="0.2">
      <c r="A255" s="79"/>
      <c r="B255" s="79"/>
      <c r="C255" s="82"/>
      <c r="D255" s="83"/>
      <c r="E255" s="79"/>
      <c r="F255" s="80"/>
      <c r="G255" s="81"/>
      <c r="H255" s="79"/>
      <c r="I255" s="79"/>
      <c r="J255" s="79"/>
      <c r="K255" s="79"/>
      <c r="L255" s="79"/>
      <c r="M255" s="79"/>
      <c r="N255" s="79"/>
      <c r="O255" s="79"/>
      <c r="P255" s="79"/>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row>
    <row r="256" spans="1:51" x14ac:dyDescent="0.2">
      <c r="A256" s="79"/>
      <c r="B256" s="79"/>
      <c r="C256" s="82"/>
      <c r="D256" s="83"/>
      <c r="E256" s="79"/>
      <c r="F256" s="80"/>
      <c r="G256" s="81"/>
      <c r="H256" s="79"/>
      <c r="I256" s="79"/>
      <c r="J256" s="79"/>
      <c r="K256" s="79"/>
      <c r="L256" s="79"/>
      <c r="M256" s="79"/>
      <c r="N256" s="79"/>
      <c r="O256" s="79"/>
      <c r="P256" s="79"/>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row>
    <row r="257" spans="1:51" x14ac:dyDescent="0.2">
      <c r="A257" s="79"/>
      <c r="B257" s="79"/>
      <c r="C257" s="82"/>
      <c r="D257" s="83"/>
      <c r="E257" s="79"/>
      <c r="F257" s="80"/>
      <c r="G257" s="81"/>
      <c r="H257" s="79"/>
      <c r="I257" s="79"/>
      <c r="J257" s="79"/>
      <c r="K257" s="79"/>
      <c r="L257" s="79"/>
      <c r="M257" s="79"/>
      <c r="N257" s="79"/>
      <c r="O257" s="79"/>
      <c r="P257" s="79"/>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row>
    <row r="258" spans="1:51" x14ac:dyDescent="0.2">
      <c r="A258" s="79"/>
      <c r="B258" s="79"/>
      <c r="C258" s="82"/>
      <c r="D258" s="83"/>
      <c r="E258" s="79"/>
      <c r="F258" s="80"/>
      <c r="G258" s="81"/>
      <c r="H258" s="79"/>
      <c r="I258" s="79"/>
      <c r="J258" s="79"/>
      <c r="K258" s="79"/>
      <c r="L258" s="79"/>
      <c r="M258" s="79"/>
      <c r="N258" s="79"/>
      <c r="O258" s="79"/>
      <c r="P258" s="79"/>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row>
    <row r="259" spans="1:51" x14ac:dyDescent="0.2">
      <c r="A259" s="79"/>
      <c r="B259" s="79"/>
      <c r="C259" s="82"/>
      <c r="D259" s="83"/>
      <c r="E259" s="79"/>
      <c r="F259" s="80"/>
      <c r="G259" s="81"/>
      <c r="H259" s="79"/>
      <c r="I259" s="79"/>
      <c r="J259" s="79"/>
      <c r="K259" s="79"/>
      <c r="L259" s="79"/>
      <c r="M259" s="79"/>
      <c r="N259" s="79"/>
      <c r="O259" s="79"/>
      <c r="P259" s="79"/>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row>
    <row r="260" spans="1:51" x14ac:dyDescent="0.2">
      <c r="A260" s="79"/>
      <c r="B260" s="79"/>
      <c r="C260" s="82"/>
      <c r="D260" s="83"/>
      <c r="E260" s="79"/>
      <c r="F260" s="80"/>
      <c r="G260" s="81"/>
      <c r="H260" s="79"/>
      <c r="I260" s="79"/>
      <c r="J260" s="79"/>
      <c r="K260" s="79"/>
      <c r="L260" s="79"/>
      <c r="M260" s="79"/>
      <c r="N260" s="79"/>
      <c r="O260" s="79"/>
      <c r="P260" s="79"/>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row>
    <row r="261" spans="1:51" x14ac:dyDescent="0.2">
      <c r="A261" s="79"/>
      <c r="B261" s="79"/>
      <c r="C261" s="82"/>
      <c r="D261" s="83"/>
      <c r="E261" s="79"/>
      <c r="F261" s="80"/>
      <c r="G261" s="81"/>
      <c r="H261" s="79"/>
      <c r="I261" s="79"/>
      <c r="J261" s="79"/>
      <c r="K261" s="79"/>
      <c r="L261" s="79"/>
      <c r="M261" s="79"/>
      <c r="N261" s="79"/>
      <c r="O261" s="79"/>
      <c r="P261" s="79"/>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row>
    <row r="262" spans="1:51" x14ac:dyDescent="0.2">
      <c r="A262" s="79"/>
      <c r="B262" s="79"/>
      <c r="C262" s="82"/>
      <c r="D262" s="83"/>
      <c r="E262" s="79"/>
      <c r="F262" s="80"/>
      <c r="G262" s="81"/>
      <c r="H262" s="79"/>
      <c r="I262" s="79"/>
      <c r="J262" s="79"/>
      <c r="K262" s="79"/>
      <c r="L262" s="79"/>
      <c r="M262" s="79"/>
      <c r="N262" s="79"/>
      <c r="O262" s="79"/>
      <c r="P262" s="79"/>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row>
    <row r="263" spans="1:51" x14ac:dyDescent="0.2">
      <c r="A263" s="79"/>
      <c r="B263" s="79"/>
      <c r="C263" s="82"/>
      <c r="D263" s="83"/>
      <c r="E263" s="79"/>
      <c r="F263" s="80"/>
      <c r="G263" s="81"/>
      <c r="H263" s="79"/>
      <c r="I263" s="79"/>
      <c r="J263" s="79"/>
      <c r="K263" s="79"/>
      <c r="L263" s="79"/>
      <c r="M263" s="79"/>
      <c r="N263" s="79"/>
      <c r="O263" s="79"/>
      <c r="P263" s="79"/>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row>
    <row r="264" spans="1:51" x14ac:dyDescent="0.2">
      <c r="A264" s="79"/>
      <c r="B264" s="79"/>
      <c r="C264" s="82"/>
      <c r="D264" s="83"/>
      <c r="E264" s="79"/>
      <c r="F264" s="80"/>
      <c r="G264" s="81"/>
      <c r="H264" s="79"/>
      <c r="I264" s="79"/>
      <c r="J264" s="79"/>
      <c r="K264" s="79"/>
      <c r="L264" s="79"/>
      <c r="M264" s="79"/>
      <c r="N264" s="79"/>
      <c r="O264" s="79"/>
      <c r="P264" s="79"/>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row>
    <row r="265" spans="1:51" x14ac:dyDescent="0.2">
      <c r="A265" s="79"/>
      <c r="B265" s="79"/>
      <c r="C265" s="82"/>
      <c r="D265" s="83"/>
      <c r="E265" s="79"/>
      <c r="F265" s="80"/>
      <c r="G265" s="81"/>
      <c r="H265" s="79"/>
      <c r="I265" s="79"/>
      <c r="J265" s="79"/>
      <c r="K265" s="79"/>
      <c r="L265" s="79"/>
      <c r="M265" s="79"/>
      <c r="N265" s="79"/>
      <c r="O265" s="79"/>
      <c r="P265" s="79"/>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row>
    <row r="266" spans="1:51" x14ac:dyDescent="0.2">
      <c r="A266" s="79"/>
      <c r="B266" s="79"/>
      <c r="C266" s="82"/>
      <c r="D266" s="83"/>
      <c r="E266" s="79"/>
      <c r="F266" s="80"/>
      <c r="G266" s="81"/>
      <c r="H266" s="79"/>
      <c r="I266" s="79"/>
      <c r="J266" s="79"/>
      <c r="K266" s="79"/>
      <c r="L266" s="79"/>
      <c r="M266" s="79"/>
      <c r="N266" s="79"/>
      <c r="O266" s="79"/>
      <c r="P266" s="79"/>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row>
    <row r="267" spans="1:51" x14ac:dyDescent="0.2">
      <c r="A267" s="79"/>
      <c r="B267" s="79"/>
      <c r="C267" s="82"/>
      <c r="D267" s="83"/>
      <c r="E267" s="79"/>
      <c r="F267" s="80"/>
      <c r="G267" s="81"/>
      <c r="H267" s="79"/>
      <c r="I267" s="79"/>
      <c r="J267" s="79"/>
      <c r="K267" s="79"/>
      <c r="L267" s="79"/>
      <c r="M267" s="79"/>
      <c r="N267" s="79"/>
      <c r="O267" s="79"/>
      <c r="P267" s="79"/>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row>
    <row r="268" spans="1:51" x14ac:dyDescent="0.2">
      <c r="A268" s="79"/>
      <c r="B268" s="79"/>
      <c r="C268" s="82"/>
      <c r="D268" s="83"/>
      <c r="E268" s="79"/>
      <c r="F268" s="80"/>
      <c r="G268" s="81"/>
      <c r="H268" s="79"/>
      <c r="I268" s="79"/>
      <c r="J268" s="79"/>
      <c r="K268" s="79"/>
      <c r="L268" s="79"/>
      <c r="M268" s="79"/>
      <c r="N268" s="79"/>
      <c r="O268" s="79"/>
      <c r="P268" s="79"/>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row>
    <row r="269" spans="1:51" x14ac:dyDescent="0.2">
      <c r="A269" s="79"/>
      <c r="B269" s="79"/>
      <c r="C269" s="82"/>
      <c r="D269" s="83"/>
      <c r="E269" s="79"/>
      <c r="F269" s="80"/>
      <c r="G269" s="81"/>
      <c r="H269" s="79"/>
      <c r="I269" s="79"/>
      <c r="J269" s="79"/>
      <c r="K269" s="79"/>
      <c r="L269" s="79"/>
      <c r="M269" s="79"/>
      <c r="N269" s="79"/>
      <c r="O269" s="79"/>
      <c r="P269" s="79"/>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row>
    <row r="270" spans="1:51" x14ac:dyDescent="0.2">
      <c r="A270" s="79"/>
      <c r="B270" s="79"/>
      <c r="C270" s="82"/>
      <c r="D270" s="83"/>
      <c r="E270" s="79"/>
      <c r="F270" s="80"/>
      <c r="G270" s="81"/>
      <c r="H270" s="79"/>
      <c r="I270" s="79"/>
      <c r="J270" s="79"/>
      <c r="K270" s="79"/>
      <c r="L270" s="79"/>
      <c r="M270" s="79"/>
      <c r="N270" s="79"/>
      <c r="O270" s="79"/>
      <c r="P270" s="79"/>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row>
    <row r="271" spans="1:51" x14ac:dyDescent="0.2">
      <c r="A271" s="79"/>
      <c r="B271" s="79"/>
      <c r="C271" s="82"/>
      <c r="D271" s="83"/>
      <c r="E271" s="79"/>
      <c r="F271" s="80"/>
      <c r="G271" s="81"/>
      <c r="H271" s="79"/>
      <c r="I271" s="79"/>
      <c r="J271" s="79"/>
      <c r="K271" s="79"/>
      <c r="L271" s="79"/>
      <c r="M271" s="79"/>
      <c r="N271" s="79"/>
      <c r="O271" s="79"/>
      <c r="P271" s="79"/>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row>
    <row r="272" spans="1:51" x14ac:dyDescent="0.2">
      <c r="A272" s="79"/>
      <c r="B272" s="79"/>
      <c r="C272" s="82"/>
      <c r="D272" s="83"/>
      <c r="E272" s="79"/>
      <c r="F272" s="80"/>
      <c r="G272" s="81"/>
      <c r="H272" s="79"/>
      <c r="I272" s="79"/>
      <c r="J272" s="79"/>
      <c r="K272" s="79"/>
      <c r="L272" s="79"/>
      <c r="M272" s="79"/>
      <c r="N272" s="79"/>
      <c r="O272" s="79"/>
      <c r="P272" s="79"/>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row>
    <row r="273" spans="1:51" x14ac:dyDescent="0.2">
      <c r="A273" s="79"/>
      <c r="B273" s="79"/>
      <c r="C273" s="82"/>
      <c r="D273" s="83"/>
      <c r="E273" s="79"/>
      <c r="F273" s="80"/>
      <c r="G273" s="81"/>
      <c r="H273" s="79"/>
      <c r="I273" s="79"/>
      <c r="J273" s="79"/>
      <c r="K273" s="79"/>
      <c r="L273" s="79"/>
      <c r="M273" s="79"/>
      <c r="N273" s="79"/>
      <c r="O273" s="79"/>
      <c r="P273" s="79"/>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row>
    <row r="274" spans="1:51" x14ac:dyDescent="0.2">
      <c r="A274" s="79"/>
      <c r="B274" s="79"/>
      <c r="C274" s="82"/>
      <c r="D274" s="83"/>
      <c r="E274" s="79"/>
      <c r="F274" s="80"/>
      <c r="G274" s="81"/>
      <c r="H274" s="79"/>
      <c r="I274" s="79"/>
      <c r="J274" s="79"/>
      <c r="K274" s="79"/>
      <c r="L274" s="79"/>
      <c r="M274" s="79"/>
      <c r="N274" s="79"/>
      <c r="O274" s="79"/>
      <c r="P274" s="79"/>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row>
    <row r="275" spans="1:51" x14ac:dyDescent="0.2">
      <c r="A275" s="79"/>
      <c r="B275" s="79"/>
      <c r="C275" s="82"/>
      <c r="D275" s="83"/>
      <c r="E275" s="79"/>
      <c r="F275" s="80"/>
      <c r="G275" s="81"/>
      <c r="H275" s="79"/>
      <c r="I275" s="79"/>
      <c r="J275" s="79"/>
      <c r="K275" s="79"/>
      <c r="L275" s="79"/>
      <c r="M275" s="79"/>
      <c r="N275" s="79"/>
      <c r="O275" s="79"/>
      <c r="P275" s="79"/>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row>
    <row r="276" spans="1:51" x14ac:dyDescent="0.2">
      <c r="A276" s="79"/>
      <c r="B276" s="79"/>
      <c r="C276" s="82"/>
      <c r="D276" s="83"/>
      <c r="E276" s="79"/>
      <c r="F276" s="80"/>
      <c r="G276" s="81"/>
      <c r="H276" s="79"/>
      <c r="I276" s="79"/>
      <c r="J276" s="79"/>
      <c r="K276" s="79"/>
      <c r="L276" s="79"/>
      <c r="M276" s="79"/>
      <c r="N276" s="79"/>
      <c r="O276" s="79"/>
      <c r="P276" s="79"/>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row>
    <row r="277" spans="1:51" x14ac:dyDescent="0.2">
      <c r="A277" s="79"/>
      <c r="B277" s="79"/>
      <c r="C277" s="82"/>
      <c r="D277" s="83"/>
      <c r="E277" s="79"/>
      <c r="F277" s="80"/>
      <c r="G277" s="81"/>
      <c r="H277" s="79"/>
      <c r="I277" s="79"/>
      <c r="J277" s="79"/>
      <c r="K277" s="79"/>
      <c r="L277" s="79"/>
      <c r="M277" s="79"/>
      <c r="N277" s="79"/>
      <c r="O277" s="79"/>
      <c r="P277" s="79"/>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row>
    <row r="278" spans="1:51" x14ac:dyDescent="0.2">
      <c r="A278" s="79"/>
      <c r="B278" s="79"/>
      <c r="C278" s="82"/>
      <c r="D278" s="83"/>
      <c r="E278" s="79"/>
      <c r="F278" s="80"/>
      <c r="G278" s="81"/>
      <c r="H278" s="79"/>
      <c r="I278" s="79"/>
      <c r="J278" s="79"/>
      <c r="K278" s="79"/>
      <c r="L278" s="79"/>
      <c r="M278" s="79"/>
      <c r="N278" s="79"/>
      <c r="O278" s="79"/>
      <c r="P278" s="79"/>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row>
    <row r="279" spans="1:51" x14ac:dyDescent="0.2">
      <c r="A279" s="79"/>
      <c r="B279" s="79"/>
      <c r="C279" s="82"/>
      <c r="D279" s="83"/>
      <c r="E279" s="79"/>
      <c r="F279" s="80"/>
      <c r="G279" s="81"/>
      <c r="H279" s="79"/>
      <c r="I279" s="79"/>
      <c r="J279" s="79"/>
      <c r="K279" s="79"/>
      <c r="L279" s="79"/>
      <c r="M279" s="79"/>
      <c r="N279" s="79"/>
      <c r="O279" s="79"/>
      <c r="P279" s="79"/>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row>
    <row r="280" spans="1:51" x14ac:dyDescent="0.2">
      <c r="A280" s="79"/>
      <c r="B280" s="79"/>
      <c r="C280" s="82"/>
      <c r="D280" s="83"/>
      <c r="E280" s="79"/>
      <c r="F280" s="80"/>
      <c r="G280" s="81"/>
      <c r="H280" s="79"/>
      <c r="I280" s="79"/>
      <c r="J280" s="79"/>
      <c r="K280" s="79"/>
      <c r="L280" s="79"/>
      <c r="M280" s="79"/>
      <c r="N280" s="79"/>
      <c r="O280" s="79"/>
      <c r="P280" s="79"/>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row>
    <row r="281" spans="1:51" x14ac:dyDescent="0.2">
      <c r="A281" s="79"/>
      <c r="B281" s="79"/>
      <c r="C281" s="82"/>
      <c r="D281" s="83"/>
      <c r="E281" s="79"/>
      <c r="F281" s="80"/>
      <c r="G281" s="81"/>
      <c r="H281" s="79"/>
      <c r="I281" s="79"/>
      <c r="J281" s="79"/>
      <c r="K281" s="79"/>
      <c r="L281" s="79"/>
      <c r="M281" s="79"/>
      <c r="N281" s="79"/>
      <c r="O281" s="79"/>
      <c r="P281" s="79"/>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row>
    <row r="282" spans="1:51" x14ac:dyDescent="0.2">
      <c r="A282" s="79"/>
      <c r="B282" s="79"/>
      <c r="C282" s="82"/>
      <c r="D282" s="83"/>
      <c r="E282" s="79"/>
      <c r="F282" s="80"/>
      <c r="G282" s="81"/>
      <c r="H282" s="79"/>
      <c r="I282" s="79"/>
      <c r="J282" s="79"/>
      <c r="K282" s="79"/>
      <c r="L282" s="79"/>
      <c r="M282" s="79"/>
      <c r="N282" s="79"/>
      <c r="O282" s="79"/>
      <c r="P282" s="79"/>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row>
    <row r="283" spans="1:51" x14ac:dyDescent="0.2">
      <c r="A283" s="79"/>
      <c r="B283" s="79"/>
      <c r="C283" s="82"/>
      <c r="D283" s="83"/>
      <c r="E283" s="79"/>
      <c r="F283" s="80"/>
      <c r="G283" s="81"/>
      <c r="H283" s="79"/>
      <c r="I283" s="79"/>
      <c r="J283" s="79"/>
      <c r="K283" s="79"/>
      <c r="L283" s="79"/>
      <c r="M283" s="79"/>
      <c r="N283" s="79"/>
      <c r="O283" s="79"/>
      <c r="P283" s="79"/>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row>
    <row r="284" spans="1:51" x14ac:dyDescent="0.2">
      <c r="A284" s="79"/>
      <c r="B284" s="79"/>
      <c r="C284" s="82"/>
      <c r="D284" s="83"/>
      <c r="E284" s="79"/>
      <c r="F284" s="80"/>
      <c r="G284" s="81"/>
      <c r="H284" s="79"/>
      <c r="I284" s="79"/>
      <c r="J284" s="79"/>
      <c r="K284" s="79"/>
      <c r="L284" s="79"/>
      <c r="M284" s="79"/>
      <c r="N284" s="79"/>
      <c r="O284" s="79"/>
      <c r="P284" s="79"/>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row>
    <row r="285" spans="1:51" x14ac:dyDescent="0.2">
      <c r="A285" s="79"/>
      <c r="B285" s="79"/>
      <c r="C285" s="82"/>
      <c r="D285" s="83"/>
      <c r="E285" s="79"/>
      <c r="F285" s="80"/>
      <c r="G285" s="81"/>
      <c r="H285" s="79"/>
      <c r="I285" s="79"/>
      <c r="J285" s="79"/>
      <c r="K285" s="79"/>
      <c r="L285" s="79"/>
      <c r="M285" s="79"/>
      <c r="N285" s="79"/>
      <c r="O285" s="79"/>
      <c r="P285" s="79"/>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row>
    <row r="286" spans="1:51" x14ac:dyDescent="0.2">
      <c r="A286" s="79"/>
      <c r="B286" s="79"/>
      <c r="C286" s="82"/>
      <c r="D286" s="83"/>
      <c r="E286" s="79"/>
      <c r="F286" s="80"/>
      <c r="G286" s="81"/>
      <c r="H286" s="79"/>
      <c r="I286" s="79"/>
      <c r="J286" s="79"/>
      <c r="K286" s="79"/>
      <c r="L286" s="79"/>
      <c r="M286" s="79"/>
      <c r="N286" s="79"/>
      <c r="O286" s="79"/>
      <c r="P286" s="79"/>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row>
    <row r="287" spans="1:51" x14ac:dyDescent="0.2">
      <c r="A287" s="79"/>
      <c r="B287" s="79"/>
      <c r="C287" s="82"/>
      <c r="D287" s="83"/>
      <c r="E287" s="79"/>
      <c r="F287" s="80"/>
      <c r="G287" s="81"/>
      <c r="H287" s="79"/>
      <c r="I287" s="79"/>
      <c r="J287" s="79"/>
      <c r="K287" s="79"/>
      <c r="L287" s="79"/>
      <c r="M287" s="79"/>
      <c r="N287" s="79"/>
      <c r="O287" s="79"/>
      <c r="P287" s="79"/>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row>
    <row r="288" spans="1:51" x14ac:dyDescent="0.2">
      <c r="A288" s="79"/>
      <c r="B288" s="79"/>
      <c r="C288" s="82"/>
      <c r="D288" s="83"/>
      <c r="E288" s="79"/>
      <c r="F288" s="80"/>
      <c r="G288" s="81"/>
      <c r="H288" s="79"/>
      <c r="I288" s="79"/>
      <c r="J288" s="79"/>
      <c r="K288" s="79"/>
      <c r="L288" s="79"/>
      <c r="M288" s="79"/>
      <c r="N288" s="79"/>
      <c r="O288" s="79"/>
      <c r="P288" s="79"/>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row>
    <row r="289" spans="1:51" x14ac:dyDescent="0.2">
      <c r="A289" s="79"/>
      <c r="B289" s="79"/>
      <c r="C289" s="82"/>
      <c r="D289" s="83"/>
      <c r="E289" s="79"/>
      <c r="F289" s="80"/>
      <c r="G289" s="81"/>
      <c r="H289" s="79"/>
      <c r="I289" s="79"/>
      <c r="J289" s="79"/>
      <c r="K289" s="79"/>
      <c r="L289" s="79"/>
      <c r="M289" s="79"/>
      <c r="N289" s="79"/>
      <c r="O289" s="79"/>
      <c r="P289" s="79"/>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row>
    <row r="290" spans="1:51" x14ac:dyDescent="0.2">
      <c r="A290" s="79"/>
      <c r="B290" s="79"/>
      <c r="C290" s="82"/>
      <c r="D290" s="83"/>
      <c r="E290" s="79"/>
      <c r="F290" s="80"/>
      <c r="G290" s="81"/>
      <c r="H290" s="79"/>
      <c r="I290" s="79"/>
      <c r="J290" s="79"/>
      <c r="K290" s="79"/>
      <c r="L290" s="79"/>
      <c r="M290" s="79"/>
      <c r="N290" s="79"/>
      <c r="O290" s="79"/>
      <c r="P290" s="79"/>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row>
    <row r="291" spans="1:51" x14ac:dyDescent="0.2">
      <c r="A291" s="79"/>
      <c r="B291" s="79"/>
      <c r="C291" s="82"/>
      <c r="D291" s="83"/>
      <c r="E291" s="79"/>
      <c r="F291" s="80"/>
      <c r="G291" s="81"/>
      <c r="H291" s="79"/>
      <c r="I291" s="79"/>
      <c r="J291" s="79"/>
      <c r="K291" s="79"/>
      <c r="L291" s="79"/>
      <c r="M291" s="79"/>
      <c r="N291" s="79"/>
      <c r="O291" s="79"/>
      <c r="P291" s="79"/>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row>
    <row r="292" spans="1:51" x14ac:dyDescent="0.2">
      <c r="A292" s="79"/>
      <c r="B292" s="79"/>
      <c r="C292" s="82"/>
      <c r="D292" s="83"/>
      <c r="E292" s="79"/>
      <c r="F292" s="80"/>
      <c r="G292" s="81"/>
      <c r="H292" s="79"/>
      <c r="I292" s="79"/>
      <c r="J292" s="79"/>
      <c r="K292" s="79"/>
      <c r="L292" s="79"/>
      <c r="M292" s="79"/>
      <c r="N292" s="79"/>
      <c r="O292" s="79"/>
      <c r="P292" s="79"/>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row>
    <row r="293" spans="1:51" x14ac:dyDescent="0.2">
      <c r="A293" s="79"/>
      <c r="B293" s="79"/>
      <c r="C293" s="82"/>
      <c r="D293" s="83"/>
      <c r="E293" s="79"/>
      <c r="F293" s="80"/>
      <c r="G293" s="81"/>
      <c r="H293" s="79"/>
      <c r="I293" s="79"/>
      <c r="J293" s="79"/>
      <c r="K293" s="79"/>
      <c r="L293" s="79"/>
      <c r="M293" s="79"/>
      <c r="N293" s="79"/>
      <c r="O293" s="79"/>
      <c r="P293" s="79"/>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row>
    <row r="294" spans="1:51" x14ac:dyDescent="0.2">
      <c r="A294" s="79"/>
      <c r="B294" s="79"/>
      <c r="C294" s="82"/>
      <c r="D294" s="83"/>
      <c r="E294" s="79"/>
      <c r="F294" s="80"/>
      <c r="G294" s="81"/>
      <c r="H294" s="79"/>
      <c r="I294" s="79"/>
      <c r="J294" s="79"/>
      <c r="K294" s="79"/>
      <c r="L294" s="79"/>
      <c r="M294" s="79"/>
      <c r="N294" s="79"/>
      <c r="O294" s="79"/>
      <c r="P294" s="79"/>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row>
    <row r="295" spans="1:51" x14ac:dyDescent="0.2">
      <c r="A295" s="79"/>
      <c r="B295" s="79"/>
      <c r="C295" s="82"/>
      <c r="D295" s="83"/>
      <c r="E295" s="79"/>
      <c r="F295" s="80"/>
      <c r="G295" s="81"/>
      <c r="H295" s="79"/>
      <c r="I295" s="79"/>
      <c r="J295" s="79"/>
      <c r="K295" s="79"/>
      <c r="L295" s="79"/>
      <c r="M295" s="79"/>
      <c r="N295" s="79"/>
      <c r="O295" s="79"/>
      <c r="P295" s="79"/>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row>
    <row r="296" spans="1:51" x14ac:dyDescent="0.2">
      <c r="A296" s="79"/>
      <c r="B296" s="79"/>
      <c r="C296" s="82"/>
      <c r="D296" s="83"/>
      <c r="E296" s="79"/>
      <c r="F296" s="80"/>
      <c r="G296" s="81"/>
      <c r="H296" s="79"/>
      <c r="I296" s="79"/>
      <c r="J296" s="79"/>
      <c r="K296" s="79"/>
      <c r="L296" s="79"/>
      <c r="M296" s="79"/>
      <c r="N296" s="79"/>
      <c r="O296" s="79"/>
      <c r="P296" s="79"/>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row>
    <row r="297" spans="1:51" x14ac:dyDescent="0.2">
      <c r="A297" s="79"/>
      <c r="B297" s="79"/>
      <c r="C297" s="82"/>
      <c r="D297" s="83"/>
      <c r="E297" s="79"/>
      <c r="F297" s="80"/>
      <c r="G297" s="81"/>
      <c r="H297" s="79"/>
      <c r="I297" s="79"/>
      <c r="J297" s="79"/>
      <c r="K297" s="79"/>
      <c r="L297" s="79"/>
      <c r="M297" s="79"/>
      <c r="N297" s="79"/>
      <c r="O297" s="79"/>
      <c r="P297" s="79"/>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row>
    <row r="298" spans="1:51" x14ac:dyDescent="0.2">
      <c r="A298" s="79"/>
      <c r="B298" s="79"/>
      <c r="C298" s="82"/>
      <c r="D298" s="83"/>
      <c r="E298" s="79"/>
      <c r="F298" s="80"/>
      <c r="G298" s="81"/>
      <c r="H298" s="79"/>
      <c r="I298" s="79"/>
      <c r="J298" s="79"/>
      <c r="K298" s="79"/>
      <c r="L298" s="79"/>
      <c r="M298" s="79"/>
      <c r="N298" s="79"/>
      <c r="O298" s="79"/>
      <c r="P298" s="79"/>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row>
    <row r="299" spans="1:51" x14ac:dyDescent="0.2">
      <c r="A299" s="79"/>
      <c r="B299" s="79"/>
      <c r="C299" s="82"/>
      <c r="D299" s="83"/>
      <c r="E299" s="79"/>
      <c r="F299" s="80"/>
      <c r="G299" s="81"/>
      <c r="H299" s="79"/>
      <c r="I299" s="79"/>
      <c r="J299" s="79"/>
      <c r="K299" s="79"/>
      <c r="L299" s="79"/>
      <c r="M299" s="79"/>
      <c r="N299" s="79"/>
      <c r="O299" s="79"/>
      <c r="P299" s="79"/>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row>
    <row r="300" spans="1:51" x14ac:dyDescent="0.2">
      <c r="A300" s="79"/>
      <c r="B300" s="79"/>
      <c r="C300" s="82"/>
      <c r="D300" s="83"/>
      <c r="E300" s="79"/>
      <c r="F300" s="80"/>
      <c r="G300" s="81"/>
      <c r="H300" s="79"/>
      <c r="I300" s="79"/>
      <c r="J300" s="79"/>
      <c r="K300" s="79"/>
      <c r="L300" s="79"/>
      <c r="M300" s="79"/>
      <c r="N300" s="79"/>
      <c r="O300" s="79"/>
      <c r="P300" s="79"/>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row>
    <row r="301" spans="1:51" x14ac:dyDescent="0.2">
      <c r="A301" s="79"/>
      <c r="B301" s="79"/>
      <c r="C301" s="82"/>
      <c r="D301" s="83"/>
      <c r="E301" s="79"/>
      <c r="F301" s="80"/>
      <c r="G301" s="81"/>
      <c r="H301" s="79"/>
      <c r="I301" s="79"/>
      <c r="J301" s="79"/>
      <c r="K301" s="79"/>
      <c r="L301" s="79"/>
      <c r="M301" s="79"/>
      <c r="N301" s="79"/>
      <c r="O301" s="79"/>
      <c r="P301" s="79"/>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row>
    <row r="302" spans="1:51" x14ac:dyDescent="0.2">
      <c r="A302" s="79"/>
      <c r="B302" s="79"/>
      <c r="C302" s="82"/>
      <c r="D302" s="83"/>
      <c r="E302" s="79"/>
      <c r="F302" s="80"/>
      <c r="G302" s="81"/>
      <c r="H302" s="79"/>
      <c r="I302" s="79"/>
      <c r="J302" s="79"/>
      <c r="K302" s="79"/>
      <c r="L302" s="79"/>
      <c r="M302" s="79"/>
      <c r="N302" s="79"/>
      <c r="O302" s="79"/>
      <c r="P302" s="79"/>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row>
    <row r="303" spans="1:51" x14ac:dyDescent="0.2">
      <c r="A303" s="79"/>
      <c r="B303" s="79"/>
      <c r="C303" s="82"/>
      <c r="D303" s="83"/>
      <c r="E303" s="79"/>
      <c r="F303" s="80"/>
      <c r="G303" s="81"/>
      <c r="H303" s="79"/>
      <c r="I303" s="79"/>
      <c r="J303" s="79"/>
      <c r="K303" s="79"/>
      <c r="L303" s="79"/>
      <c r="M303" s="79"/>
      <c r="N303" s="79"/>
      <c r="O303" s="79"/>
      <c r="P303" s="79"/>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row>
    <row r="304" spans="1:51" x14ac:dyDescent="0.2">
      <c r="A304" s="79"/>
      <c r="B304" s="79"/>
      <c r="C304" s="82"/>
      <c r="D304" s="83"/>
      <c r="E304" s="79"/>
      <c r="F304" s="80"/>
      <c r="G304" s="81"/>
      <c r="H304" s="79"/>
      <c r="I304" s="79"/>
      <c r="J304" s="79"/>
      <c r="K304" s="79"/>
      <c r="L304" s="79"/>
      <c r="M304" s="79"/>
      <c r="N304" s="79"/>
      <c r="O304" s="79"/>
      <c r="P304" s="79"/>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row>
    <row r="305" spans="1:51" x14ac:dyDescent="0.2">
      <c r="A305" s="79"/>
      <c r="B305" s="79"/>
      <c r="C305" s="82"/>
      <c r="D305" s="83"/>
      <c r="E305" s="79"/>
      <c r="F305" s="80"/>
      <c r="G305" s="81"/>
      <c r="H305" s="79"/>
      <c r="I305" s="79"/>
      <c r="J305" s="79"/>
      <c r="K305" s="79"/>
      <c r="L305" s="79"/>
      <c r="M305" s="79"/>
      <c r="N305" s="79"/>
      <c r="O305" s="79"/>
      <c r="P305" s="79"/>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row>
    <row r="306" spans="1:51" x14ac:dyDescent="0.2">
      <c r="A306" s="79"/>
      <c r="B306" s="79"/>
      <c r="C306" s="82"/>
      <c r="D306" s="83"/>
      <c r="E306" s="79"/>
      <c r="F306" s="80"/>
      <c r="G306" s="81"/>
      <c r="H306" s="79"/>
      <c r="I306" s="79"/>
      <c r="J306" s="79"/>
      <c r="K306" s="79"/>
      <c r="L306" s="79"/>
      <c r="M306" s="79"/>
      <c r="N306" s="79"/>
      <c r="O306" s="79"/>
      <c r="P306" s="79"/>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row>
    <row r="307" spans="1:51" x14ac:dyDescent="0.2">
      <c r="A307" s="79"/>
      <c r="B307" s="79"/>
      <c r="C307" s="82"/>
      <c r="D307" s="83"/>
      <c r="E307" s="79"/>
      <c r="F307" s="80"/>
      <c r="G307" s="81"/>
      <c r="H307" s="79"/>
      <c r="I307" s="79"/>
      <c r="J307" s="79"/>
      <c r="K307" s="79"/>
      <c r="L307" s="79"/>
      <c r="M307" s="79"/>
      <c r="N307" s="79"/>
      <c r="O307" s="79"/>
      <c r="P307" s="79"/>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row>
    <row r="308" spans="1:51" x14ac:dyDescent="0.2">
      <c r="A308" s="79"/>
      <c r="B308" s="79"/>
      <c r="C308" s="82"/>
      <c r="D308" s="83"/>
      <c r="E308" s="79"/>
      <c r="F308" s="80"/>
      <c r="G308" s="81"/>
      <c r="H308" s="79"/>
      <c r="I308" s="79"/>
      <c r="J308" s="79"/>
      <c r="K308" s="79"/>
      <c r="L308" s="79"/>
      <c r="M308" s="79"/>
      <c r="N308" s="79"/>
      <c r="O308" s="79"/>
      <c r="P308" s="79"/>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row>
    <row r="309" spans="1:51" x14ac:dyDescent="0.2">
      <c r="A309" s="79"/>
      <c r="B309" s="79"/>
      <c r="C309" s="82"/>
      <c r="D309" s="83"/>
      <c r="E309" s="79"/>
      <c r="F309" s="80"/>
      <c r="G309" s="81"/>
      <c r="H309" s="79"/>
      <c r="I309" s="79"/>
      <c r="J309" s="79"/>
      <c r="K309" s="79"/>
      <c r="L309" s="79"/>
      <c r="M309" s="79"/>
      <c r="N309" s="79"/>
      <c r="O309" s="79"/>
      <c r="P309" s="79"/>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row>
    <row r="310" spans="1:51" x14ac:dyDescent="0.2">
      <c r="A310" s="79"/>
      <c r="B310" s="79"/>
      <c r="C310" s="82"/>
      <c r="D310" s="83"/>
      <c r="E310" s="79"/>
      <c r="F310" s="80"/>
      <c r="G310" s="81"/>
      <c r="H310" s="79"/>
      <c r="I310" s="79"/>
      <c r="J310" s="79"/>
      <c r="K310" s="79"/>
      <c r="L310" s="79"/>
      <c r="M310" s="79"/>
      <c r="N310" s="79"/>
      <c r="O310" s="79"/>
      <c r="P310" s="79"/>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row>
    <row r="311" spans="1:51" x14ac:dyDescent="0.2">
      <c r="A311" s="79"/>
      <c r="B311" s="79"/>
      <c r="C311" s="82"/>
      <c r="D311" s="83"/>
      <c r="E311" s="79"/>
      <c r="F311" s="80"/>
      <c r="G311" s="81"/>
      <c r="H311" s="79"/>
      <c r="I311" s="79"/>
      <c r="J311" s="79"/>
      <c r="K311" s="79"/>
      <c r="L311" s="79"/>
      <c r="M311" s="79"/>
      <c r="N311" s="79"/>
      <c r="O311" s="79"/>
      <c r="P311" s="79"/>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row>
    <row r="312" spans="1:51" x14ac:dyDescent="0.2">
      <c r="A312" s="79"/>
      <c r="B312" s="79"/>
      <c r="C312" s="82"/>
      <c r="D312" s="83"/>
      <c r="E312" s="79"/>
      <c r="F312" s="80"/>
      <c r="G312" s="81"/>
      <c r="H312" s="79"/>
      <c r="I312" s="79"/>
      <c r="J312" s="79"/>
      <c r="K312" s="79"/>
      <c r="L312" s="79"/>
      <c r="M312" s="79"/>
      <c r="N312" s="79"/>
      <c r="O312" s="79"/>
      <c r="P312" s="79"/>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row>
    <row r="313" spans="1:51" x14ac:dyDescent="0.2">
      <c r="A313" s="79"/>
      <c r="B313" s="79"/>
      <c r="C313" s="82"/>
      <c r="D313" s="83"/>
      <c r="E313" s="79"/>
      <c r="F313" s="80"/>
      <c r="G313" s="81"/>
      <c r="H313" s="79"/>
      <c r="I313" s="79"/>
      <c r="J313" s="79"/>
      <c r="K313" s="79"/>
      <c r="L313" s="79"/>
      <c r="M313" s="79"/>
      <c r="N313" s="79"/>
      <c r="O313" s="79"/>
      <c r="P313" s="79"/>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row>
    <row r="314" spans="1:51" x14ac:dyDescent="0.2">
      <c r="A314" s="79"/>
      <c r="B314" s="79"/>
      <c r="C314" s="82"/>
      <c r="D314" s="83"/>
      <c r="E314" s="79"/>
      <c r="F314" s="80"/>
      <c r="G314" s="81"/>
      <c r="H314" s="79"/>
      <c r="I314" s="79"/>
      <c r="J314" s="79"/>
      <c r="K314" s="79"/>
      <c r="L314" s="79"/>
      <c r="M314" s="79"/>
      <c r="N314" s="79"/>
      <c r="O314" s="79"/>
      <c r="P314" s="79"/>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row>
    <row r="315" spans="1:51" x14ac:dyDescent="0.2">
      <c r="A315" s="79"/>
      <c r="B315" s="79"/>
      <c r="C315" s="82"/>
      <c r="D315" s="83"/>
      <c r="E315" s="79"/>
      <c r="F315" s="80"/>
      <c r="G315" s="81"/>
      <c r="H315" s="79"/>
      <c r="I315" s="79"/>
      <c r="J315" s="79"/>
      <c r="K315" s="79"/>
      <c r="L315" s="79"/>
      <c r="M315" s="79"/>
      <c r="N315" s="79"/>
      <c r="O315" s="79"/>
      <c r="P315" s="79"/>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row>
    <row r="316" spans="1:51" x14ac:dyDescent="0.2">
      <c r="A316" s="79"/>
      <c r="B316" s="79"/>
      <c r="C316" s="82"/>
      <c r="D316" s="83"/>
      <c r="E316" s="79"/>
      <c r="F316" s="80"/>
      <c r="G316" s="81"/>
      <c r="H316" s="79"/>
      <c r="I316" s="79"/>
      <c r="J316" s="79"/>
      <c r="K316" s="79"/>
      <c r="L316" s="79"/>
      <c r="M316" s="79"/>
      <c r="N316" s="79"/>
      <c r="O316" s="79"/>
      <c r="P316" s="79"/>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row>
    <row r="317" spans="1:51" x14ac:dyDescent="0.2">
      <c r="A317" s="79"/>
      <c r="B317" s="79"/>
      <c r="C317" s="82"/>
      <c r="D317" s="83"/>
      <c r="E317" s="79"/>
      <c r="F317" s="80"/>
      <c r="G317" s="81"/>
      <c r="H317" s="79"/>
      <c r="I317" s="79"/>
      <c r="J317" s="79"/>
      <c r="K317" s="79"/>
      <c r="L317" s="79"/>
      <c r="M317" s="79"/>
      <c r="N317" s="79"/>
      <c r="O317" s="79"/>
      <c r="P317" s="79"/>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row>
    <row r="318" spans="1:51" x14ac:dyDescent="0.2">
      <c r="A318" s="79"/>
      <c r="B318" s="79"/>
      <c r="C318" s="82"/>
      <c r="D318" s="83"/>
      <c r="E318" s="79"/>
      <c r="F318" s="80"/>
      <c r="G318" s="81"/>
      <c r="H318" s="79"/>
      <c r="I318" s="79"/>
      <c r="J318" s="79"/>
      <c r="K318" s="79"/>
      <c r="L318" s="79"/>
      <c r="M318" s="79"/>
      <c r="N318" s="79"/>
      <c r="O318" s="79"/>
      <c r="P318" s="79"/>
    </row>
    <row r="319" spans="1:51" x14ac:dyDescent="0.2">
      <c r="A319" s="79"/>
      <c r="B319" s="79"/>
      <c r="C319" s="82"/>
      <c r="D319" s="83"/>
      <c r="E319" s="79"/>
      <c r="F319" s="80"/>
      <c r="G319" s="81"/>
      <c r="H319" s="79"/>
      <c r="I319" s="79"/>
      <c r="J319" s="79"/>
      <c r="K319" s="79"/>
      <c r="L319" s="79"/>
      <c r="M319" s="79"/>
      <c r="N319" s="79"/>
      <c r="O319" s="79"/>
      <c r="P319" s="79"/>
    </row>
    <row r="320" spans="1:51" x14ac:dyDescent="0.2">
      <c r="A320" s="79"/>
      <c r="B320" s="79"/>
      <c r="C320" s="82"/>
      <c r="D320" s="83"/>
      <c r="E320" s="79"/>
      <c r="F320" s="80"/>
      <c r="G320" s="81"/>
      <c r="H320" s="79"/>
      <c r="I320" s="79"/>
      <c r="J320" s="79"/>
      <c r="K320" s="79"/>
      <c r="L320" s="79"/>
      <c r="M320" s="79"/>
      <c r="N320" s="79"/>
      <c r="O320" s="79"/>
      <c r="P320" s="79"/>
    </row>
    <row r="321" spans="1:16" x14ac:dyDescent="0.2">
      <c r="A321" s="79"/>
      <c r="B321" s="79"/>
      <c r="C321" s="82"/>
      <c r="D321" s="83"/>
      <c r="E321" s="79"/>
      <c r="F321" s="80"/>
      <c r="G321" s="81"/>
      <c r="H321" s="79"/>
      <c r="I321" s="79"/>
      <c r="J321" s="79"/>
      <c r="K321" s="79"/>
      <c r="L321" s="79"/>
      <c r="M321" s="79"/>
      <c r="N321" s="79"/>
      <c r="O321" s="79"/>
      <c r="P321" s="79"/>
    </row>
    <row r="322" spans="1:16" x14ac:dyDescent="0.2">
      <c r="A322" s="79"/>
      <c r="B322" s="79"/>
      <c r="C322" s="82"/>
      <c r="D322" s="83"/>
      <c r="E322" s="79"/>
      <c r="F322" s="80"/>
      <c r="G322" s="81"/>
      <c r="H322" s="79"/>
      <c r="I322" s="79"/>
      <c r="J322" s="79"/>
      <c r="K322" s="79"/>
      <c r="L322" s="79"/>
      <c r="M322" s="79"/>
      <c r="N322" s="79"/>
      <c r="O322" s="79"/>
      <c r="P322" s="79"/>
    </row>
    <row r="323" spans="1:16" x14ac:dyDescent="0.2">
      <c r="A323" s="79"/>
      <c r="B323" s="79"/>
      <c r="C323" s="82"/>
      <c r="D323" s="83"/>
      <c r="E323" s="79"/>
      <c r="F323" s="80"/>
      <c r="G323" s="81"/>
      <c r="H323" s="79"/>
      <c r="I323" s="79"/>
      <c r="J323" s="79"/>
      <c r="K323" s="79"/>
      <c r="L323" s="79"/>
      <c r="M323" s="79"/>
      <c r="N323" s="79"/>
      <c r="O323" s="79"/>
      <c r="P323" s="79"/>
    </row>
    <row r="324" spans="1:16" x14ac:dyDescent="0.2">
      <c r="A324" s="79"/>
      <c r="B324" s="79"/>
      <c r="C324" s="82"/>
      <c r="D324" s="83"/>
      <c r="E324" s="79"/>
      <c r="F324" s="80"/>
      <c r="G324" s="81"/>
      <c r="H324" s="79"/>
      <c r="I324" s="79"/>
      <c r="J324" s="79"/>
      <c r="K324" s="79"/>
      <c r="L324" s="79"/>
      <c r="M324" s="79"/>
      <c r="N324" s="79"/>
      <c r="O324" s="79"/>
      <c r="P324" s="79"/>
    </row>
    <row r="325" spans="1:16" x14ac:dyDescent="0.2">
      <c r="A325" s="79"/>
      <c r="B325" s="79"/>
      <c r="C325" s="82"/>
      <c r="D325" s="83"/>
      <c r="E325" s="79"/>
      <c r="F325" s="80"/>
      <c r="G325" s="81"/>
      <c r="H325" s="79"/>
      <c r="I325" s="79"/>
      <c r="J325" s="79"/>
      <c r="K325" s="79"/>
      <c r="L325" s="79"/>
      <c r="M325" s="79"/>
      <c r="N325" s="79"/>
      <c r="O325" s="79"/>
      <c r="P325" s="79"/>
    </row>
    <row r="326" spans="1:16" x14ac:dyDescent="0.2">
      <c r="A326" s="79"/>
      <c r="B326" s="79"/>
      <c r="C326" s="82"/>
      <c r="D326" s="83"/>
      <c r="E326" s="79"/>
      <c r="F326" s="80"/>
      <c r="G326" s="81"/>
      <c r="H326" s="79"/>
      <c r="I326" s="79"/>
      <c r="J326" s="79"/>
      <c r="K326" s="79"/>
      <c r="L326" s="79"/>
      <c r="M326" s="79"/>
      <c r="N326" s="79"/>
      <c r="O326" s="79"/>
      <c r="P326" s="79"/>
    </row>
    <row r="327" spans="1:16" x14ac:dyDescent="0.2">
      <c r="A327" s="79"/>
      <c r="B327" s="79"/>
      <c r="C327" s="82"/>
      <c r="D327" s="83"/>
      <c r="E327" s="79"/>
      <c r="F327" s="80"/>
      <c r="G327" s="81"/>
      <c r="H327" s="79"/>
      <c r="I327" s="79"/>
      <c r="J327" s="79"/>
      <c r="K327" s="79"/>
      <c r="L327" s="79"/>
      <c r="M327" s="79"/>
      <c r="N327" s="79"/>
      <c r="O327" s="79"/>
      <c r="P327" s="79"/>
    </row>
    <row r="328" spans="1:16" x14ac:dyDescent="0.2">
      <c r="A328" s="79"/>
      <c r="B328" s="79"/>
      <c r="C328" s="82"/>
      <c r="D328" s="83"/>
      <c r="E328" s="79"/>
      <c r="F328" s="80"/>
      <c r="G328" s="81"/>
      <c r="H328" s="79"/>
      <c r="I328" s="79"/>
      <c r="J328" s="79"/>
      <c r="K328" s="79"/>
      <c r="L328" s="79"/>
      <c r="M328" s="79"/>
      <c r="N328" s="79"/>
      <c r="O328" s="79"/>
      <c r="P328" s="79"/>
    </row>
    <row r="329" spans="1:16" x14ac:dyDescent="0.2">
      <c r="A329" s="79"/>
      <c r="B329" s="79"/>
      <c r="C329" s="82"/>
      <c r="D329" s="83"/>
      <c r="E329" s="79"/>
      <c r="F329" s="80"/>
      <c r="G329" s="81"/>
      <c r="H329" s="79"/>
      <c r="I329" s="79"/>
      <c r="J329" s="79"/>
      <c r="K329" s="79"/>
      <c r="L329" s="79"/>
      <c r="M329" s="79"/>
      <c r="N329" s="79"/>
      <c r="O329" s="79"/>
      <c r="P329" s="79"/>
    </row>
    <row r="330" spans="1:16" x14ac:dyDescent="0.2">
      <c r="A330" s="79"/>
      <c r="B330" s="79"/>
      <c r="C330" s="82"/>
      <c r="D330" s="83"/>
      <c r="E330" s="79"/>
      <c r="F330" s="80"/>
      <c r="G330" s="81"/>
      <c r="H330" s="79"/>
      <c r="I330" s="79"/>
      <c r="J330" s="79"/>
      <c r="K330" s="79"/>
      <c r="L330" s="79"/>
      <c r="M330" s="79"/>
      <c r="N330" s="79"/>
      <c r="O330" s="79"/>
      <c r="P330" s="79"/>
    </row>
    <row r="331" spans="1:16" x14ac:dyDescent="0.2">
      <c r="A331" s="79"/>
      <c r="B331" s="79"/>
      <c r="C331" s="82"/>
      <c r="D331" s="83"/>
      <c r="E331" s="79"/>
      <c r="F331" s="80"/>
      <c r="G331" s="81"/>
      <c r="H331" s="79"/>
      <c r="I331" s="79"/>
      <c r="J331" s="79"/>
      <c r="K331" s="79"/>
      <c r="L331" s="79"/>
      <c r="M331" s="79"/>
      <c r="N331" s="79"/>
      <c r="O331" s="79"/>
      <c r="P331" s="79"/>
    </row>
    <row r="332" spans="1:16" x14ac:dyDescent="0.2">
      <c r="A332" s="79"/>
      <c r="B332" s="79"/>
      <c r="C332" s="82"/>
      <c r="D332" s="83"/>
      <c r="E332" s="79"/>
      <c r="F332" s="80"/>
      <c r="G332" s="81"/>
      <c r="H332" s="79"/>
      <c r="I332" s="79"/>
      <c r="J332" s="79"/>
      <c r="K332" s="79"/>
      <c r="L332" s="79"/>
      <c r="M332" s="79"/>
      <c r="N332" s="79"/>
      <c r="O332" s="79"/>
      <c r="P332" s="79"/>
    </row>
    <row r="333" spans="1:16" x14ac:dyDescent="0.2">
      <c r="A333" s="79"/>
      <c r="B333" s="79"/>
      <c r="C333" s="82"/>
      <c r="D333" s="83"/>
      <c r="E333" s="79"/>
      <c r="F333" s="80"/>
      <c r="G333" s="81"/>
      <c r="H333" s="79"/>
      <c r="I333" s="79"/>
      <c r="J333" s="79"/>
      <c r="K333" s="79"/>
      <c r="L333" s="79"/>
      <c r="M333" s="79"/>
      <c r="N333" s="79"/>
      <c r="O333" s="79"/>
      <c r="P333" s="79"/>
    </row>
    <row r="334" spans="1:16" x14ac:dyDescent="0.2">
      <c r="A334" s="79"/>
      <c r="B334" s="79"/>
      <c r="C334" s="82"/>
      <c r="D334" s="83"/>
      <c r="E334" s="79"/>
      <c r="F334" s="80"/>
      <c r="G334" s="81"/>
      <c r="H334" s="79"/>
      <c r="I334" s="79"/>
      <c r="J334" s="79"/>
      <c r="K334" s="79"/>
      <c r="L334" s="79"/>
      <c r="M334" s="79"/>
      <c r="N334" s="79"/>
      <c r="O334" s="79"/>
      <c r="P334" s="79"/>
    </row>
    <row r="335" spans="1:16" x14ac:dyDescent="0.2">
      <c r="A335" s="79"/>
      <c r="B335" s="79"/>
      <c r="C335" s="82"/>
      <c r="D335" s="83"/>
      <c r="E335" s="79"/>
      <c r="F335" s="80"/>
      <c r="G335" s="81"/>
      <c r="H335" s="79"/>
      <c r="I335" s="79"/>
      <c r="J335" s="79"/>
      <c r="K335" s="79"/>
      <c r="L335" s="79"/>
      <c r="M335" s="79"/>
      <c r="N335" s="79"/>
      <c r="O335" s="79"/>
      <c r="P335" s="79"/>
    </row>
    <row r="336" spans="1:16" x14ac:dyDescent="0.2">
      <c r="A336" s="79"/>
      <c r="B336" s="79"/>
      <c r="C336" s="82"/>
      <c r="D336" s="83"/>
      <c r="E336" s="79"/>
      <c r="F336" s="80"/>
      <c r="G336" s="81"/>
      <c r="H336" s="79"/>
      <c r="I336" s="79"/>
      <c r="J336" s="79"/>
      <c r="K336" s="79"/>
      <c r="L336" s="79"/>
      <c r="M336" s="79"/>
      <c r="N336" s="79"/>
      <c r="O336" s="79"/>
      <c r="P336" s="79"/>
    </row>
    <row r="337" spans="1:16" x14ac:dyDescent="0.2">
      <c r="A337" s="79"/>
      <c r="B337" s="79"/>
      <c r="C337" s="82"/>
      <c r="D337" s="83"/>
      <c r="E337" s="79"/>
      <c r="F337" s="80"/>
      <c r="G337" s="81"/>
      <c r="H337" s="79"/>
      <c r="I337" s="79"/>
      <c r="J337" s="79"/>
      <c r="K337" s="79"/>
      <c r="L337" s="79"/>
      <c r="M337" s="79"/>
      <c r="N337" s="79"/>
      <c r="O337" s="79"/>
      <c r="P337" s="79"/>
    </row>
    <row r="338" spans="1:16" x14ac:dyDescent="0.2">
      <c r="A338" s="79"/>
      <c r="B338" s="79"/>
      <c r="C338" s="82"/>
      <c r="D338" s="83"/>
      <c r="E338" s="79"/>
      <c r="F338" s="80"/>
      <c r="G338" s="81"/>
      <c r="H338" s="79"/>
      <c r="I338" s="79"/>
      <c r="J338" s="79"/>
      <c r="K338" s="79"/>
      <c r="L338" s="79"/>
      <c r="M338" s="79"/>
      <c r="N338" s="79"/>
      <c r="O338" s="79"/>
      <c r="P338" s="79"/>
    </row>
    <row r="339" spans="1:16" x14ac:dyDescent="0.2">
      <c r="A339" s="79"/>
      <c r="B339" s="79"/>
      <c r="C339" s="82"/>
      <c r="D339" s="83"/>
      <c r="E339" s="79"/>
      <c r="F339" s="80"/>
      <c r="G339" s="81"/>
      <c r="H339" s="79"/>
      <c r="I339" s="79"/>
      <c r="J339" s="79"/>
      <c r="K339" s="79"/>
      <c r="L339" s="79"/>
      <c r="M339" s="79"/>
      <c r="N339" s="79"/>
      <c r="O339" s="79"/>
      <c r="P339" s="79"/>
    </row>
    <row r="340" spans="1:16" x14ac:dyDescent="0.2">
      <c r="A340" s="79"/>
      <c r="B340" s="79"/>
      <c r="C340" s="82"/>
      <c r="D340" s="83"/>
      <c r="E340" s="79"/>
      <c r="F340" s="80"/>
      <c r="G340" s="81"/>
      <c r="H340" s="79"/>
      <c r="I340" s="79"/>
      <c r="J340" s="79"/>
      <c r="K340" s="79"/>
      <c r="L340" s="79"/>
      <c r="M340" s="79"/>
      <c r="N340" s="79"/>
      <c r="O340" s="79"/>
      <c r="P340" s="79"/>
    </row>
    <row r="341" spans="1:16" x14ac:dyDescent="0.2">
      <c r="A341" s="79"/>
      <c r="B341" s="79"/>
      <c r="C341" s="82"/>
      <c r="D341" s="83"/>
      <c r="E341" s="79"/>
      <c r="F341" s="80"/>
      <c r="G341" s="81"/>
      <c r="H341" s="79"/>
      <c r="I341" s="79"/>
      <c r="J341" s="79"/>
      <c r="K341" s="79"/>
      <c r="L341" s="79"/>
      <c r="M341" s="79"/>
      <c r="N341" s="79"/>
      <c r="O341" s="79"/>
      <c r="P341" s="79"/>
    </row>
    <row r="342" spans="1:16" x14ac:dyDescent="0.2">
      <c r="A342" s="79"/>
      <c r="B342" s="79"/>
      <c r="C342" s="82"/>
      <c r="D342" s="83"/>
      <c r="E342" s="79"/>
      <c r="F342" s="80"/>
      <c r="G342" s="81"/>
      <c r="H342" s="79"/>
      <c r="I342" s="79"/>
      <c r="J342" s="79"/>
      <c r="K342" s="79"/>
      <c r="L342" s="79"/>
      <c r="M342" s="79"/>
      <c r="N342" s="79"/>
      <c r="O342" s="79"/>
      <c r="P342" s="79"/>
    </row>
    <row r="343" spans="1:16" x14ac:dyDescent="0.2">
      <c r="A343" s="79"/>
      <c r="B343" s="79"/>
      <c r="C343" s="82"/>
      <c r="D343" s="83"/>
      <c r="E343" s="79"/>
      <c r="F343" s="80"/>
      <c r="G343" s="81"/>
      <c r="H343" s="79"/>
      <c r="I343" s="79"/>
      <c r="J343" s="79"/>
      <c r="K343" s="79"/>
      <c r="L343" s="79"/>
      <c r="M343" s="79"/>
      <c r="N343" s="79"/>
      <c r="O343" s="79"/>
      <c r="P343" s="79"/>
    </row>
    <row r="344" spans="1:16" x14ac:dyDescent="0.2">
      <c r="A344" s="79"/>
      <c r="B344" s="79"/>
      <c r="C344" s="82"/>
      <c r="D344" s="83"/>
      <c r="E344" s="79"/>
      <c r="F344" s="80"/>
      <c r="G344" s="81"/>
      <c r="H344" s="79"/>
      <c r="I344" s="79"/>
      <c r="J344" s="79"/>
      <c r="K344" s="79"/>
      <c r="L344" s="79"/>
      <c r="M344" s="79"/>
      <c r="N344" s="79"/>
      <c r="O344" s="79"/>
      <c r="P344" s="79"/>
    </row>
    <row r="345" spans="1:16" x14ac:dyDescent="0.2">
      <c r="A345" s="79"/>
      <c r="B345" s="79"/>
      <c r="C345" s="82"/>
      <c r="D345" s="83"/>
      <c r="E345" s="79"/>
      <c r="F345" s="80"/>
      <c r="G345" s="81"/>
      <c r="H345" s="79"/>
      <c r="I345" s="79"/>
      <c r="J345" s="79"/>
      <c r="K345" s="79"/>
      <c r="L345" s="79"/>
      <c r="M345" s="79"/>
      <c r="N345" s="79"/>
      <c r="O345" s="79"/>
      <c r="P345" s="79"/>
    </row>
    <row r="346" spans="1:16" x14ac:dyDescent="0.2">
      <c r="A346" s="79"/>
      <c r="B346" s="79"/>
      <c r="C346" s="82"/>
      <c r="D346" s="83"/>
      <c r="E346" s="79"/>
      <c r="F346" s="80"/>
      <c r="G346" s="81"/>
      <c r="H346" s="79"/>
      <c r="I346" s="79"/>
      <c r="J346" s="79"/>
      <c r="K346" s="79"/>
      <c r="L346" s="79"/>
      <c r="M346" s="79"/>
      <c r="N346" s="79"/>
      <c r="O346" s="79"/>
      <c r="P346" s="79"/>
    </row>
    <row r="347" spans="1:16" x14ac:dyDescent="0.2">
      <c r="A347" s="79"/>
      <c r="B347" s="79"/>
      <c r="C347" s="82"/>
      <c r="D347" s="83"/>
      <c r="E347" s="79"/>
      <c r="F347" s="80"/>
      <c r="G347" s="81"/>
      <c r="H347" s="79"/>
      <c r="I347" s="79"/>
      <c r="J347" s="79"/>
      <c r="K347" s="79"/>
      <c r="L347" s="79"/>
      <c r="M347" s="79"/>
      <c r="N347" s="79"/>
      <c r="O347" s="79"/>
      <c r="P347" s="79"/>
    </row>
    <row r="348" spans="1:16" x14ac:dyDescent="0.2">
      <c r="A348" s="79"/>
      <c r="B348" s="79"/>
      <c r="C348" s="82"/>
      <c r="D348" s="83"/>
      <c r="E348" s="79"/>
      <c r="F348" s="80"/>
      <c r="G348" s="81"/>
      <c r="H348" s="79"/>
      <c r="I348" s="79"/>
      <c r="J348" s="79"/>
      <c r="K348" s="79"/>
      <c r="L348" s="79"/>
      <c r="M348" s="79"/>
      <c r="N348" s="79"/>
      <c r="O348" s="79"/>
      <c r="P348" s="79"/>
    </row>
    <row r="349" spans="1:16" x14ac:dyDescent="0.2">
      <c r="A349" s="79"/>
      <c r="B349" s="79"/>
      <c r="C349" s="82"/>
      <c r="D349" s="83"/>
      <c r="E349" s="79"/>
      <c r="F349" s="80"/>
      <c r="G349" s="81"/>
      <c r="H349" s="79"/>
      <c r="I349" s="79"/>
      <c r="J349" s="79"/>
      <c r="K349" s="79"/>
      <c r="L349" s="79"/>
      <c r="M349" s="79"/>
      <c r="N349" s="79"/>
      <c r="O349" s="79"/>
      <c r="P349" s="79"/>
    </row>
    <row r="350" spans="1:16" x14ac:dyDescent="0.2">
      <c r="A350" s="79"/>
      <c r="B350" s="79"/>
      <c r="C350" s="82"/>
      <c r="D350" s="83"/>
      <c r="E350" s="79"/>
      <c r="F350" s="80"/>
      <c r="G350" s="81"/>
      <c r="H350" s="79"/>
      <c r="I350" s="79"/>
      <c r="J350" s="79"/>
      <c r="K350" s="79"/>
      <c r="L350" s="79"/>
      <c r="M350" s="79"/>
      <c r="N350" s="79"/>
      <c r="O350" s="79"/>
      <c r="P350" s="79"/>
    </row>
    <row r="351" spans="1:16" x14ac:dyDescent="0.2">
      <c r="A351" s="79"/>
      <c r="B351" s="79"/>
      <c r="C351" s="82"/>
      <c r="D351" s="83"/>
      <c r="E351" s="79"/>
      <c r="F351" s="80"/>
      <c r="G351" s="81"/>
      <c r="H351" s="79"/>
      <c r="I351" s="79"/>
      <c r="J351" s="79"/>
      <c r="K351" s="79"/>
      <c r="L351" s="79"/>
      <c r="M351" s="79"/>
      <c r="N351" s="79"/>
      <c r="O351" s="79"/>
      <c r="P351" s="79"/>
    </row>
    <row r="352" spans="1:16" x14ac:dyDescent="0.2">
      <c r="A352" s="79"/>
      <c r="B352" s="79"/>
      <c r="C352" s="82"/>
      <c r="D352" s="83"/>
      <c r="E352" s="79"/>
      <c r="F352" s="80"/>
      <c r="G352" s="81"/>
      <c r="H352" s="79"/>
      <c r="I352" s="79"/>
      <c r="J352" s="79"/>
      <c r="K352" s="79"/>
      <c r="L352" s="79"/>
      <c r="M352" s="79"/>
      <c r="N352" s="79"/>
      <c r="O352" s="79"/>
      <c r="P352" s="79"/>
    </row>
    <row r="353" spans="1:16" x14ac:dyDescent="0.2">
      <c r="A353" s="79"/>
      <c r="B353" s="79"/>
      <c r="C353" s="82"/>
      <c r="D353" s="83"/>
      <c r="E353" s="79"/>
      <c r="F353" s="80"/>
      <c r="G353" s="81"/>
      <c r="H353" s="79"/>
      <c r="I353" s="79"/>
      <c r="J353" s="79"/>
      <c r="K353" s="79"/>
      <c r="L353" s="79"/>
      <c r="M353" s="79"/>
      <c r="N353" s="79"/>
      <c r="O353" s="79"/>
      <c r="P353" s="79"/>
    </row>
    <row r="354" spans="1:16" x14ac:dyDescent="0.2">
      <c r="A354" s="79"/>
      <c r="B354" s="79"/>
      <c r="C354" s="82"/>
      <c r="D354" s="83"/>
      <c r="E354" s="79"/>
      <c r="F354" s="80"/>
      <c r="G354" s="81"/>
      <c r="H354" s="79"/>
      <c r="I354" s="79"/>
      <c r="J354" s="79"/>
      <c r="K354" s="79"/>
      <c r="L354" s="79"/>
      <c r="M354" s="79"/>
      <c r="N354" s="79"/>
      <c r="O354" s="79"/>
      <c r="P354" s="79"/>
    </row>
    <row r="355" spans="1:16" x14ac:dyDescent="0.2">
      <c r="A355" s="79"/>
      <c r="B355" s="79"/>
      <c r="C355" s="82"/>
      <c r="D355" s="83"/>
      <c r="E355" s="79"/>
      <c r="F355" s="80"/>
      <c r="G355" s="81"/>
      <c r="H355" s="79"/>
      <c r="I355" s="79"/>
      <c r="J355" s="79"/>
      <c r="K355" s="79"/>
      <c r="L355" s="79"/>
      <c r="M355" s="79"/>
      <c r="N355" s="79"/>
      <c r="O355" s="79"/>
      <c r="P355" s="79"/>
    </row>
    <row r="356" spans="1:16" x14ac:dyDescent="0.2">
      <c r="H356" s="90"/>
      <c r="I356" s="90"/>
      <c r="J356" s="79"/>
      <c r="K356" s="79"/>
      <c r="L356" s="79"/>
      <c r="M356" s="79"/>
      <c r="N356" s="79"/>
      <c r="O356" s="79"/>
      <c r="P356" s="79"/>
    </row>
    <row r="357" spans="1:16" x14ac:dyDescent="0.2">
      <c r="H357" s="79"/>
      <c r="I357" s="79"/>
      <c r="J357" s="79"/>
      <c r="K357" s="79"/>
      <c r="L357" s="79"/>
      <c r="M357" s="79"/>
      <c r="N357" s="79"/>
      <c r="O357" s="79"/>
      <c r="P357" s="79"/>
    </row>
    <row r="358" spans="1:16" x14ac:dyDescent="0.2">
      <c r="H358" s="79"/>
      <c r="I358" s="79"/>
      <c r="J358" s="79"/>
      <c r="K358" s="79"/>
      <c r="L358" s="79"/>
      <c r="M358" s="79"/>
      <c r="N358" s="79"/>
      <c r="O358" s="79"/>
      <c r="P358" s="79"/>
    </row>
    <row r="359" spans="1:16" x14ac:dyDescent="0.2">
      <c r="H359" s="79"/>
      <c r="I359" s="79"/>
      <c r="J359" s="79"/>
      <c r="K359" s="79"/>
      <c r="L359" s="79"/>
      <c r="M359" s="79"/>
      <c r="N359" s="79"/>
      <c r="O359" s="79"/>
      <c r="P359" s="79"/>
    </row>
    <row r="360" spans="1:16" x14ac:dyDescent="0.2">
      <c r="H360" s="79"/>
      <c r="I360" s="79"/>
      <c r="J360" s="79"/>
      <c r="K360" s="79"/>
      <c r="L360" s="79"/>
      <c r="M360" s="79"/>
      <c r="N360" s="79"/>
      <c r="O360" s="79"/>
      <c r="P360" s="79"/>
    </row>
    <row r="361" spans="1:16" x14ac:dyDescent="0.2">
      <c r="H361" s="79"/>
      <c r="I361" s="79"/>
      <c r="J361" s="79"/>
      <c r="K361" s="79"/>
      <c r="L361" s="79"/>
      <c r="M361" s="79"/>
      <c r="N361" s="79"/>
      <c r="O361" s="79"/>
      <c r="P361" s="79"/>
    </row>
    <row r="362" spans="1:16" x14ac:dyDescent="0.2">
      <c r="H362" s="79"/>
      <c r="I362" s="79"/>
      <c r="J362" s="79"/>
      <c r="K362" s="79"/>
      <c r="L362" s="79"/>
      <c r="M362" s="79"/>
      <c r="N362" s="79"/>
      <c r="O362" s="79"/>
      <c r="P362" s="79"/>
    </row>
    <row r="363" spans="1:16" x14ac:dyDescent="0.2">
      <c r="H363" s="79"/>
      <c r="I363" s="79"/>
      <c r="J363" s="79"/>
      <c r="K363" s="79"/>
      <c r="L363" s="79"/>
      <c r="M363" s="79"/>
      <c r="N363" s="79"/>
      <c r="O363" s="79"/>
      <c r="P363" s="79"/>
    </row>
    <row r="364" spans="1:16" x14ac:dyDescent="0.2">
      <c r="H364" s="79"/>
      <c r="I364" s="79"/>
      <c r="J364" s="79"/>
      <c r="K364" s="79"/>
      <c r="L364" s="79"/>
      <c r="M364" s="79"/>
      <c r="N364" s="79"/>
      <c r="O364" s="79"/>
      <c r="P364" s="79"/>
    </row>
    <row r="365" spans="1:16" x14ac:dyDescent="0.2">
      <c r="H365" s="79"/>
      <c r="I365" s="79"/>
      <c r="J365" s="79"/>
      <c r="K365" s="79"/>
      <c r="L365" s="79"/>
      <c r="M365" s="79"/>
      <c r="N365" s="79"/>
      <c r="O365" s="79"/>
      <c r="P365" s="79"/>
    </row>
    <row r="366" spans="1:16" x14ac:dyDescent="0.2">
      <c r="H366" s="79"/>
      <c r="I366" s="79"/>
      <c r="J366" s="79"/>
      <c r="K366" s="79"/>
      <c r="L366" s="79"/>
      <c r="M366" s="79"/>
      <c r="N366" s="79"/>
      <c r="O366" s="79"/>
      <c r="P366" s="79"/>
    </row>
    <row r="367" spans="1:16" x14ac:dyDescent="0.2">
      <c r="H367" s="79"/>
      <c r="I367" s="79"/>
      <c r="J367" s="79"/>
      <c r="K367" s="79"/>
      <c r="L367" s="79"/>
      <c r="M367" s="79"/>
      <c r="N367" s="79"/>
      <c r="O367" s="79"/>
      <c r="P367" s="79"/>
    </row>
    <row r="368" spans="1:16" x14ac:dyDescent="0.2">
      <c r="H368" s="79"/>
      <c r="I368" s="79"/>
      <c r="J368" s="79"/>
      <c r="K368" s="79"/>
      <c r="L368" s="79"/>
      <c r="M368" s="79"/>
      <c r="N368" s="79"/>
      <c r="O368" s="79"/>
      <c r="P368" s="79"/>
    </row>
    <row r="369" spans="8:16" x14ac:dyDescent="0.2">
      <c r="H369" s="79"/>
      <c r="I369" s="79"/>
      <c r="J369" s="79"/>
      <c r="K369" s="79"/>
      <c r="L369" s="79"/>
      <c r="M369" s="79"/>
      <c r="N369" s="79"/>
      <c r="O369" s="79"/>
      <c r="P369" s="79"/>
    </row>
    <row r="370" spans="8:16" x14ac:dyDescent="0.2">
      <c r="H370" s="79"/>
      <c r="I370" s="79"/>
      <c r="J370" s="79"/>
      <c r="K370" s="79"/>
      <c r="L370" s="79"/>
      <c r="M370" s="79"/>
      <c r="N370" s="79"/>
      <c r="O370" s="79"/>
      <c r="P370" s="79"/>
    </row>
    <row r="371" spans="8:16" x14ac:dyDescent="0.2">
      <c r="H371" s="79"/>
      <c r="I371" s="79"/>
      <c r="J371" s="79"/>
      <c r="K371" s="79"/>
      <c r="L371" s="79"/>
      <c r="M371" s="79"/>
      <c r="N371" s="79"/>
      <c r="O371" s="79"/>
      <c r="P371" s="79"/>
    </row>
    <row r="372" spans="8:16" x14ac:dyDescent="0.2">
      <c r="H372" s="79"/>
      <c r="I372" s="79"/>
      <c r="J372" s="79"/>
      <c r="K372" s="79"/>
      <c r="L372" s="79"/>
      <c r="M372" s="79"/>
      <c r="N372" s="79"/>
      <c r="O372" s="79"/>
      <c r="P372" s="79"/>
    </row>
    <row r="373" spans="8:16" x14ac:dyDescent="0.2">
      <c r="H373" s="79"/>
      <c r="I373" s="79"/>
      <c r="J373" s="79"/>
      <c r="K373" s="79"/>
      <c r="L373" s="79"/>
      <c r="M373" s="79"/>
      <c r="N373" s="79"/>
      <c r="O373" s="79"/>
      <c r="P373" s="79"/>
    </row>
    <row r="374" spans="8:16" x14ac:dyDescent="0.2">
      <c r="H374" s="79"/>
      <c r="I374" s="79"/>
      <c r="J374" s="79"/>
      <c r="K374" s="79"/>
      <c r="L374" s="79"/>
      <c r="M374" s="79"/>
      <c r="N374" s="79"/>
      <c r="O374" s="79"/>
      <c r="P374" s="79"/>
    </row>
    <row r="375" spans="8:16" x14ac:dyDescent="0.2">
      <c r="H375" s="79"/>
      <c r="I375" s="79"/>
      <c r="J375" s="79"/>
      <c r="K375" s="79"/>
      <c r="L375" s="79"/>
      <c r="M375" s="79"/>
      <c r="N375" s="79"/>
      <c r="O375" s="79"/>
      <c r="P375" s="79"/>
    </row>
    <row r="376" spans="8:16" x14ac:dyDescent="0.2">
      <c r="H376" s="79"/>
      <c r="I376" s="79"/>
      <c r="J376" s="79"/>
      <c r="K376" s="79"/>
      <c r="L376" s="79"/>
      <c r="M376" s="79"/>
      <c r="N376" s="79"/>
      <c r="O376" s="79"/>
      <c r="P376" s="79"/>
    </row>
    <row r="377" spans="8:16" x14ac:dyDescent="0.2">
      <c r="H377" s="79"/>
      <c r="I377" s="79"/>
      <c r="J377" s="79"/>
      <c r="K377" s="79"/>
      <c r="L377" s="79"/>
      <c r="M377" s="79"/>
      <c r="N377" s="79"/>
      <c r="O377" s="79"/>
      <c r="P377" s="79"/>
    </row>
    <row r="378" spans="8:16" x14ac:dyDescent="0.2">
      <c r="H378" s="79"/>
      <c r="I378" s="79"/>
      <c r="J378" s="79"/>
      <c r="K378" s="79"/>
      <c r="L378" s="79"/>
      <c r="M378" s="79"/>
      <c r="N378" s="79"/>
      <c r="O378" s="79"/>
      <c r="P378" s="79"/>
    </row>
    <row r="379" spans="8:16" x14ac:dyDescent="0.2">
      <c r="H379" s="79"/>
      <c r="I379" s="79"/>
      <c r="J379" s="79"/>
      <c r="K379" s="79"/>
      <c r="L379" s="79"/>
      <c r="M379" s="79"/>
      <c r="N379" s="79"/>
      <c r="O379" s="79"/>
      <c r="P379" s="79"/>
    </row>
    <row r="380" spans="8:16" x14ac:dyDescent="0.2">
      <c r="H380" s="79"/>
      <c r="I380" s="79"/>
      <c r="J380" s="79"/>
      <c r="K380" s="79"/>
      <c r="L380" s="79"/>
      <c r="M380" s="79"/>
      <c r="N380" s="79"/>
      <c r="O380" s="79"/>
      <c r="P380" s="79"/>
    </row>
    <row r="381" spans="8:16" x14ac:dyDescent="0.2">
      <c r="H381" s="79"/>
      <c r="I381" s="79"/>
      <c r="J381" s="79"/>
      <c r="K381" s="79"/>
      <c r="L381" s="79"/>
      <c r="M381" s="79"/>
      <c r="N381" s="79"/>
      <c r="O381" s="79"/>
      <c r="P381" s="79"/>
    </row>
    <row r="382" spans="8:16" x14ac:dyDescent="0.2">
      <c r="H382" s="79"/>
      <c r="I382" s="79"/>
      <c r="J382" s="79"/>
      <c r="K382" s="79"/>
      <c r="L382" s="79"/>
      <c r="M382" s="79"/>
      <c r="N382" s="79"/>
      <c r="O382" s="79"/>
      <c r="P382" s="79"/>
    </row>
    <row r="383" spans="8:16" x14ac:dyDescent="0.2">
      <c r="H383" s="79"/>
      <c r="I383" s="79"/>
      <c r="J383" s="79"/>
      <c r="K383" s="79"/>
      <c r="L383" s="79"/>
      <c r="M383" s="79"/>
      <c r="N383" s="79"/>
      <c r="O383" s="79"/>
      <c r="P383" s="79"/>
    </row>
    <row r="384" spans="8:16" x14ac:dyDescent="0.2">
      <c r="H384" s="79"/>
      <c r="I384" s="79"/>
      <c r="J384" s="79"/>
      <c r="K384" s="79"/>
      <c r="L384" s="79"/>
      <c r="M384" s="79"/>
      <c r="N384" s="79"/>
      <c r="O384" s="79"/>
      <c r="P384" s="79"/>
    </row>
    <row r="385" spans="8:16" x14ac:dyDescent="0.2">
      <c r="H385" s="79"/>
      <c r="I385" s="79"/>
      <c r="J385" s="79"/>
      <c r="K385" s="79"/>
      <c r="L385" s="79"/>
      <c r="M385" s="79"/>
      <c r="N385" s="79"/>
      <c r="O385" s="79"/>
      <c r="P385" s="79"/>
    </row>
    <row r="386" spans="8:16" x14ac:dyDescent="0.2">
      <c r="H386" s="79"/>
      <c r="I386" s="79"/>
      <c r="J386" s="79"/>
      <c r="K386" s="79"/>
      <c r="L386" s="79"/>
      <c r="M386" s="79"/>
      <c r="N386" s="79"/>
      <c r="O386" s="79"/>
      <c r="P386" s="79"/>
    </row>
    <row r="387" spans="8:16" x14ac:dyDescent="0.2">
      <c r="H387" s="79"/>
      <c r="I387" s="79"/>
      <c r="J387" s="79"/>
      <c r="K387" s="79"/>
      <c r="L387" s="79"/>
      <c r="M387" s="79"/>
      <c r="N387" s="79"/>
      <c r="O387" s="79"/>
      <c r="P387" s="79"/>
    </row>
    <row r="388" spans="8:16" x14ac:dyDescent="0.2">
      <c r="H388" s="79"/>
      <c r="I388" s="79"/>
      <c r="J388" s="79"/>
      <c r="K388" s="79"/>
      <c r="L388" s="79"/>
      <c r="M388" s="79"/>
      <c r="N388" s="79"/>
      <c r="O388" s="79"/>
      <c r="P388" s="79"/>
    </row>
    <row r="389" spans="8:16" x14ac:dyDescent="0.2">
      <c r="H389" s="79"/>
      <c r="I389" s="79"/>
      <c r="J389" s="79"/>
      <c r="K389" s="79"/>
      <c r="L389" s="79"/>
      <c r="M389" s="79"/>
      <c r="N389" s="79"/>
      <c r="O389" s="79"/>
      <c r="P389" s="79"/>
    </row>
    <row r="390" spans="8:16" x14ac:dyDescent="0.2">
      <c r="H390" s="79"/>
      <c r="I390" s="79"/>
      <c r="J390" s="79"/>
      <c r="K390" s="79"/>
      <c r="L390" s="79"/>
      <c r="M390" s="79"/>
      <c r="N390" s="79"/>
      <c r="O390" s="79"/>
      <c r="P390" s="79"/>
    </row>
    <row r="391" spans="8:16" x14ac:dyDescent="0.2">
      <c r="H391" s="79"/>
      <c r="I391" s="79"/>
      <c r="J391" s="79"/>
      <c r="K391" s="79"/>
      <c r="L391" s="79"/>
      <c r="M391" s="79"/>
      <c r="N391" s="79"/>
      <c r="O391" s="79"/>
      <c r="P391" s="79"/>
    </row>
    <row r="392" spans="8:16" x14ac:dyDescent="0.2">
      <c r="H392" s="79"/>
      <c r="I392" s="79"/>
      <c r="J392" s="79"/>
      <c r="K392" s="79"/>
      <c r="L392" s="79"/>
      <c r="M392" s="79"/>
      <c r="N392" s="79"/>
      <c r="O392" s="79"/>
      <c r="P392" s="79"/>
    </row>
    <row r="393" spans="8:16" x14ac:dyDescent="0.2">
      <c r="H393" s="79"/>
      <c r="I393" s="79"/>
      <c r="J393" s="79"/>
      <c r="K393" s="79"/>
      <c r="L393" s="79"/>
      <c r="M393" s="79"/>
      <c r="N393" s="79"/>
      <c r="O393" s="79"/>
      <c r="P393" s="79"/>
    </row>
  </sheetData>
  <sheetProtection formatCells="0" selectLockedCells="1"/>
  <customSheetViews>
    <customSheetView guid="{111A6EAC-FF6E-44AB-B5F5-6EDFAC2B64B3}" scale="90">
      <selection activeCell="I5" sqref="I5"/>
      <pageMargins left="0.7" right="0.7" top="0.75" bottom="0.75" header="0.3" footer="0.3"/>
      <pageSetup paperSize="9" orientation="portrait" horizontalDpi="200" verticalDpi="200" r:id="rId1"/>
    </customSheetView>
  </customSheetViews>
  <mergeCells count="6">
    <mergeCell ref="C1:G3"/>
    <mergeCell ref="C22:D22"/>
    <mergeCell ref="C17:D17"/>
    <mergeCell ref="C4:D4"/>
    <mergeCell ref="F17:G17"/>
    <mergeCell ref="F4:G4"/>
  </mergeCells>
  <phoneticPr fontId="2" type="noConversion"/>
  <dataValidations xWindow="744" yWindow="945"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s>
  <pageMargins left="0.7" right="0.7" top="0.75" bottom="0.75" header="0.3" footer="0.3"/>
  <pageSetup paperSize="9" orientation="portrait" horizontalDpi="200" verticalDpi="200" r:id="rId2"/>
  <extLst>
    <ext xmlns:x14="http://schemas.microsoft.com/office/spreadsheetml/2009/9/main" uri="{CCE6A557-97BC-4b89-ADB6-D9C93CAAB3DF}">
      <x14:dataValidations xmlns:xm="http://schemas.microsoft.com/office/excel/2006/main" xWindow="744" yWindow="945" count="1">
        <x14:dataValidation type="list" allowBlank="1" showInputMessage="1" showErrorMessage="1" errorTitle="错误" error="请输入1~100内的数字" promptTitle="点数" prompt="在此输入数字">
          <x14:formula1>
            <xm:f>疯狂附表!$A$2:$A$102</xm:f>
          </x14:formula1>
          <xm:sqref>F19 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46"/>
  <sheetViews>
    <sheetView showGridLines="0" topLeftCell="E1" zoomScale="85" zoomScaleNormal="85" workbookViewId="0">
      <selection activeCell="X24" sqref="X24"/>
    </sheetView>
  </sheetViews>
  <sheetFormatPr defaultColWidth="8.25" defaultRowHeight="16.5" x14ac:dyDescent="0.2"/>
  <cols>
    <col min="1" max="1" width="8.25" style="15"/>
    <col min="2" max="2" width="13" style="15" customWidth="1"/>
    <col min="3" max="3" width="8.25" style="15"/>
    <col min="4" max="4" width="10.125" style="15" customWidth="1"/>
    <col min="5" max="5" width="7.375" style="15" customWidth="1"/>
    <col min="6" max="6" width="9.5" style="15" customWidth="1"/>
    <col min="7" max="7" width="9.25" style="15" customWidth="1"/>
    <col min="8" max="8" width="13.375" style="15" customWidth="1"/>
    <col min="9" max="9" width="15" style="15" customWidth="1"/>
    <col min="10" max="10" width="11.25" style="15" customWidth="1"/>
    <col min="11" max="11" width="9.5" style="15" customWidth="1"/>
    <col min="12" max="12" width="8.375" style="15" customWidth="1"/>
    <col min="13" max="13" width="8.625" style="15" customWidth="1"/>
    <col min="14" max="14" width="13.5" style="15" customWidth="1"/>
    <col min="15" max="15" width="17.375" style="15" customWidth="1"/>
    <col min="16" max="16" width="9.375" style="15" customWidth="1"/>
    <col min="17" max="17" width="8.25" style="15"/>
    <col min="18" max="18" width="10.25" style="15" customWidth="1"/>
    <col min="19" max="19" width="9.875" style="15" customWidth="1"/>
    <col min="20" max="20" width="12.75" style="15" customWidth="1"/>
    <col min="21" max="21" width="16.375" style="15" customWidth="1"/>
    <col min="22" max="22" width="12.25" style="15" customWidth="1"/>
    <col min="23" max="23" width="3.5" style="15" customWidth="1"/>
    <col min="24" max="24" width="8.25" style="15"/>
    <col min="25" max="25" width="10.125" style="15" customWidth="1"/>
    <col min="26" max="26" width="10.75" style="15" customWidth="1"/>
    <col min="27" max="27" width="13.75" style="15" customWidth="1"/>
    <col min="28" max="28" width="3.875" style="15" customWidth="1"/>
    <col min="29" max="16384" width="8.25" style="15"/>
  </cols>
  <sheetData>
    <row r="1" spans="1:29" ht="16.5" customHeight="1" x14ac:dyDescent="0.2">
      <c r="A1" s="872" t="s">
        <v>194</v>
      </c>
      <c r="B1" s="872"/>
      <c r="C1" s="872"/>
      <c r="D1" s="872"/>
      <c r="E1" s="872"/>
      <c r="F1" s="872"/>
      <c r="G1" s="872"/>
      <c r="H1" s="872"/>
      <c r="I1" s="872"/>
      <c r="J1" s="872"/>
      <c r="K1" s="872"/>
      <c r="L1" s="872"/>
      <c r="M1" s="872"/>
      <c r="N1" s="872"/>
      <c r="O1" s="872"/>
      <c r="P1" s="872"/>
      <c r="Q1" s="872"/>
      <c r="R1" s="872"/>
      <c r="S1" s="872"/>
    </row>
    <row r="2" spans="1:29" s="1" customFormat="1" ht="16.5" customHeight="1" thickBot="1" x14ac:dyDescent="0.25">
      <c r="A2" s="872" t="s">
        <v>195</v>
      </c>
      <c r="B2" s="872"/>
      <c r="C2" s="872"/>
      <c r="D2" s="872"/>
      <c r="E2" s="872"/>
      <c r="F2" s="872"/>
      <c r="G2" s="872"/>
      <c r="H2" s="872"/>
      <c r="I2" s="872"/>
      <c r="J2" s="872"/>
      <c r="K2" s="872"/>
      <c r="L2" s="872"/>
      <c r="M2" s="872"/>
      <c r="N2" s="872"/>
      <c r="O2" s="872"/>
      <c r="P2" s="872"/>
      <c r="Q2" s="872"/>
      <c r="R2" s="872"/>
      <c r="S2" s="872"/>
    </row>
    <row r="3" spans="1:29" ht="17.25" thickBot="1" x14ac:dyDescent="0.25">
      <c r="F3" s="891" t="s">
        <v>1471</v>
      </c>
      <c r="G3" s="892"/>
      <c r="H3" s="892"/>
      <c r="I3" s="892"/>
      <c r="J3" s="893"/>
      <c r="K3" s="16"/>
      <c r="L3" s="16"/>
    </row>
    <row r="4" spans="1:29" ht="16.5" hidden="1" customHeight="1" x14ac:dyDescent="0.2">
      <c r="D4" s="16"/>
      <c r="E4" s="894" t="s">
        <v>1633</v>
      </c>
      <c r="F4" s="894"/>
      <c r="G4" s="894"/>
      <c r="H4" s="894"/>
      <c r="I4" s="894"/>
      <c r="J4" s="894"/>
      <c r="K4" s="894" t="s">
        <v>1640</v>
      </c>
      <c r="L4" s="894"/>
      <c r="M4" s="894"/>
      <c r="N4" s="894"/>
      <c r="O4" s="894"/>
      <c r="P4" s="894"/>
      <c r="Q4" s="894" t="s">
        <v>1632</v>
      </c>
      <c r="R4" s="894"/>
      <c r="S4" s="894"/>
      <c r="T4" s="894"/>
      <c r="U4" s="894"/>
      <c r="V4" s="894"/>
      <c r="W4" s="16"/>
      <c r="Z4" s="16"/>
      <c r="AA4" s="16"/>
      <c r="AB4" s="16"/>
      <c r="AC4" s="16"/>
    </row>
    <row r="5" spans="1:29" ht="20.100000000000001" hidden="1" customHeight="1" x14ac:dyDescent="0.2">
      <c r="D5" s="16"/>
      <c r="E5" s="16"/>
      <c r="F5" s="16" t="s">
        <v>1635</v>
      </c>
      <c r="G5" s="16" t="s">
        <v>1636</v>
      </c>
      <c r="H5" s="16" t="s">
        <v>1637</v>
      </c>
      <c r="I5" s="16" t="s">
        <v>1638</v>
      </c>
      <c r="J5" s="16" t="s">
        <v>1639</v>
      </c>
      <c r="K5" s="16"/>
      <c r="L5" s="16" t="s">
        <v>1635</v>
      </c>
      <c r="M5" s="16" t="s">
        <v>1636</v>
      </c>
      <c r="N5" s="16" t="s">
        <v>1637</v>
      </c>
      <c r="O5" s="16" t="s">
        <v>1638</v>
      </c>
      <c r="P5" s="16" t="s">
        <v>1639</v>
      </c>
      <c r="Q5" s="16"/>
      <c r="R5" s="16" t="s">
        <v>196</v>
      </c>
      <c r="S5" s="16" t="s">
        <v>154</v>
      </c>
      <c r="T5" s="16" t="s">
        <v>197</v>
      </c>
      <c r="U5" s="16" t="s">
        <v>198</v>
      </c>
      <c r="V5" s="16" t="s">
        <v>199</v>
      </c>
      <c r="W5" s="16"/>
      <c r="Z5" s="16"/>
      <c r="AA5" s="16"/>
      <c r="AB5" s="16"/>
      <c r="AC5" s="16"/>
    </row>
    <row r="6" spans="1:29" ht="50.1" hidden="1" customHeight="1" x14ac:dyDescent="0.2">
      <c r="D6" s="16"/>
      <c r="E6" s="16">
        <v>1</v>
      </c>
      <c r="F6" s="16" t="s">
        <v>200</v>
      </c>
      <c r="G6" s="16" t="s">
        <v>1631</v>
      </c>
      <c r="H6" s="16">
        <v>0.5</v>
      </c>
      <c r="I6" s="16" t="s">
        <v>209</v>
      </c>
      <c r="J6" s="16">
        <v>0.5</v>
      </c>
      <c r="K6" s="16">
        <v>1</v>
      </c>
      <c r="L6" s="16" t="s">
        <v>200</v>
      </c>
      <c r="M6" s="16" t="s">
        <v>208</v>
      </c>
      <c r="N6" s="16">
        <v>10</v>
      </c>
      <c r="O6" s="16" t="s">
        <v>209</v>
      </c>
      <c r="P6" s="16">
        <v>10</v>
      </c>
      <c r="Q6" s="16">
        <v>1</v>
      </c>
      <c r="R6" s="16" t="s">
        <v>200</v>
      </c>
      <c r="S6" s="16" t="s">
        <v>208</v>
      </c>
      <c r="T6" s="433" t="str">
        <f>T15</f>
        <v>例：1</v>
      </c>
      <c r="U6" s="433" t="str">
        <f t="shared" ref="U6:V6" si="0">U15</f>
        <v>例：1</v>
      </c>
      <c r="V6" s="433" t="str">
        <f t="shared" si="0"/>
        <v>例：1</v>
      </c>
      <c r="W6" s="16"/>
      <c r="Z6" s="16"/>
      <c r="AA6" s="16"/>
      <c r="AB6" s="16"/>
      <c r="AC6" s="16"/>
    </row>
    <row r="7" spans="1:29" ht="50.1" hidden="1" customHeight="1" x14ac:dyDescent="0.2">
      <c r="D7" s="16"/>
      <c r="E7" s="16">
        <v>2</v>
      </c>
      <c r="F7" s="16" t="s">
        <v>201</v>
      </c>
      <c r="G7" s="16" t="s">
        <v>1630</v>
      </c>
      <c r="H7" s="16">
        <f>CR*1</f>
        <v>0</v>
      </c>
      <c r="I7" s="16">
        <f>CR*10</f>
        <v>0</v>
      </c>
      <c r="J7" s="16">
        <v>2</v>
      </c>
      <c r="K7" s="16">
        <v>2</v>
      </c>
      <c r="L7" s="16" t="s">
        <v>201</v>
      </c>
      <c r="M7" s="16" t="s">
        <v>1630</v>
      </c>
      <c r="N7" s="412">
        <f>CR * 20</f>
        <v>0</v>
      </c>
      <c r="O7" s="412">
        <f>CR * 200</f>
        <v>0</v>
      </c>
      <c r="P7" s="16">
        <v>40</v>
      </c>
      <c r="Q7" s="16">
        <v>2</v>
      </c>
      <c r="R7" s="16" t="s">
        <v>201</v>
      </c>
      <c r="S7" s="16" t="s">
        <v>1630</v>
      </c>
      <c r="T7" s="433" t="str">
        <f t="shared" ref="T7:V7" si="1">T16</f>
        <v>例：1</v>
      </c>
      <c r="U7" s="433" t="str">
        <f t="shared" si="1"/>
        <v>例：1</v>
      </c>
      <c r="V7" s="433" t="str">
        <f t="shared" si="1"/>
        <v>例：1</v>
      </c>
      <c r="W7" s="16"/>
    </row>
    <row r="8" spans="1:29" ht="50.1" hidden="1" customHeight="1" x14ac:dyDescent="0.2">
      <c r="D8" s="16"/>
      <c r="E8" s="16">
        <v>3</v>
      </c>
      <c r="F8" s="16" t="s">
        <v>203</v>
      </c>
      <c r="G8" s="16" t="s">
        <v>1629</v>
      </c>
      <c r="H8" s="412">
        <f>CR * 2</f>
        <v>0</v>
      </c>
      <c r="I8" s="412">
        <f>CR * 50</f>
        <v>0</v>
      </c>
      <c r="J8" s="16">
        <v>10</v>
      </c>
      <c r="K8" s="16">
        <v>3</v>
      </c>
      <c r="L8" s="16" t="s">
        <v>203</v>
      </c>
      <c r="M8" s="16" t="s">
        <v>1629</v>
      </c>
      <c r="N8" s="412">
        <f>CR * 40</f>
        <v>0</v>
      </c>
      <c r="O8" s="412">
        <f>CR * 1000</f>
        <v>0</v>
      </c>
      <c r="P8" s="16">
        <v>200</v>
      </c>
      <c r="Q8" s="16">
        <v>3</v>
      </c>
      <c r="R8" s="16" t="s">
        <v>203</v>
      </c>
      <c r="S8" s="16" t="s">
        <v>1628</v>
      </c>
      <c r="T8" s="433" t="str">
        <f t="shared" ref="T8:V8" si="2">T17</f>
        <v>例：1</v>
      </c>
      <c r="U8" s="433" t="str">
        <f t="shared" si="2"/>
        <v>例：1</v>
      </c>
      <c r="V8" s="433" t="str">
        <f t="shared" si="2"/>
        <v>例：1</v>
      </c>
      <c r="W8" s="16"/>
    </row>
    <row r="9" spans="1:29" ht="50.1" hidden="1" customHeight="1" x14ac:dyDescent="0.2">
      <c r="D9" s="16"/>
      <c r="E9" s="16">
        <v>4</v>
      </c>
      <c r="F9" s="16" t="s">
        <v>207</v>
      </c>
      <c r="G9" s="16" t="s">
        <v>206</v>
      </c>
      <c r="H9" s="412">
        <f>CR * 5</f>
        <v>0</v>
      </c>
      <c r="I9" s="412">
        <f>CR * 500</f>
        <v>0</v>
      </c>
      <c r="J9" s="16">
        <v>50</v>
      </c>
      <c r="K9" s="16">
        <v>4</v>
      </c>
      <c r="L9" s="16" t="s">
        <v>207</v>
      </c>
      <c r="M9" s="16" t="s">
        <v>206</v>
      </c>
      <c r="N9" s="412">
        <f>CR * 100</f>
        <v>0</v>
      </c>
      <c r="O9" s="412">
        <f>CR * 10000</f>
        <v>0</v>
      </c>
      <c r="P9" s="16">
        <v>1000</v>
      </c>
      <c r="Q9" s="16">
        <v>4</v>
      </c>
      <c r="R9" s="16" t="s">
        <v>207</v>
      </c>
      <c r="S9" s="16" t="s">
        <v>206</v>
      </c>
      <c r="T9" s="433" t="str">
        <f t="shared" ref="T9:V9" si="3">T18</f>
        <v>例：1</v>
      </c>
      <c r="U9" s="433" t="str">
        <f t="shared" si="3"/>
        <v>例：1</v>
      </c>
      <c r="V9" s="433" t="str">
        <f t="shared" si="3"/>
        <v>例：1</v>
      </c>
      <c r="W9" s="16"/>
    </row>
    <row r="10" spans="1:29" ht="50.1" hidden="1" customHeight="1" x14ac:dyDescent="0.2">
      <c r="D10" s="16"/>
      <c r="E10" s="16">
        <v>5</v>
      </c>
      <c r="F10" s="16" t="s">
        <v>212</v>
      </c>
      <c r="G10" s="16" t="s">
        <v>213</v>
      </c>
      <c r="H10" s="412">
        <f>CR * 20</f>
        <v>0</v>
      </c>
      <c r="I10" s="412">
        <f>CR * 2000</f>
        <v>0</v>
      </c>
      <c r="J10" s="16">
        <v>250</v>
      </c>
      <c r="K10" s="16">
        <v>5</v>
      </c>
      <c r="L10" s="16" t="s">
        <v>212</v>
      </c>
      <c r="M10" s="16" t="s">
        <v>213</v>
      </c>
      <c r="N10" s="412">
        <f>CR * 400</f>
        <v>0</v>
      </c>
      <c r="O10" s="412">
        <f>CR * 40000</f>
        <v>0</v>
      </c>
      <c r="P10" s="16">
        <v>5000</v>
      </c>
      <c r="Q10" s="16">
        <v>5</v>
      </c>
      <c r="R10" s="16" t="s">
        <v>212</v>
      </c>
      <c r="S10" s="16" t="s">
        <v>213</v>
      </c>
      <c r="T10" s="433" t="str">
        <f t="shared" ref="T10:V10" si="4">T19</f>
        <v>例：1</v>
      </c>
      <c r="U10" s="433" t="str">
        <f t="shared" si="4"/>
        <v>例：1</v>
      </c>
      <c r="V10" s="433" t="str">
        <f t="shared" si="4"/>
        <v>例：1</v>
      </c>
      <c r="W10" s="16"/>
    </row>
    <row r="11" spans="1:29" ht="50.1" hidden="1" customHeight="1" x14ac:dyDescent="0.2">
      <c r="D11" s="16"/>
      <c r="E11" s="16">
        <v>6</v>
      </c>
      <c r="F11" s="16" t="s">
        <v>215</v>
      </c>
      <c r="G11" s="16">
        <v>99</v>
      </c>
      <c r="H11" s="16">
        <v>50000</v>
      </c>
      <c r="I11" s="16" t="s">
        <v>214</v>
      </c>
      <c r="J11" s="16">
        <v>5000</v>
      </c>
      <c r="K11" s="16">
        <v>6</v>
      </c>
      <c r="L11" s="16" t="s">
        <v>215</v>
      </c>
      <c r="M11" s="16">
        <v>99</v>
      </c>
      <c r="N11" s="16" t="s">
        <v>222</v>
      </c>
      <c r="O11" s="16" t="s">
        <v>223</v>
      </c>
      <c r="P11" s="16">
        <v>100000</v>
      </c>
      <c r="Q11" s="16">
        <v>6</v>
      </c>
      <c r="R11" s="16" t="s">
        <v>215</v>
      </c>
      <c r="S11" s="16">
        <v>99</v>
      </c>
      <c r="T11" s="433" t="str">
        <f t="shared" ref="T11:V11" si="5">T20</f>
        <v>例：1</v>
      </c>
      <c r="U11" s="433" t="str">
        <f t="shared" si="5"/>
        <v>例：1</v>
      </c>
      <c r="V11" s="433" t="str">
        <f t="shared" si="5"/>
        <v>例：1</v>
      </c>
      <c r="W11" s="16"/>
    </row>
    <row r="12" spans="1:29" ht="17.25" thickBot="1" x14ac:dyDescent="0.25">
      <c r="E12" s="17"/>
    </row>
    <row r="13" spans="1:29" ht="16.5" customHeight="1" x14ac:dyDescent="0.2">
      <c r="E13" s="16"/>
      <c r="F13" s="885" t="s">
        <v>1633</v>
      </c>
      <c r="G13" s="886"/>
      <c r="H13" s="886"/>
      <c r="I13" s="886"/>
      <c r="J13" s="886"/>
      <c r="K13" s="16"/>
      <c r="L13" s="885" t="s">
        <v>1640</v>
      </c>
      <c r="M13" s="886"/>
      <c r="N13" s="886"/>
      <c r="O13" s="886"/>
      <c r="P13" s="887"/>
      <c r="Q13" s="16"/>
      <c r="R13" s="885" t="s">
        <v>1648</v>
      </c>
      <c r="S13" s="886"/>
      <c r="T13" s="886"/>
      <c r="U13" s="886"/>
      <c r="V13" s="887"/>
      <c r="W13" s="888" t="s">
        <v>1654</v>
      </c>
    </row>
    <row r="14" spans="1:29" s="16" customFormat="1" ht="16.5" customHeight="1" x14ac:dyDescent="0.2">
      <c r="F14" s="420" t="s">
        <v>1635</v>
      </c>
      <c r="G14" s="414" t="s">
        <v>1636</v>
      </c>
      <c r="H14" s="414" t="s">
        <v>1637</v>
      </c>
      <c r="I14" s="414" t="s">
        <v>1638</v>
      </c>
      <c r="J14" s="421" t="s">
        <v>1639</v>
      </c>
      <c r="L14" s="420" t="s">
        <v>1635</v>
      </c>
      <c r="M14" s="414" t="s">
        <v>1636</v>
      </c>
      <c r="N14" s="414" t="s">
        <v>1637</v>
      </c>
      <c r="O14" s="414" t="s">
        <v>1638</v>
      </c>
      <c r="P14" s="421" t="s">
        <v>1639</v>
      </c>
      <c r="R14" s="420" t="s">
        <v>196</v>
      </c>
      <c r="S14" s="414" t="s">
        <v>154</v>
      </c>
      <c r="T14" s="414" t="s">
        <v>197</v>
      </c>
      <c r="U14" s="414" t="s">
        <v>198</v>
      </c>
      <c r="V14" s="421" t="s">
        <v>199</v>
      </c>
      <c r="W14" s="889"/>
    </row>
    <row r="15" spans="1:29" s="16" customFormat="1" ht="33" customHeight="1" x14ac:dyDescent="0.2">
      <c r="F15" s="3" t="s">
        <v>200</v>
      </c>
      <c r="G15" s="415" t="s">
        <v>1631</v>
      </c>
      <c r="H15" s="418">
        <v>0.5</v>
      </c>
      <c r="I15" s="415" t="s">
        <v>209</v>
      </c>
      <c r="J15" s="18">
        <v>0.5</v>
      </c>
      <c r="L15" s="3" t="s">
        <v>200</v>
      </c>
      <c r="M15" s="415" t="s">
        <v>208</v>
      </c>
      <c r="N15" s="415">
        <v>10</v>
      </c>
      <c r="O15" s="415" t="s">
        <v>209</v>
      </c>
      <c r="P15" s="18">
        <v>10</v>
      </c>
      <c r="R15" s="3" t="s">
        <v>200</v>
      </c>
      <c r="S15" s="415" t="s">
        <v>208</v>
      </c>
      <c r="T15" s="427" t="s">
        <v>1652</v>
      </c>
      <c r="U15" s="428" t="s">
        <v>1653</v>
      </c>
      <c r="V15" s="423" t="s">
        <v>1653</v>
      </c>
      <c r="W15" s="889"/>
    </row>
    <row r="16" spans="1:29" s="16" customFormat="1" ht="33" customHeight="1" x14ac:dyDescent="0.2">
      <c r="F16" s="2" t="s">
        <v>201</v>
      </c>
      <c r="G16" s="422" t="s">
        <v>1630</v>
      </c>
      <c r="H16" s="413" t="s">
        <v>1641</v>
      </c>
      <c r="I16" s="413" t="s">
        <v>202</v>
      </c>
      <c r="J16" s="21">
        <v>2</v>
      </c>
      <c r="L16" s="2" t="s">
        <v>201</v>
      </c>
      <c r="M16" s="422" t="s">
        <v>1630</v>
      </c>
      <c r="N16" s="413" t="s">
        <v>216</v>
      </c>
      <c r="O16" s="413" t="s">
        <v>217</v>
      </c>
      <c r="P16" s="21">
        <v>40</v>
      </c>
      <c r="R16" s="2" t="s">
        <v>201</v>
      </c>
      <c r="S16" s="422" t="s">
        <v>1630</v>
      </c>
      <c r="T16" s="429" t="s">
        <v>1653</v>
      </c>
      <c r="U16" s="429" t="s">
        <v>1651</v>
      </c>
      <c r="V16" s="424" t="s">
        <v>1651</v>
      </c>
      <c r="W16" s="889"/>
    </row>
    <row r="17" spans="1:23" s="16" customFormat="1" ht="33" customHeight="1" x14ac:dyDescent="0.2">
      <c r="F17" s="3" t="s">
        <v>203</v>
      </c>
      <c r="G17" s="415" t="s">
        <v>1629</v>
      </c>
      <c r="H17" s="416" t="s">
        <v>204</v>
      </c>
      <c r="I17" s="416" t="s">
        <v>205</v>
      </c>
      <c r="J17" s="19">
        <v>10</v>
      </c>
      <c r="L17" s="3" t="s">
        <v>203</v>
      </c>
      <c r="M17" s="415" t="s">
        <v>1629</v>
      </c>
      <c r="N17" s="416" t="s">
        <v>218</v>
      </c>
      <c r="O17" s="416" t="s">
        <v>219</v>
      </c>
      <c r="P17" s="19">
        <v>200</v>
      </c>
      <c r="R17" s="3" t="s">
        <v>203</v>
      </c>
      <c r="S17" s="415" t="s">
        <v>1628</v>
      </c>
      <c r="T17" s="430" t="s">
        <v>1651</v>
      </c>
      <c r="U17" s="430" t="s">
        <v>1651</v>
      </c>
      <c r="V17" s="425" t="s">
        <v>1651</v>
      </c>
      <c r="W17" s="889"/>
    </row>
    <row r="18" spans="1:23" s="16" customFormat="1" ht="33" customHeight="1" x14ac:dyDescent="0.2">
      <c r="F18" s="2" t="s">
        <v>207</v>
      </c>
      <c r="G18" s="20" t="s">
        <v>206</v>
      </c>
      <c r="H18" s="413" t="s">
        <v>210</v>
      </c>
      <c r="I18" s="413" t="s">
        <v>211</v>
      </c>
      <c r="J18" s="21">
        <v>50</v>
      </c>
      <c r="L18" s="2" t="s">
        <v>207</v>
      </c>
      <c r="M18" s="20" t="s">
        <v>206</v>
      </c>
      <c r="N18" s="413" t="s">
        <v>220</v>
      </c>
      <c r="O18" s="413" t="s">
        <v>221</v>
      </c>
      <c r="P18" s="21">
        <v>1000</v>
      </c>
      <c r="R18" s="2" t="s">
        <v>207</v>
      </c>
      <c r="S18" s="20" t="s">
        <v>206</v>
      </c>
      <c r="T18" s="429" t="s">
        <v>1651</v>
      </c>
      <c r="U18" s="429" t="s">
        <v>1651</v>
      </c>
      <c r="V18" s="424" t="s">
        <v>1651</v>
      </c>
      <c r="W18" s="889"/>
    </row>
    <row r="19" spans="1:23" s="16" customFormat="1" ht="48" customHeight="1" x14ac:dyDescent="0.2">
      <c r="F19" s="3" t="s">
        <v>212</v>
      </c>
      <c r="G19" s="415" t="s">
        <v>213</v>
      </c>
      <c r="H19" s="416" t="s">
        <v>1643</v>
      </c>
      <c r="I19" s="416" t="s">
        <v>1642</v>
      </c>
      <c r="J19" s="19">
        <v>250</v>
      </c>
      <c r="L19" s="3" t="s">
        <v>212</v>
      </c>
      <c r="M19" s="415" t="s">
        <v>213</v>
      </c>
      <c r="N19" s="416" t="s">
        <v>1645</v>
      </c>
      <c r="O19" s="416" t="s">
        <v>1644</v>
      </c>
      <c r="P19" s="19">
        <v>5000</v>
      </c>
      <c r="R19" s="3" t="s">
        <v>212</v>
      </c>
      <c r="S19" s="415" t="s">
        <v>213</v>
      </c>
      <c r="T19" s="430" t="s">
        <v>1651</v>
      </c>
      <c r="U19" s="430" t="s">
        <v>1651</v>
      </c>
      <c r="V19" s="425" t="s">
        <v>1651</v>
      </c>
      <c r="W19" s="889"/>
    </row>
    <row r="20" spans="1:23" s="16" customFormat="1" ht="33" customHeight="1" thickBot="1" x14ac:dyDescent="0.25">
      <c r="F20" s="4" t="s">
        <v>215</v>
      </c>
      <c r="G20" s="417">
        <v>99</v>
      </c>
      <c r="H20" s="419">
        <v>50000</v>
      </c>
      <c r="I20" s="417" t="s">
        <v>214</v>
      </c>
      <c r="J20" s="22">
        <v>5000</v>
      </c>
      <c r="L20" s="4" t="s">
        <v>215</v>
      </c>
      <c r="M20" s="417">
        <v>99</v>
      </c>
      <c r="N20" s="419" t="s">
        <v>222</v>
      </c>
      <c r="O20" s="417" t="s">
        <v>223</v>
      </c>
      <c r="P20" s="22">
        <v>100000</v>
      </c>
      <c r="R20" s="4" t="s">
        <v>215</v>
      </c>
      <c r="S20" s="417">
        <v>99</v>
      </c>
      <c r="T20" s="431" t="s">
        <v>1651</v>
      </c>
      <c r="U20" s="432" t="s">
        <v>1651</v>
      </c>
      <c r="V20" s="426" t="s">
        <v>1651</v>
      </c>
      <c r="W20" s="890"/>
    </row>
    <row r="21" spans="1:23" s="16" customFormat="1" ht="17.25" thickBot="1" x14ac:dyDescent="0.25">
      <c r="A21" s="15"/>
      <c r="B21" s="15"/>
      <c r="C21" s="15"/>
      <c r="D21" s="15"/>
      <c r="Q21" s="15"/>
      <c r="R21" s="15"/>
      <c r="S21" s="15"/>
      <c r="U21" s="445" t="s">
        <v>1649</v>
      </c>
      <c r="V21" s="446" t="s">
        <v>1650</v>
      </c>
    </row>
    <row r="22" spans="1:23" s="16" customFormat="1" x14ac:dyDescent="0.2">
      <c r="F22" s="882" t="s">
        <v>1613</v>
      </c>
      <c r="G22" s="883"/>
      <c r="H22" s="883"/>
      <c r="I22" s="883"/>
      <c r="J22" s="884"/>
    </row>
    <row r="23" spans="1:23" s="16" customFormat="1" ht="51.75" customHeight="1" x14ac:dyDescent="0.2">
      <c r="F23" s="879" t="s">
        <v>1614</v>
      </c>
      <c r="G23" s="880"/>
      <c r="H23" s="880"/>
      <c r="I23" s="880"/>
      <c r="J23" s="881"/>
    </row>
    <row r="24" spans="1:23" s="16" customFormat="1" x14ac:dyDescent="0.2">
      <c r="F24" s="873" t="s">
        <v>1615</v>
      </c>
      <c r="G24" s="874"/>
      <c r="H24" s="874"/>
      <c r="I24" s="874"/>
      <c r="J24" s="875"/>
    </row>
    <row r="25" spans="1:23" s="16" customFormat="1" ht="73.5" customHeight="1" x14ac:dyDescent="0.2">
      <c r="B25" s="17"/>
      <c r="F25" s="879" t="s">
        <v>1616</v>
      </c>
      <c r="G25" s="880"/>
      <c r="H25" s="880"/>
      <c r="I25" s="880"/>
      <c r="J25" s="881"/>
    </row>
    <row r="26" spans="1:23" s="16" customFormat="1" x14ac:dyDescent="0.2">
      <c r="F26" s="873" t="s">
        <v>1617</v>
      </c>
      <c r="G26" s="874"/>
      <c r="H26" s="874"/>
      <c r="I26" s="874"/>
      <c r="J26" s="875"/>
    </row>
    <row r="27" spans="1:23" s="16" customFormat="1" ht="74.25" customHeight="1" x14ac:dyDescent="0.2">
      <c r="F27" s="879" t="s">
        <v>1618</v>
      </c>
      <c r="G27" s="880"/>
      <c r="H27" s="880"/>
      <c r="I27" s="880"/>
      <c r="J27" s="881"/>
    </row>
    <row r="28" spans="1:23" s="16" customFormat="1" x14ac:dyDescent="0.2">
      <c r="F28" s="873" t="s">
        <v>1619</v>
      </c>
      <c r="G28" s="874"/>
      <c r="H28" s="874"/>
      <c r="I28" s="874"/>
      <c r="J28" s="875"/>
    </row>
    <row r="29" spans="1:23" s="16" customFormat="1" ht="72.75" customHeight="1" x14ac:dyDescent="0.2">
      <c r="F29" s="879" t="s">
        <v>1620</v>
      </c>
      <c r="G29" s="880"/>
      <c r="H29" s="880"/>
      <c r="I29" s="880"/>
      <c r="J29" s="881"/>
    </row>
    <row r="30" spans="1:23" s="16" customFormat="1" x14ac:dyDescent="0.2">
      <c r="F30" s="873" t="s">
        <v>1621</v>
      </c>
      <c r="G30" s="874"/>
      <c r="H30" s="874"/>
      <c r="I30" s="874"/>
      <c r="J30" s="875"/>
    </row>
    <row r="31" spans="1:23" s="16" customFormat="1" ht="85.5" customHeight="1" x14ac:dyDescent="0.2">
      <c r="F31" s="879" t="s">
        <v>1624</v>
      </c>
      <c r="G31" s="880"/>
      <c r="H31" s="880"/>
      <c r="I31" s="880"/>
      <c r="J31" s="881"/>
    </row>
    <row r="32" spans="1:23" s="16" customFormat="1" x14ac:dyDescent="0.2">
      <c r="F32" s="873" t="s">
        <v>1622</v>
      </c>
      <c r="G32" s="874"/>
      <c r="H32" s="874"/>
      <c r="I32" s="874"/>
      <c r="J32" s="875"/>
    </row>
    <row r="33" spans="1:19" s="16" customFormat="1" ht="40.5" customHeight="1" thickBot="1" x14ac:dyDescent="0.25">
      <c r="F33" s="876" t="s">
        <v>1623</v>
      </c>
      <c r="G33" s="877"/>
      <c r="H33" s="877"/>
      <c r="I33" s="877"/>
      <c r="J33" s="878"/>
    </row>
    <row r="34" spans="1:19" s="16" customFormat="1" ht="17.25" customHeight="1" x14ac:dyDescent="0.2"/>
    <row r="35" spans="1:19" s="16" customFormat="1" x14ac:dyDescent="0.2"/>
    <row r="36" spans="1:19" s="16" customFormat="1" x14ac:dyDescent="0.2"/>
    <row r="37" spans="1:19" x14ac:dyDescent="0.2">
      <c r="A37" s="16"/>
      <c r="B37" s="16"/>
      <c r="C37" s="16"/>
      <c r="D37" s="16"/>
      <c r="E37" s="16"/>
      <c r="F37" s="16"/>
      <c r="G37" s="16"/>
      <c r="H37" s="16"/>
      <c r="I37" s="16"/>
      <c r="J37" s="16"/>
      <c r="K37" s="16"/>
      <c r="L37" s="16"/>
      <c r="M37" s="16"/>
      <c r="N37" s="16"/>
      <c r="O37" s="16"/>
      <c r="P37" s="16"/>
      <c r="Q37" s="16"/>
      <c r="R37" s="16"/>
      <c r="S37" s="16"/>
    </row>
    <row r="38" spans="1:19" x14ac:dyDescent="0.2">
      <c r="A38" s="16"/>
      <c r="B38" s="16"/>
      <c r="C38" s="16"/>
      <c r="D38" s="16"/>
      <c r="E38" s="16"/>
      <c r="F38" s="16"/>
      <c r="G38" s="16"/>
      <c r="H38" s="16"/>
      <c r="I38" s="16"/>
      <c r="J38" s="16"/>
      <c r="K38" s="16"/>
      <c r="L38" s="16"/>
      <c r="M38" s="16"/>
      <c r="N38" s="16"/>
      <c r="O38" s="16"/>
      <c r="P38" s="16"/>
      <c r="Q38" s="16"/>
      <c r="R38" s="16"/>
      <c r="S38" s="16"/>
    </row>
    <row r="39" spans="1:19" x14ac:dyDescent="0.2">
      <c r="A39" s="16"/>
      <c r="B39" s="16"/>
      <c r="C39" s="16"/>
      <c r="D39" s="16"/>
      <c r="E39" s="16"/>
      <c r="F39" s="16"/>
      <c r="G39" s="16"/>
      <c r="H39" s="16"/>
      <c r="I39" s="16"/>
      <c r="J39" s="16"/>
      <c r="K39" s="16"/>
      <c r="L39" s="16"/>
      <c r="M39" s="16"/>
      <c r="N39" s="16"/>
      <c r="O39" s="16"/>
      <c r="P39" s="16"/>
      <c r="Q39" s="16"/>
      <c r="R39" s="16"/>
      <c r="S39" s="16"/>
    </row>
    <row r="40" spans="1:19" x14ac:dyDescent="0.2">
      <c r="A40" s="16"/>
      <c r="B40" s="16"/>
      <c r="C40" s="16"/>
      <c r="D40" s="16"/>
      <c r="E40" s="16"/>
      <c r="F40" s="16"/>
      <c r="G40" s="16"/>
      <c r="H40" s="16"/>
      <c r="I40" s="16"/>
      <c r="J40" s="16"/>
      <c r="K40" s="16"/>
      <c r="L40" s="16"/>
      <c r="M40" s="16"/>
      <c r="N40" s="16"/>
      <c r="O40" s="16"/>
      <c r="P40" s="16"/>
      <c r="Q40" s="16"/>
      <c r="R40" s="16"/>
      <c r="S40" s="16"/>
    </row>
    <row r="41" spans="1:19" x14ac:dyDescent="0.2">
      <c r="A41" s="16"/>
      <c r="B41" s="17"/>
      <c r="C41" s="16"/>
      <c r="D41" s="16"/>
      <c r="E41" s="16"/>
      <c r="F41" s="16"/>
      <c r="G41" s="16"/>
      <c r="H41" s="16"/>
      <c r="I41" s="16"/>
      <c r="J41" s="16"/>
      <c r="K41" s="16"/>
      <c r="L41" s="16"/>
      <c r="M41" s="16"/>
      <c r="N41" s="16"/>
      <c r="O41" s="16"/>
      <c r="P41" s="16"/>
      <c r="Q41" s="16"/>
      <c r="R41" s="16"/>
      <c r="S41" s="16"/>
    </row>
    <row r="42" spans="1:19" x14ac:dyDescent="0.2">
      <c r="A42" s="16"/>
      <c r="B42" s="16"/>
      <c r="C42" s="16"/>
      <c r="D42" s="16"/>
      <c r="E42" s="16"/>
      <c r="F42" s="16"/>
      <c r="G42" s="16"/>
      <c r="H42" s="16"/>
      <c r="I42" s="16"/>
      <c r="J42" s="16"/>
      <c r="K42" s="16"/>
      <c r="L42" s="16"/>
      <c r="M42" s="16"/>
      <c r="N42" s="16"/>
      <c r="O42" s="16"/>
      <c r="P42" s="16"/>
      <c r="Q42" s="16"/>
      <c r="R42" s="16"/>
      <c r="S42" s="16"/>
    </row>
    <row r="43" spans="1:19" x14ac:dyDescent="0.2">
      <c r="A43" s="16"/>
      <c r="B43" s="16"/>
      <c r="C43" s="16"/>
      <c r="D43" s="16"/>
      <c r="E43" s="16"/>
      <c r="F43" s="16"/>
      <c r="G43" s="16"/>
      <c r="H43" s="16"/>
      <c r="I43" s="16"/>
      <c r="J43" s="16"/>
      <c r="K43" s="16"/>
      <c r="L43" s="16"/>
      <c r="M43" s="16"/>
      <c r="N43" s="16"/>
      <c r="O43" s="16"/>
      <c r="P43" s="16"/>
      <c r="Q43" s="16"/>
      <c r="R43" s="16"/>
      <c r="S43" s="16"/>
    </row>
    <row r="44" spans="1:19" x14ac:dyDescent="0.2">
      <c r="A44" s="16"/>
      <c r="B44" s="16"/>
      <c r="C44" s="16"/>
      <c r="D44" s="16"/>
      <c r="E44" s="16"/>
      <c r="F44" s="16"/>
      <c r="G44" s="16"/>
      <c r="H44" s="16"/>
      <c r="I44" s="16"/>
      <c r="J44" s="16"/>
      <c r="K44" s="16"/>
      <c r="L44" s="16"/>
      <c r="M44" s="16"/>
      <c r="N44" s="16"/>
      <c r="O44" s="16"/>
      <c r="P44" s="16"/>
      <c r="Q44" s="16"/>
      <c r="R44" s="16"/>
      <c r="S44" s="16"/>
    </row>
    <row r="45" spans="1:19" x14ac:dyDescent="0.2">
      <c r="E45" s="16"/>
      <c r="F45" s="16"/>
      <c r="G45" s="16"/>
      <c r="H45" s="16"/>
      <c r="I45" s="16"/>
      <c r="J45" s="16"/>
      <c r="K45" s="16"/>
      <c r="L45" s="16"/>
    </row>
    <row r="46" spans="1:19" x14ac:dyDescent="0.2">
      <c r="E46" s="16"/>
      <c r="F46" s="16"/>
      <c r="G46" s="16"/>
      <c r="H46" s="16"/>
      <c r="I46" s="16"/>
      <c r="J46" s="16"/>
      <c r="K46" s="16"/>
      <c r="L46" s="16"/>
    </row>
  </sheetData>
  <sheetProtection formatCells="0" selectLockedCells="1"/>
  <sortState ref="E7:J11">
    <sortCondition ref="E6"/>
  </sortState>
  <customSheetViews>
    <customSheetView guid="{111A6EAC-FF6E-44AB-B5F5-6EDFAC2B64B3}" showGridLines="0" topLeftCell="D1">
      <selection activeCell="U9" sqref="U9"/>
      <pageMargins left="0.7" right="0.7" top="0.75" bottom="0.75" header="0.3" footer="0.3"/>
      <pageSetup paperSize="9" orientation="portrait" r:id="rId1"/>
    </customSheetView>
  </customSheetViews>
  <mergeCells count="22">
    <mergeCell ref="R13:V13"/>
    <mergeCell ref="W13:W20"/>
    <mergeCell ref="F3:J3"/>
    <mergeCell ref="Q4:V4"/>
    <mergeCell ref="K4:P4"/>
    <mergeCell ref="E4:J4"/>
    <mergeCell ref="A2:S2"/>
    <mergeCell ref="A1:S1"/>
    <mergeCell ref="F32:J32"/>
    <mergeCell ref="F33:J33"/>
    <mergeCell ref="F29:J29"/>
    <mergeCell ref="F30:J30"/>
    <mergeCell ref="F31:J31"/>
    <mergeCell ref="F27:J27"/>
    <mergeCell ref="F28:J28"/>
    <mergeCell ref="F22:J22"/>
    <mergeCell ref="F23:J23"/>
    <mergeCell ref="F24:J24"/>
    <mergeCell ref="F25:J25"/>
    <mergeCell ref="F26:J26"/>
    <mergeCell ref="F13:J13"/>
    <mergeCell ref="L13:P13"/>
  </mergeCells>
  <phoneticPr fontId="2"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S52"/>
  <sheetViews>
    <sheetView showGridLines="0" workbookViewId="0">
      <selection activeCell="F28" sqref="F28"/>
    </sheetView>
  </sheetViews>
  <sheetFormatPr defaultColWidth="9.875" defaultRowHeight="17.25" x14ac:dyDescent="0.2"/>
  <cols>
    <col min="1" max="1" width="9.5" style="8" bestFit="1" customWidth="1"/>
    <col min="2" max="2" width="8" style="9" bestFit="1" customWidth="1"/>
    <col min="3" max="3" width="6.25" style="9" bestFit="1" customWidth="1"/>
    <col min="4" max="4" width="9.875" style="8"/>
    <col min="5" max="5" width="11.25" style="8" bestFit="1" customWidth="1"/>
    <col min="6" max="6" width="10.375" style="8" bestFit="1" customWidth="1"/>
    <col min="7" max="16384" width="9.875" style="8"/>
  </cols>
  <sheetData>
    <row r="1" spans="1:10" x14ac:dyDescent="0.2">
      <c r="A1" s="146" t="s">
        <v>101</v>
      </c>
      <c r="B1" s="156" t="s">
        <v>102</v>
      </c>
      <c r="C1" s="147" t="s">
        <v>146</v>
      </c>
      <c r="E1" s="146" t="s">
        <v>2</v>
      </c>
      <c r="F1" s="147" t="s">
        <v>147</v>
      </c>
      <c r="J1" s="11"/>
    </row>
    <row r="2" spans="1:10" ht="18" thickBot="1" x14ac:dyDescent="0.25">
      <c r="A2" s="148">
        <v>0</v>
      </c>
      <c r="B2" s="10" t="s">
        <v>244</v>
      </c>
      <c r="C2" s="153">
        <v>0</v>
      </c>
      <c r="E2" s="159">
        <f>人物卡!C6</f>
        <v>0</v>
      </c>
      <c r="F2" s="158">
        <f>IF((人物卡!C6&lt;40)*AND(人物卡!C6&gt;=0),0,IF(人物卡!C6&lt;50,1,IF(人物卡!C6&lt;60,2,IF(人物卡!C6&lt;70,3,IF(人物卡!C6&lt;80,4,IF(人物卡!C6&lt;90,5))))))</f>
        <v>0</v>
      </c>
    </row>
    <row r="3" spans="1:10" x14ac:dyDescent="0.2">
      <c r="A3" s="149">
        <v>2</v>
      </c>
      <c r="B3" s="13">
        <v>-2</v>
      </c>
      <c r="C3" s="150">
        <v>-2</v>
      </c>
    </row>
    <row r="4" spans="1:10" x14ac:dyDescent="0.2">
      <c r="A4" s="148">
        <v>65</v>
      </c>
      <c r="B4" s="10">
        <v>-1</v>
      </c>
      <c r="C4" s="153">
        <v>-1</v>
      </c>
    </row>
    <row r="5" spans="1:10" x14ac:dyDescent="0.2">
      <c r="A5" s="149">
        <v>85</v>
      </c>
      <c r="B5" s="13">
        <v>0</v>
      </c>
      <c r="C5" s="150">
        <v>0</v>
      </c>
    </row>
    <row r="6" spans="1:10" x14ac:dyDescent="0.2">
      <c r="A6" s="148">
        <v>125</v>
      </c>
      <c r="B6" s="10" t="s">
        <v>119</v>
      </c>
      <c r="C6" s="153">
        <v>1</v>
      </c>
    </row>
    <row r="7" spans="1:10" x14ac:dyDescent="0.2">
      <c r="A7" s="149">
        <v>165</v>
      </c>
      <c r="B7" s="13" t="s">
        <v>120</v>
      </c>
      <c r="C7" s="150">
        <v>2</v>
      </c>
    </row>
    <row r="8" spans="1:10" ht="18" thickBot="1" x14ac:dyDescent="0.25">
      <c r="A8" s="148">
        <v>205</v>
      </c>
      <c r="B8" s="10" t="s">
        <v>121</v>
      </c>
      <c r="C8" s="153">
        <v>3</v>
      </c>
    </row>
    <row r="9" spans="1:10" x14ac:dyDescent="0.2">
      <c r="A9" s="149">
        <v>285</v>
      </c>
      <c r="B9" s="13" t="s">
        <v>122</v>
      </c>
      <c r="C9" s="150">
        <v>4</v>
      </c>
      <c r="E9" s="895" t="s">
        <v>153</v>
      </c>
      <c r="F9" s="896"/>
    </row>
    <row r="10" spans="1:10" x14ac:dyDescent="0.2">
      <c r="A10" s="148">
        <v>365</v>
      </c>
      <c r="B10" s="10" t="s">
        <v>123</v>
      </c>
      <c r="C10" s="153">
        <v>5</v>
      </c>
      <c r="E10" s="152" t="s">
        <v>148</v>
      </c>
      <c r="F10" s="153">
        <f>人物卡!J3</f>
        <v>0</v>
      </c>
    </row>
    <row r="11" spans="1:10" x14ac:dyDescent="0.2">
      <c r="A11" s="149">
        <v>445</v>
      </c>
      <c r="B11" s="13" t="s">
        <v>124</v>
      </c>
      <c r="C11" s="150">
        <v>6</v>
      </c>
      <c r="E11" s="149" t="s">
        <v>149</v>
      </c>
      <c r="F11" s="150">
        <f>人物卡!M3</f>
        <v>0</v>
      </c>
    </row>
    <row r="12" spans="1:10" x14ac:dyDescent="0.2">
      <c r="A12" s="148">
        <v>525</v>
      </c>
      <c r="B12" s="10" t="s">
        <v>125</v>
      </c>
      <c r="C12" s="153">
        <v>7</v>
      </c>
      <c r="E12" s="152" t="s">
        <v>156</v>
      </c>
      <c r="F12" s="153">
        <f>人物卡!J7</f>
        <v>0</v>
      </c>
    </row>
    <row r="13" spans="1:10" x14ac:dyDescent="0.2">
      <c r="A13" s="149">
        <v>605</v>
      </c>
      <c r="B13" s="13" t="s">
        <v>126</v>
      </c>
      <c r="C13" s="150">
        <v>8</v>
      </c>
      <c r="E13" s="149" t="s">
        <v>157</v>
      </c>
      <c r="F13" s="150" t="b">
        <f>IF(F10&gt;F12,TRUE())</f>
        <v>0</v>
      </c>
    </row>
    <row r="14" spans="1:10" x14ac:dyDescent="0.2">
      <c r="A14" s="148">
        <v>685</v>
      </c>
      <c r="B14" s="10" t="s">
        <v>127</v>
      </c>
      <c r="C14" s="153">
        <v>9</v>
      </c>
      <c r="E14" s="152" t="s">
        <v>158</v>
      </c>
      <c r="F14" s="153" t="b">
        <f>IF(F11&gt;F12,TRUE())</f>
        <v>0</v>
      </c>
    </row>
    <row r="15" spans="1:10" x14ac:dyDescent="0.2">
      <c r="A15" s="149">
        <v>765</v>
      </c>
      <c r="B15" s="13" t="s">
        <v>128</v>
      </c>
      <c r="C15" s="150">
        <v>10</v>
      </c>
      <c r="E15" s="149" t="s">
        <v>159</v>
      </c>
      <c r="F15" s="150" t="b">
        <f>IF(F10=F12,TRUE())</f>
        <v>1</v>
      </c>
    </row>
    <row r="16" spans="1:10" x14ac:dyDescent="0.2">
      <c r="A16" s="148">
        <v>845</v>
      </c>
      <c r="B16" s="10" t="s">
        <v>129</v>
      </c>
      <c r="C16" s="153">
        <v>11</v>
      </c>
      <c r="E16" s="152" t="s">
        <v>160</v>
      </c>
      <c r="F16" s="153" t="b">
        <f>IF(F11=F12,TRUE())</f>
        <v>1</v>
      </c>
    </row>
    <row r="17" spans="1:6" x14ac:dyDescent="0.2">
      <c r="A17" s="149">
        <v>925</v>
      </c>
      <c r="B17" s="13" t="s">
        <v>130</v>
      </c>
      <c r="C17" s="150">
        <v>12</v>
      </c>
      <c r="E17" s="149" t="s">
        <v>161</v>
      </c>
      <c r="F17" s="150" t="b">
        <f>IF(F10&lt;F12,TRUE())</f>
        <v>0</v>
      </c>
    </row>
    <row r="18" spans="1:6" x14ac:dyDescent="0.2">
      <c r="A18" s="148">
        <v>1005</v>
      </c>
      <c r="B18" s="10" t="s">
        <v>131</v>
      </c>
      <c r="C18" s="153">
        <v>13</v>
      </c>
      <c r="E18" s="152" t="s">
        <v>162</v>
      </c>
      <c r="F18" s="153" t="b">
        <f>IF(F11&lt;F12,TRUE())</f>
        <v>0</v>
      </c>
    </row>
    <row r="19" spans="1:6" x14ac:dyDescent="0.2">
      <c r="A19" s="149">
        <v>1085</v>
      </c>
      <c r="B19" s="13" t="s">
        <v>132</v>
      </c>
      <c r="C19" s="150">
        <v>14</v>
      </c>
      <c r="E19" s="149" t="s">
        <v>163</v>
      </c>
      <c r="F19" s="150" t="b">
        <f>AND(F17:F18)</f>
        <v>0</v>
      </c>
    </row>
    <row r="20" spans="1:6" x14ac:dyDescent="0.2">
      <c r="A20" s="148">
        <v>1165</v>
      </c>
      <c r="B20" s="10" t="s">
        <v>133</v>
      </c>
      <c r="C20" s="153">
        <v>15</v>
      </c>
      <c r="E20" s="152" t="s">
        <v>151</v>
      </c>
      <c r="F20" s="153" t="b">
        <f>AND(F13:F14)</f>
        <v>0</v>
      </c>
    </row>
    <row r="21" spans="1:6" x14ac:dyDescent="0.2">
      <c r="A21" s="149">
        <v>1245</v>
      </c>
      <c r="B21" s="13" t="s">
        <v>134</v>
      </c>
      <c r="C21" s="150">
        <v>16</v>
      </c>
      <c r="E21" s="149" t="s">
        <v>150</v>
      </c>
      <c r="F21" s="150" t="b">
        <f>AND(F15:F16)</f>
        <v>1</v>
      </c>
    </row>
    <row r="22" spans="1:6" x14ac:dyDescent="0.2">
      <c r="A22" s="148">
        <v>1325</v>
      </c>
      <c r="B22" s="10" t="s">
        <v>135</v>
      </c>
      <c r="C22" s="153">
        <v>17</v>
      </c>
      <c r="E22" s="152" t="s">
        <v>152</v>
      </c>
      <c r="F22" s="153" t="b">
        <f>OR(F13:F14)</f>
        <v>0</v>
      </c>
    </row>
    <row r="23" spans="1:6" x14ac:dyDescent="0.2">
      <c r="A23" s="149">
        <v>1405</v>
      </c>
      <c r="B23" s="13" t="s">
        <v>136</v>
      </c>
      <c r="C23" s="150">
        <v>18</v>
      </c>
      <c r="E23" s="149" t="s">
        <v>237</v>
      </c>
      <c r="F23" s="150">
        <f>IF(OR(F15:F16),8,0)</f>
        <v>8</v>
      </c>
    </row>
    <row r="24" spans="1:6" x14ac:dyDescent="0.2">
      <c r="A24" s="148">
        <v>1485</v>
      </c>
      <c r="B24" s="10" t="s">
        <v>137</v>
      </c>
      <c r="C24" s="153">
        <v>19</v>
      </c>
      <c r="E24" s="152" t="s">
        <v>164</v>
      </c>
      <c r="F24" s="153">
        <f>IF(F19,7,0)</f>
        <v>0</v>
      </c>
    </row>
    <row r="25" spans="1:6" x14ac:dyDescent="0.2">
      <c r="A25" s="149">
        <v>1565</v>
      </c>
      <c r="B25" s="13" t="s">
        <v>138</v>
      </c>
      <c r="C25" s="150">
        <v>20</v>
      </c>
      <c r="E25" s="149" t="s">
        <v>165</v>
      </c>
      <c r="F25" s="150">
        <f>IF(F20,9,0)</f>
        <v>0</v>
      </c>
    </row>
    <row r="26" spans="1:6" x14ac:dyDescent="0.2">
      <c r="A26" s="148">
        <v>1645</v>
      </c>
      <c r="B26" s="10" t="s">
        <v>139</v>
      </c>
      <c r="C26" s="153">
        <v>21</v>
      </c>
      <c r="E26" s="152" t="s">
        <v>166</v>
      </c>
      <c r="F26" s="153">
        <f>IF(OR(F21:F22),8,0)</f>
        <v>8</v>
      </c>
    </row>
    <row r="27" spans="1:6" x14ac:dyDescent="0.2">
      <c r="A27" s="149">
        <v>1725</v>
      </c>
      <c r="B27" s="13" t="s">
        <v>140</v>
      </c>
      <c r="C27" s="150">
        <v>22</v>
      </c>
      <c r="E27" s="149" t="s">
        <v>1392</v>
      </c>
      <c r="F27" s="150">
        <f>MAX(F23:F26)</f>
        <v>8</v>
      </c>
    </row>
    <row r="28" spans="1:6" ht="18" thickBot="1" x14ac:dyDescent="0.25">
      <c r="A28" s="148">
        <v>1805</v>
      </c>
      <c r="B28" s="10" t="s">
        <v>141</v>
      </c>
      <c r="C28" s="153">
        <v>23</v>
      </c>
      <c r="E28" s="154" t="s">
        <v>1391</v>
      </c>
      <c r="F28" s="155">
        <f>F27-F2</f>
        <v>8</v>
      </c>
    </row>
    <row r="29" spans="1:6" x14ac:dyDescent="0.2">
      <c r="A29" s="149">
        <v>1885</v>
      </c>
      <c r="B29" s="13" t="s">
        <v>142</v>
      </c>
      <c r="C29" s="150">
        <v>24</v>
      </c>
    </row>
    <row r="30" spans="1:6" x14ac:dyDescent="0.2">
      <c r="A30" s="148">
        <v>1965</v>
      </c>
      <c r="B30" s="10" t="s">
        <v>143</v>
      </c>
      <c r="C30" s="153">
        <v>25</v>
      </c>
    </row>
    <row r="31" spans="1:6" x14ac:dyDescent="0.2">
      <c r="A31" s="149">
        <v>2045</v>
      </c>
      <c r="B31" s="13" t="s">
        <v>144</v>
      </c>
      <c r="C31" s="150">
        <v>26</v>
      </c>
    </row>
    <row r="32" spans="1:6" ht="18" thickBot="1" x14ac:dyDescent="0.25">
      <c r="A32" s="151">
        <v>2125</v>
      </c>
      <c r="B32" s="157" t="s">
        <v>145</v>
      </c>
      <c r="C32" s="158">
        <v>27</v>
      </c>
    </row>
    <row r="33" spans="1:19" ht="18" thickBot="1" x14ac:dyDescent="0.25"/>
    <row r="34" spans="1:19" x14ac:dyDescent="0.2">
      <c r="A34" s="168" t="s">
        <v>1433</v>
      </c>
      <c r="B34" s="169" t="s">
        <v>1434</v>
      </c>
    </row>
    <row r="35" spans="1:19" ht="34.5" x14ac:dyDescent="0.2">
      <c r="A35" s="199" t="s">
        <v>1478</v>
      </c>
      <c r="B35" s="170">
        <f>STR</f>
        <v>0</v>
      </c>
    </row>
    <row r="36" spans="1:19" ht="34.5" x14ac:dyDescent="0.2">
      <c r="A36" s="200" t="s">
        <v>1477</v>
      </c>
      <c r="B36" s="171">
        <f>DEX</f>
        <v>0</v>
      </c>
    </row>
    <row r="37" spans="1:19" ht="34.5" x14ac:dyDescent="0.2">
      <c r="A37" s="199" t="s">
        <v>1476</v>
      </c>
      <c r="B37" s="170">
        <f>POW</f>
        <v>0</v>
      </c>
    </row>
    <row r="38" spans="1:19" ht="34.5" x14ac:dyDescent="0.2">
      <c r="A38" s="200" t="s">
        <v>1475</v>
      </c>
      <c r="B38" s="171">
        <f>CON</f>
        <v>0</v>
      </c>
    </row>
    <row r="39" spans="1:19" ht="34.5" x14ac:dyDescent="0.2">
      <c r="A39" s="199" t="s">
        <v>1474</v>
      </c>
      <c r="B39" s="170">
        <f>APP</f>
        <v>0</v>
      </c>
    </row>
    <row r="40" spans="1:19" ht="34.5" x14ac:dyDescent="0.2">
      <c r="A40" s="200" t="s">
        <v>107</v>
      </c>
      <c r="B40" s="171">
        <f>EDU</f>
        <v>0</v>
      </c>
    </row>
    <row r="41" spans="1:19" ht="34.5" x14ac:dyDescent="0.2">
      <c r="A41" s="199" t="s">
        <v>1473</v>
      </c>
      <c r="B41" s="172">
        <f>SIZ</f>
        <v>0</v>
      </c>
    </row>
    <row r="42" spans="1:19" ht="35.25" thickBot="1" x14ac:dyDescent="0.25">
      <c r="A42" s="198" t="s">
        <v>170</v>
      </c>
      <c r="B42" s="173">
        <f>INT</f>
        <v>0</v>
      </c>
    </row>
    <row r="43" spans="1:19" x14ac:dyDescent="0.2">
      <c r="B43" s="8"/>
      <c r="C43" s="8"/>
    </row>
    <row r="44" spans="1:19" ht="18" thickBot="1" x14ac:dyDescent="0.25"/>
    <row r="45" spans="1:19" x14ac:dyDescent="0.2">
      <c r="A45" s="180" t="s">
        <v>1430</v>
      </c>
      <c r="B45" s="181" t="s">
        <v>1431</v>
      </c>
      <c r="C45" s="897" t="s">
        <v>1432</v>
      </c>
      <c r="D45" s="897"/>
      <c r="E45" s="897"/>
      <c r="F45" s="897"/>
      <c r="G45" s="897"/>
      <c r="H45" s="897"/>
      <c r="I45" s="897"/>
      <c r="J45" s="897"/>
      <c r="K45" s="897"/>
      <c r="L45" s="897"/>
      <c r="M45" s="897"/>
      <c r="N45" s="897"/>
      <c r="O45" s="897"/>
      <c r="P45" s="897"/>
      <c r="Q45" s="898"/>
      <c r="R45" s="181" t="s">
        <v>1435</v>
      </c>
      <c r="S45" s="191" t="s">
        <v>1442</v>
      </c>
    </row>
    <row r="46" spans="1:19" x14ac:dyDescent="0.2">
      <c r="A46" s="178" t="s">
        <v>1424</v>
      </c>
      <c r="B46" s="186">
        <f t="shared" ref="B46:B51" si="0">($R46/$S46)*10+20</f>
        <v>20</v>
      </c>
      <c r="C46" s="182">
        <f>SUM(人物卡!$G$33:$I$35)</f>
        <v>0</v>
      </c>
      <c r="D46" s="179">
        <f>SUM(人物卡!$G$28:$I$28)</f>
        <v>0</v>
      </c>
      <c r="E46" s="179">
        <f>SUM(人物卡!$G$36:$I$38)</f>
        <v>0</v>
      </c>
      <c r="F46" s="179">
        <f>SUM(人物卡!$G$47:$I$47)</f>
        <v>0</v>
      </c>
      <c r="G46" s="179">
        <f>SUM(人物卡!$R$40:$T$40)</f>
        <v>0</v>
      </c>
      <c r="H46" s="179">
        <f>SUM(人物卡!$R$43:$T$43)</f>
        <v>0</v>
      </c>
      <c r="I46" s="179" t="s">
        <v>1441</v>
      </c>
      <c r="J46" s="179" t="s">
        <v>1441</v>
      </c>
      <c r="K46" s="179" t="s">
        <v>1441</v>
      </c>
      <c r="L46" s="179" t="s">
        <v>1441</v>
      </c>
      <c r="M46" s="179" t="s">
        <v>1441</v>
      </c>
      <c r="N46" s="179" t="s">
        <v>1441</v>
      </c>
      <c r="O46" s="179" t="s">
        <v>1441</v>
      </c>
      <c r="P46" s="179" t="s">
        <v>1441</v>
      </c>
      <c r="Q46" s="189" t="s">
        <v>1441</v>
      </c>
      <c r="R46" s="196">
        <f>SUM($C46:$O46)</f>
        <v>0</v>
      </c>
      <c r="S46" s="192">
        <f t="shared" ref="S46:S51" si="1">COUNT($C46:$Q46)</f>
        <v>6</v>
      </c>
    </row>
    <row r="47" spans="1:19" x14ac:dyDescent="0.2">
      <c r="A47" s="174" t="s">
        <v>1427</v>
      </c>
      <c r="B47" s="187">
        <f t="shared" si="0"/>
        <v>20</v>
      </c>
      <c r="C47" s="183">
        <f>SUM(人物卡!$G$19:$I$21)</f>
        <v>0</v>
      </c>
      <c r="D47" s="13">
        <f>SUM(人物卡!$G$29:$I$29)</f>
        <v>0</v>
      </c>
      <c r="E47" s="13">
        <f>SUM(人物卡!$G$27:$I$27)</f>
        <v>0</v>
      </c>
      <c r="F47" s="13">
        <f>SUM(人物卡!$G$30:$I$30)</f>
        <v>0</v>
      </c>
      <c r="G47" s="13">
        <f>SUM(人物卡!$R$18:$T$18)</f>
        <v>0</v>
      </c>
      <c r="H47" s="13">
        <f>SUM(人物卡!$R$19:$T$19)</f>
        <v>0</v>
      </c>
      <c r="I47" s="13">
        <f>SUM(人物卡!$R$24:$T$24)</f>
        <v>0</v>
      </c>
      <c r="J47" s="13">
        <f>SUM(人物卡!$R$26:$T$26)</f>
        <v>0</v>
      </c>
      <c r="K47" s="13">
        <f>SUM(人物卡!$R$29:$T$29)</f>
        <v>0</v>
      </c>
      <c r="L47" s="13">
        <f>SUM(人物卡!$R$33:$T$33)</f>
        <v>0</v>
      </c>
      <c r="M47" s="13">
        <f>SUM(人物卡!$R$38:$T$38)</f>
        <v>0</v>
      </c>
      <c r="N47" s="13">
        <f>SUM(人物卡!$R$44:$T$48)</f>
        <v>0</v>
      </c>
      <c r="O47" s="13">
        <f>SUM(人物卡!$R$37:$T$37)</f>
        <v>0</v>
      </c>
      <c r="P47" s="13">
        <f>SUM(人物卡!$R$39:$T$39)</f>
        <v>0</v>
      </c>
      <c r="Q47" s="160">
        <f>SUM(人物卡!$R$41:$T$41)</f>
        <v>0</v>
      </c>
      <c r="R47" s="187">
        <f>SUM($C47:$O47)</f>
        <v>0</v>
      </c>
      <c r="S47" s="193">
        <f t="shared" si="1"/>
        <v>15</v>
      </c>
    </row>
    <row r="48" spans="1:19" x14ac:dyDescent="0.2">
      <c r="A48" s="175" t="s">
        <v>1428</v>
      </c>
      <c r="B48" s="188">
        <f t="shared" si="0"/>
        <v>20</v>
      </c>
      <c r="C48" s="184">
        <f>SUM(人物卡!$G$39:$I$39)</f>
        <v>0</v>
      </c>
      <c r="D48" s="12">
        <f>SUM(人物卡!$R$20:$T$20)</f>
        <v>0</v>
      </c>
      <c r="E48" s="12">
        <f>SUM(人物卡!$R$27:$T$27)</f>
        <v>0</v>
      </c>
      <c r="F48" s="12">
        <f>SUM(人物卡!$R$42:$T$42)</f>
        <v>0</v>
      </c>
      <c r="G48" s="12" t="s">
        <v>1441</v>
      </c>
      <c r="H48" s="12" t="s">
        <v>1441</v>
      </c>
      <c r="I48" s="12" t="s">
        <v>1441</v>
      </c>
      <c r="J48" s="12" t="s">
        <v>1441</v>
      </c>
      <c r="K48" s="12" t="s">
        <v>1441</v>
      </c>
      <c r="L48" s="12" t="s">
        <v>1441</v>
      </c>
      <c r="M48" s="12" t="s">
        <v>1441</v>
      </c>
      <c r="N48" s="12" t="s">
        <v>1441</v>
      </c>
      <c r="O48" s="12" t="s">
        <v>1441</v>
      </c>
      <c r="P48" s="12" t="s">
        <v>1441</v>
      </c>
      <c r="Q48" s="161" t="s">
        <v>1441</v>
      </c>
      <c r="R48" s="188">
        <f>SUM($C48:$O48)</f>
        <v>0</v>
      </c>
      <c r="S48" s="194">
        <f t="shared" si="1"/>
        <v>4</v>
      </c>
    </row>
    <row r="49" spans="1:19" x14ac:dyDescent="0.2">
      <c r="A49" s="174" t="s">
        <v>1426</v>
      </c>
      <c r="B49" s="187">
        <f t="shared" si="0"/>
        <v>20</v>
      </c>
      <c r="C49" s="183">
        <f>SUM(人物卡!$G$15:$I$15)</f>
        <v>0</v>
      </c>
      <c r="D49" s="13">
        <f>SUM(人物卡!$R$28:$T$28)</f>
        <v>0</v>
      </c>
      <c r="E49" s="13">
        <f>SUM(人物卡!$G$22:$I$22)</f>
        <v>0</v>
      </c>
      <c r="F49" s="13">
        <f>SUM(人物卡!$G$32:$I$32)</f>
        <v>0</v>
      </c>
      <c r="G49" s="13">
        <f>SUM(人物卡!$G$41:$I$41)</f>
        <v>0</v>
      </c>
      <c r="H49" s="13">
        <f>SUM(人物卡!$G$43:$I$45)</f>
        <v>0</v>
      </c>
      <c r="I49" s="13">
        <f>SUM(人物卡!$G$46:$I$46)</f>
        <v>0</v>
      </c>
      <c r="J49" s="13">
        <f>SUM(人物卡!$R$25:$T$25)</f>
        <v>0</v>
      </c>
      <c r="K49" s="13" t="s">
        <v>1441</v>
      </c>
      <c r="L49" s="13" t="s">
        <v>1441</v>
      </c>
      <c r="M49" s="13" t="s">
        <v>1441</v>
      </c>
      <c r="N49" s="13" t="s">
        <v>1441</v>
      </c>
      <c r="O49" s="13" t="s">
        <v>1441</v>
      </c>
      <c r="P49" s="13" t="s">
        <v>1441</v>
      </c>
      <c r="Q49" s="160" t="s">
        <v>1441</v>
      </c>
      <c r="R49" s="187">
        <f>SUM($C49:$O49)</f>
        <v>0</v>
      </c>
      <c r="S49" s="193">
        <f t="shared" si="1"/>
        <v>8</v>
      </c>
    </row>
    <row r="50" spans="1:19" x14ac:dyDescent="0.2">
      <c r="A50" s="175" t="s">
        <v>1425</v>
      </c>
      <c r="B50" s="188">
        <f t="shared" si="0"/>
        <v>20</v>
      </c>
      <c r="C50" s="184">
        <f>SUM(人物卡!$G$18:$I$18)</f>
        <v>0</v>
      </c>
      <c r="D50" s="12">
        <f>SUM(人物卡!$G$24:$I$24)</f>
        <v>0</v>
      </c>
      <c r="E50" s="12">
        <f>SUM(人物卡!$G$31:$I$31)</f>
        <v>0</v>
      </c>
      <c r="F50" s="12">
        <f>SUM(人物卡!$R$21:$T$21)</f>
        <v>0</v>
      </c>
      <c r="G50" s="12">
        <f>SUM(人物卡!$R$23:$T$23)</f>
        <v>0</v>
      </c>
      <c r="H50" s="12">
        <f>SUM(人物卡!$R$30:$T$32)</f>
        <v>0</v>
      </c>
      <c r="I50" s="12">
        <f>SUM(人物卡!$G$40:$I$40)</f>
        <v>0</v>
      </c>
      <c r="J50" s="12">
        <f>SUM(人物卡!$R$15:$T$15)</f>
        <v>0</v>
      </c>
      <c r="K50" s="12">
        <f>SUM(人物卡!$G$17:$I$17)</f>
        <v>0</v>
      </c>
      <c r="L50" s="12">
        <f>SUM(人物卡!$G$16:$I$16)</f>
        <v>0</v>
      </c>
      <c r="M50" s="12" t="s">
        <v>1441</v>
      </c>
      <c r="N50" s="12" t="s">
        <v>1441</v>
      </c>
      <c r="O50" s="12" t="s">
        <v>1441</v>
      </c>
      <c r="P50" s="12" t="s">
        <v>1441</v>
      </c>
      <c r="Q50" s="161" t="s">
        <v>1441</v>
      </c>
      <c r="R50" s="188">
        <f>SUM($C50:$O50)</f>
        <v>0</v>
      </c>
      <c r="S50" s="194">
        <f t="shared" si="1"/>
        <v>10</v>
      </c>
    </row>
    <row r="51" spans="1:19" ht="18" thickBot="1" x14ac:dyDescent="0.25">
      <c r="A51" s="176" t="s">
        <v>1429</v>
      </c>
      <c r="B51" s="197">
        <f t="shared" si="0"/>
        <v>20</v>
      </c>
      <c r="C51" s="185">
        <f>SUM(人物卡!$R$16:$T$16)</f>
        <v>0</v>
      </c>
      <c r="D51" s="177">
        <f>SUM(人物卡!$R$17:$T$17)</f>
        <v>0</v>
      </c>
      <c r="E51" s="177">
        <f>SUM(人物卡!$R$22:$T$22)</f>
        <v>0</v>
      </c>
      <c r="F51" s="177">
        <f>SUM(人物卡!$R$34:$T$34)</f>
        <v>0</v>
      </c>
      <c r="G51" s="177">
        <f>SUM(人物卡!$R$35:$T$35)</f>
        <v>0</v>
      </c>
      <c r="H51" s="177">
        <f>SUM(人物卡!$R$36:$T$36)</f>
        <v>0</v>
      </c>
      <c r="I51" s="177">
        <f>SUM(人物卡!$G$48:$I$48)</f>
        <v>0</v>
      </c>
      <c r="J51" s="177">
        <f>SUM(人物卡!$G$42:$I$42)</f>
        <v>0</v>
      </c>
      <c r="K51" s="177">
        <f>SUM(人物卡!$G$23:$I$23)</f>
        <v>0</v>
      </c>
      <c r="L51" s="177" t="s">
        <v>1463</v>
      </c>
      <c r="M51" s="177" t="s">
        <v>1463</v>
      </c>
      <c r="N51" s="177" t="s">
        <v>1463</v>
      </c>
      <c r="O51" s="177" t="s">
        <v>1463</v>
      </c>
      <c r="P51" s="177" t="s">
        <v>1463</v>
      </c>
      <c r="Q51" s="190" t="s">
        <v>1463</v>
      </c>
      <c r="R51" s="197">
        <f>SUM($C51:$M51)</f>
        <v>0</v>
      </c>
      <c r="S51" s="195">
        <f t="shared" si="1"/>
        <v>9</v>
      </c>
    </row>
    <row r="52" spans="1:19" x14ac:dyDescent="0.2">
      <c r="R52" s="8">
        <f>SUM(R46:R51)</f>
        <v>0</v>
      </c>
      <c r="S52" s="8">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r:id="rId1"/>
    </customSheetView>
  </customSheetViews>
  <mergeCells count="2">
    <mergeCell ref="E9:F9"/>
    <mergeCell ref="C45:Q45"/>
  </mergeCells>
  <phoneticPr fontId="2" type="noConversion"/>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4"/>
  <sheetViews>
    <sheetView workbookViewId="0">
      <selection activeCell="B33" sqref="B33"/>
    </sheetView>
  </sheetViews>
  <sheetFormatPr defaultRowHeight="14.25" x14ac:dyDescent="0.2"/>
  <cols>
    <col min="2" max="2" width="67.75" style="27" customWidth="1"/>
    <col min="4" max="4" width="74.75" style="27" customWidth="1"/>
  </cols>
  <sheetData>
    <row r="1" spans="1:4" ht="18" thickBot="1" x14ac:dyDescent="0.25">
      <c r="B1" s="24" t="s">
        <v>238</v>
      </c>
      <c r="D1" s="24" t="s">
        <v>239</v>
      </c>
    </row>
    <row r="2" spans="1:4" ht="33.75" thickBot="1" x14ac:dyDescent="0.25">
      <c r="A2">
        <v>0</v>
      </c>
      <c r="B2" s="25" t="s">
        <v>240</v>
      </c>
      <c r="C2">
        <v>0</v>
      </c>
      <c r="D2" s="25" t="s">
        <v>243</v>
      </c>
    </row>
    <row r="3" spans="1:4" ht="17.25" thickBot="1" x14ac:dyDescent="0.25">
      <c r="A3">
        <v>1</v>
      </c>
      <c r="B3" s="25" t="s">
        <v>257</v>
      </c>
      <c r="C3">
        <v>1</v>
      </c>
      <c r="D3" s="25" t="s">
        <v>357</v>
      </c>
    </row>
    <row r="4" spans="1:4" ht="17.25" thickBot="1" x14ac:dyDescent="0.25">
      <c r="A4">
        <v>2</v>
      </c>
      <c r="B4" s="25" t="s">
        <v>258</v>
      </c>
      <c r="C4">
        <v>2</v>
      </c>
      <c r="D4" s="25" t="s">
        <v>358</v>
      </c>
    </row>
    <row r="5" spans="1:4" ht="17.25" thickBot="1" x14ac:dyDescent="0.25">
      <c r="A5">
        <v>3</v>
      </c>
      <c r="B5" s="25" t="s">
        <v>259</v>
      </c>
      <c r="C5">
        <v>3</v>
      </c>
      <c r="D5" s="25" t="s">
        <v>359</v>
      </c>
    </row>
    <row r="6" spans="1:4" ht="17.25" thickBot="1" x14ac:dyDescent="0.25">
      <c r="A6">
        <v>4</v>
      </c>
      <c r="B6" s="25" t="s">
        <v>260</v>
      </c>
      <c r="C6">
        <v>4</v>
      </c>
      <c r="D6" s="25" t="s">
        <v>360</v>
      </c>
    </row>
    <row r="7" spans="1:4" ht="17.25" thickBot="1" x14ac:dyDescent="0.25">
      <c r="A7">
        <v>5</v>
      </c>
      <c r="B7" s="25" t="s">
        <v>261</v>
      </c>
      <c r="C7">
        <v>5</v>
      </c>
      <c r="D7" s="25" t="s">
        <v>361</v>
      </c>
    </row>
    <row r="8" spans="1:4" ht="17.25" thickBot="1" x14ac:dyDescent="0.25">
      <c r="A8">
        <v>6</v>
      </c>
      <c r="B8" s="25" t="s">
        <v>262</v>
      </c>
      <c r="C8">
        <v>6</v>
      </c>
      <c r="D8" s="25" t="s">
        <v>362</v>
      </c>
    </row>
    <row r="9" spans="1:4" ht="17.25" thickBot="1" x14ac:dyDescent="0.25">
      <c r="A9">
        <v>7</v>
      </c>
      <c r="B9" s="25" t="s">
        <v>263</v>
      </c>
      <c r="C9">
        <v>7</v>
      </c>
      <c r="D9" s="25" t="s">
        <v>363</v>
      </c>
    </row>
    <row r="10" spans="1:4" ht="17.25" thickBot="1" x14ac:dyDescent="0.25">
      <c r="A10">
        <v>8</v>
      </c>
      <c r="B10" s="25" t="s">
        <v>264</v>
      </c>
      <c r="C10">
        <v>8</v>
      </c>
      <c r="D10" s="25" t="s">
        <v>364</v>
      </c>
    </row>
    <row r="11" spans="1:4" ht="17.25" thickBot="1" x14ac:dyDescent="0.25">
      <c r="A11">
        <v>9</v>
      </c>
      <c r="B11" s="25" t="s">
        <v>265</v>
      </c>
      <c r="C11">
        <v>9</v>
      </c>
      <c r="D11" s="25" t="s">
        <v>365</v>
      </c>
    </row>
    <row r="12" spans="1:4" ht="17.25" thickBot="1" x14ac:dyDescent="0.25">
      <c r="A12">
        <v>10</v>
      </c>
      <c r="B12" s="25" t="s">
        <v>266</v>
      </c>
      <c r="C12">
        <v>10</v>
      </c>
      <c r="D12" s="25" t="s">
        <v>366</v>
      </c>
    </row>
    <row r="13" spans="1:4" ht="17.25" thickBot="1" x14ac:dyDescent="0.25">
      <c r="A13">
        <v>11</v>
      </c>
      <c r="B13" s="25" t="s">
        <v>267</v>
      </c>
      <c r="C13">
        <v>11</v>
      </c>
      <c r="D13" s="25" t="s">
        <v>367</v>
      </c>
    </row>
    <row r="14" spans="1:4" ht="17.25" thickBot="1" x14ac:dyDescent="0.25">
      <c r="A14">
        <v>12</v>
      </c>
      <c r="B14" s="25" t="s">
        <v>268</v>
      </c>
      <c r="C14">
        <v>12</v>
      </c>
      <c r="D14" s="25" t="s">
        <v>368</v>
      </c>
    </row>
    <row r="15" spans="1:4" ht="17.25" thickBot="1" x14ac:dyDescent="0.25">
      <c r="A15">
        <v>13</v>
      </c>
      <c r="B15" s="25" t="s">
        <v>269</v>
      </c>
      <c r="C15">
        <v>13</v>
      </c>
      <c r="D15" s="25" t="s">
        <v>369</v>
      </c>
    </row>
    <row r="16" spans="1:4" ht="17.25" thickBot="1" x14ac:dyDescent="0.25">
      <c r="A16">
        <v>14</v>
      </c>
      <c r="B16" s="25" t="s">
        <v>270</v>
      </c>
      <c r="C16">
        <v>14</v>
      </c>
      <c r="D16" s="25" t="s">
        <v>370</v>
      </c>
    </row>
    <row r="17" spans="1:4" ht="17.25" thickBot="1" x14ac:dyDescent="0.25">
      <c r="A17">
        <v>15</v>
      </c>
      <c r="B17" s="25" t="s">
        <v>356</v>
      </c>
      <c r="C17">
        <v>15</v>
      </c>
      <c r="D17" s="25" t="s">
        <v>371</v>
      </c>
    </row>
    <row r="18" spans="1:4" ht="33.75" thickBot="1" x14ac:dyDescent="0.25">
      <c r="A18">
        <v>16</v>
      </c>
      <c r="B18" s="25" t="s">
        <v>355</v>
      </c>
      <c r="C18">
        <v>16</v>
      </c>
      <c r="D18" s="25" t="s">
        <v>372</v>
      </c>
    </row>
    <row r="19" spans="1:4" ht="17.25" thickBot="1" x14ac:dyDescent="0.25">
      <c r="A19">
        <v>17</v>
      </c>
      <c r="B19" s="25" t="s">
        <v>354</v>
      </c>
      <c r="C19">
        <v>17</v>
      </c>
      <c r="D19" s="25" t="s">
        <v>373</v>
      </c>
    </row>
    <row r="20" spans="1:4" ht="17.25" thickBot="1" x14ac:dyDescent="0.25">
      <c r="A20">
        <v>18</v>
      </c>
      <c r="B20" s="25" t="s">
        <v>353</v>
      </c>
      <c r="C20">
        <v>18</v>
      </c>
      <c r="D20" s="25" t="s">
        <v>374</v>
      </c>
    </row>
    <row r="21" spans="1:4" ht="17.25" thickBot="1" x14ac:dyDescent="0.25">
      <c r="A21">
        <v>19</v>
      </c>
      <c r="B21" s="25" t="s">
        <v>352</v>
      </c>
      <c r="C21">
        <v>19</v>
      </c>
      <c r="D21" s="25" t="s">
        <v>375</v>
      </c>
    </row>
    <row r="22" spans="1:4" ht="17.25" thickBot="1" x14ac:dyDescent="0.25">
      <c r="A22">
        <v>20</v>
      </c>
      <c r="B22" s="25" t="s">
        <v>351</v>
      </c>
      <c r="C22">
        <v>20</v>
      </c>
      <c r="D22" s="25" t="s">
        <v>376</v>
      </c>
    </row>
    <row r="23" spans="1:4" ht="17.25" thickBot="1" x14ac:dyDescent="0.25">
      <c r="A23">
        <v>21</v>
      </c>
      <c r="B23" s="25" t="s">
        <v>350</v>
      </c>
      <c r="C23">
        <v>21</v>
      </c>
      <c r="D23" s="25" t="s">
        <v>377</v>
      </c>
    </row>
    <row r="24" spans="1:4" ht="17.25" thickBot="1" x14ac:dyDescent="0.25">
      <c r="A24">
        <v>22</v>
      </c>
      <c r="B24" s="25" t="s">
        <v>349</v>
      </c>
      <c r="C24">
        <v>22</v>
      </c>
      <c r="D24" s="25" t="s">
        <v>378</v>
      </c>
    </row>
    <row r="25" spans="1:4" ht="17.25" thickBot="1" x14ac:dyDescent="0.25">
      <c r="A25">
        <v>23</v>
      </c>
      <c r="B25" s="25" t="s">
        <v>348</v>
      </c>
      <c r="C25">
        <v>23</v>
      </c>
      <c r="D25" s="25" t="s">
        <v>379</v>
      </c>
    </row>
    <row r="26" spans="1:4" ht="17.25" thickBot="1" x14ac:dyDescent="0.25">
      <c r="A26">
        <v>24</v>
      </c>
      <c r="B26" s="25" t="s">
        <v>347</v>
      </c>
      <c r="C26">
        <v>24</v>
      </c>
      <c r="D26" s="25" t="s">
        <v>380</v>
      </c>
    </row>
    <row r="27" spans="1:4" ht="17.25" thickBot="1" x14ac:dyDescent="0.25">
      <c r="A27">
        <v>25</v>
      </c>
      <c r="B27" s="25" t="s">
        <v>346</v>
      </c>
      <c r="C27">
        <v>25</v>
      </c>
      <c r="D27" s="25" t="s">
        <v>381</v>
      </c>
    </row>
    <row r="28" spans="1:4" ht="17.25" thickBot="1" x14ac:dyDescent="0.25">
      <c r="A28">
        <v>26</v>
      </c>
      <c r="B28" s="25" t="s">
        <v>345</v>
      </c>
      <c r="C28">
        <v>26</v>
      </c>
      <c r="D28" s="25" t="s">
        <v>382</v>
      </c>
    </row>
    <row r="29" spans="1:4" ht="17.25" thickBot="1" x14ac:dyDescent="0.25">
      <c r="A29">
        <v>27</v>
      </c>
      <c r="B29" s="25" t="s">
        <v>344</v>
      </c>
      <c r="C29">
        <v>27</v>
      </c>
      <c r="D29" s="25" t="s">
        <v>383</v>
      </c>
    </row>
    <row r="30" spans="1:4" ht="17.25" thickBot="1" x14ac:dyDescent="0.25">
      <c r="A30">
        <v>28</v>
      </c>
      <c r="B30" s="25" t="s">
        <v>343</v>
      </c>
      <c r="C30">
        <v>28</v>
      </c>
      <c r="D30" s="25" t="s">
        <v>384</v>
      </c>
    </row>
    <row r="31" spans="1:4" ht="17.25" thickBot="1" x14ac:dyDescent="0.25">
      <c r="A31">
        <v>29</v>
      </c>
      <c r="B31" s="25" t="s">
        <v>342</v>
      </c>
      <c r="C31">
        <v>29</v>
      </c>
      <c r="D31" s="25" t="s">
        <v>385</v>
      </c>
    </row>
    <row r="32" spans="1:4" ht="17.25" thickBot="1" x14ac:dyDescent="0.25">
      <c r="A32">
        <v>30</v>
      </c>
      <c r="B32" s="25" t="s">
        <v>341</v>
      </c>
      <c r="C32">
        <v>30</v>
      </c>
      <c r="D32" s="25" t="s">
        <v>386</v>
      </c>
    </row>
    <row r="33" spans="1:4" ht="17.25" thickBot="1" x14ac:dyDescent="0.25">
      <c r="A33">
        <v>31</v>
      </c>
      <c r="B33" s="25" t="s">
        <v>340</v>
      </c>
      <c r="C33">
        <v>31</v>
      </c>
      <c r="D33" s="25" t="s">
        <v>387</v>
      </c>
    </row>
    <row r="34" spans="1:4" ht="17.25" thickBot="1" x14ac:dyDescent="0.25">
      <c r="A34">
        <v>32</v>
      </c>
      <c r="B34" s="25" t="s">
        <v>339</v>
      </c>
      <c r="C34">
        <v>32</v>
      </c>
      <c r="D34" s="25" t="s">
        <v>388</v>
      </c>
    </row>
    <row r="35" spans="1:4" ht="17.25" thickBot="1" x14ac:dyDescent="0.25">
      <c r="A35">
        <v>33</v>
      </c>
      <c r="B35" s="25" t="s">
        <v>338</v>
      </c>
      <c r="C35">
        <v>33</v>
      </c>
      <c r="D35" s="25" t="s">
        <v>389</v>
      </c>
    </row>
    <row r="36" spans="1:4" ht="17.25" thickBot="1" x14ac:dyDescent="0.25">
      <c r="A36">
        <v>34</v>
      </c>
      <c r="B36" s="25" t="s">
        <v>337</v>
      </c>
      <c r="C36">
        <v>34</v>
      </c>
      <c r="D36" s="25" t="s">
        <v>390</v>
      </c>
    </row>
    <row r="37" spans="1:4" ht="17.25" thickBot="1" x14ac:dyDescent="0.25">
      <c r="A37">
        <v>35</v>
      </c>
      <c r="B37" s="25" t="s">
        <v>336</v>
      </c>
      <c r="C37">
        <v>35</v>
      </c>
      <c r="D37" s="25" t="s">
        <v>391</v>
      </c>
    </row>
    <row r="38" spans="1:4" ht="17.25" thickBot="1" x14ac:dyDescent="0.25">
      <c r="A38">
        <v>36</v>
      </c>
      <c r="B38" s="25" t="s">
        <v>335</v>
      </c>
      <c r="C38">
        <v>36</v>
      </c>
      <c r="D38" s="25" t="s">
        <v>392</v>
      </c>
    </row>
    <row r="39" spans="1:4" ht="17.25" thickBot="1" x14ac:dyDescent="0.25">
      <c r="A39">
        <v>37</v>
      </c>
      <c r="B39" s="25" t="s">
        <v>334</v>
      </c>
      <c r="C39">
        <v>37</v>
      </c>
      <c r="D39" s="25" t="s">
        <v>393</v>
      </c>
    </row>
    <row r="40" spans="1:4" ht="17.25" thickBot="1" x14ac:dyDescent="0.25">
      <c r="A40">
        <v>38</v>
      </c>
      <c r="B40" s="25" t="s">
        <v>333</v>
      </c>
      <c r="C40">
        <v>38</v>
      </c>
      <c r="D40" s="25" t="s">
        <v>456</v>
      </c>
    </row>
    <row r="41" spans="1:4" ht="17.25" thickBot="1" x14ac:dyDescent="0.25">
      <c r="A41">
        <v>39</v>
      </c>
      <c r="B41" s="25" t="s">
        <v>332</v>
      </c>
      <c r="C41">
        <v>39</v>
      </c>
      <c r="D41" s="25" t="s">
        <v>455</v>
      </c>
    </row>
    <row r="42" spans="1:4" ht="17.25" thickBot="1" x14ac:dyDescent="0.25">
      <c r="A42">
        <v>40</v>
      </c>
      <c r="B42" s="25" t="s">
        <v>331</v>
      </c>
      <c r="C42">
        <v>40</v>
      </c>
      <c r="D42" s="25" t="s">
        <v>454</v>
      </c>
    </row>
    <row r="43" spans="1:4" ht="17.25" thickBot="1" x14ac:dyDescent="0.25">
      <c r="A43">
        <v>41</v>
      </c>
      <c r="B43" s="25" t="s">
        <v>330</v>
      </c>
      <c r="C43">
        <v>41</v>
      </c>
      <c r="D43" s="25" t="s">
        <v>453</v>
      </c>
    </row>
    <row r="44" spans="1:4" ht="17.25" thickBot="1" x14ac:dyDescent="0.25">
      <c r="A44">
        <v>42</v>
      </c>
      <c r="B44" s="25" t="s">
        <v>329</v>
      </c>
      <c r="C44">
        <v>42</v>
      </c>
      <c r="D44" s="25" t="s">
        <v>452</v>
      </c>
    </row>
    <row r="45" spans="1:4" ht="17.25" thickBot="1" x14ac:dyDescent="0.25">
      <c r="A45">
        <v>43</v>
      </c>
      <c r="B45" s="25" t="s">
        <v>328</v>
      </c>
      <c r="C45">
        <v>43</v>
      </c>
      <c r="D45" s="25" t="s">
        <v>451</v>
      </c>
    </row>
    <row r="46" spans="1:4" ht="17.25" thickBot="1" x14ac:dyDescent="0.25">
      <c r="A46">
        <v>44</v>
      </c>
      <c r="B46" s="25" t="s">
        <v>327</v>
      </c>
      <c r="C46">
        <v>44</v>
      </c>
      <c r="D46" s="25" t="s">
        <v>450</v>
      </c>
    </row>
    <row r="47" spans="1:4" ht="17.25" thickBot="1" x14ac:dyDescent="0.25">
      <c r="A47">
        <v>45</v>
      </c>
      <c r="B47" s="25" t="s">
        <v>326</v>
      </c>
      <c r="C47">
        <v>45</v>
      </c>
      <c r="D47" s="25" t="s">
        <v>449</v>
      </c>
    </row>
    <row r="48" spans="1:4" ht="17.25" thickBot="1" x14ac:dyDescent="0.25">
      <c r="A48">
        <v>46</v>
      </c>
      <c r="B48" s="25" t="s">
        <v>325</v>
      </c>
      <c r="C48">
        <v>46</v>
      </c>
      <c r="D48" s="25" t="s">
        <v>448</v>
      </c>
    </row>
    <row r="49" spans="1:4" ht="17.25" thickBot="1" x14ac:dyDescent="0.25">
      <c r="A49">
        <v>47</v>
      </c>
      <c r="B49" s="25" t="s">
        <v>324</v>
      </c>
      <c r="C49">
        <v>47</v>
      </c>
      <c r="D49" s="25" t="s">
        <v>447</v>
      </c>
    </row>
    <row r="50" spans="1:4" ht="17.25" thickBot="1" x14ac:dyDescent="0.25">
      <c r="A50">
        <v>48</v>
      </c>
      <c r="B50" s="25" t="s">
        <v>323</v>
      </c>
      <c r="C50">
        <v>48</v>
      </c>
      <c r="D50" s="25" t="s">
        <v>446</v>
      </c>
    </row>
    <row r="51" spans="1:4" ht="17.25" thickBot="1" x14ac:dyDescent="0.25">
      <c r="A51">
        <v>49</v>
      </c>
      <c r="B51" s="25" t="s">
        <v>322</v>
      </c>
      <c r="C51">
        <v>49</v>
      </c>
      <c r="D51" s="25" t="s">
        <v>445</v>
      </c>
    </row>
    <row r="52" spans="1:4" ht="17.25" thickBot="1" x14ac:dyDescent="0.25">
      <c r="A52">
        <v>50</v>
      </c>
      <c r="B52" s="25" t="s">
        <v>321</v>
      </c>
      <c r="C52">
        <v>50</v>
      </c>
      <c r="D52" s="25" t="s">
        <v>444</v>
      </c>
    </row>
    <row r="53" spans="1:4" ht="17.25" thickBot="1" x14ac:dyDescent="0.25">
      <c r="A53">
        <v>51</v>
      </c>
      <c r="B53" s="25" t="s">
        <v>320</v>
      </c>
      <c r="C53">
        <v>51</v>
      </c>
      <c r="D53" s="25" t="s">
        <v>443</v>
      </c>
    </row>
    <row r="54" spans="1:4" ht="17.25" thickBot="1" x14ac:dyDescent="0.25">
      <c r="A54">
        <v>52</v>
      </c>
      <c r="B54" s="25" t="s">
        <v>319</v>
      </c>
      <c r="C54">
        <v>52</v>
      </c>
      <c r="D54" s="25" t="s">
        <v>442</v>
      </c>
    </row>
    <row r="55" spans="1:4" ht="17.25" thickBot="1" x14ac:dyDescent="0.25">
      <c r="A55">
        <v>53</v>
      </c>
      <c r="B55" s="25" t="s">
        <v>318</v>
      </c>
      <c r="C55">
        <v>53</v>
      </c>
      <c r="D55" s="25" t="s">
        <v>441</v>
      </c>
    </row>
    <row r="56" spans="1:4" ht="17.25" thickBot="1" x14ac:dyDescent="0.25">
      <c r="A56">
        <v>54</v>
      </c>
      <c r="B56" s="25" t="s">
        <v>317</v>
      </c>
      <c r="C56">
        <v>54</v>
      </c>
      <c r="D56" s="25" t="s">
        <v>440</v>
      </c>
    </row>
    <row r="57" spans="1:4" ht="17.25" thickBot="1" x14ac:dyDescent="0.25">
      <c r="A57">
        <v>55</v>
      </c>
      <c r="B57" s="25" t="s">
        <v>316</v>
      </c>
      <c r="C57">
        <v>55</v>
      </c>
      <c r="D57" s="25" t="s">
        <v>439</v>
      </c>
    </row>
    <row r="58" spans="1:4" ht="17.25" thickBot="1" x14ac:dyDescent="0.25">
      <c r="A58">
        <v>56</v>
      </c>
      <c r="B58" s="25" t="s">
        <v>315</v>
      </c>
      <c r="C58">
        <v>56</v>
      </c>
      <c r="D58" s="25" t="s">
        <v>438</v>
      </c>
    </row>
    <row r="59" spans="1:4" ht="17.25" thickBot="1" x14ac:dyDescent="0.25">
      <c r="A59">
        <v>57</v>
      </c>
      <c r="B59" s="25" t="s">
        <v>314</v>
      </c>
      <c r="C59">
        <v>57</v>
      </c>
      <c r="D59" s="25" t="s">
        <v>437</v>
      </c>
    </row>
    <row r="60" spans="1:4" ht="17.25" thickBot="1" x14ac:dyDescent="0.25">
      <c r="A60">
        <v>58</v>
      </c>
      <c r="B60" s="25" t="s">
        <v>313</v>
      </c>
      <c r="C60">
        <v>58</v>
      </c>
      <c r="D60" s="25" t="s">
        <v>436</v>
      </c>
    </row>
    <row r="61" spans="1:4" ht="17.25" thickBot="1" x14ac:dyDescent="0.25">
      <c r="A61">
        <v>59</v>
      </c>
      <c r="B61" s="25" t="s">
        <v>312</v>
      </c>
      <c r="C61">
        <v>59</v>
      </c>
      <c r="D61" s="25" t="s">
        <v>435</v>
      </c>
    </row>
    <row r="62" spans="1:4" ht="17.25" thickBot="1" x14ac:dyDescent="0.25">
      <c r="A62">
        <v>60</v>
      </c>
      <c r="B62" s="25" t="s">
        <v>311</v>
      </c>
      <c r="C62">
        <v>60</v>
      </c>
      <c r="D62" s="25" t="s">
        <v>434</v>
      </c>
    </row>
    <row r="63" spans="1:4" ht="17.25" thickBot="1" x14ac:dyDescent="0.25">
      <c r="A63">
        <v>61</v>
      </c>
      <c r="B63" s="25" t="s">
        <v>310</v>
      </c>
      <c r="C63">
        <v>61</v>
      </c>
      <c r="D63" s="25" t="s">
        <v>433</v>
      </c>
    </row>
    <row r="64" spans="1:4" ht="17.25" thickBot="1" x14ac:dyDescent="0.25">
      <c r="A64">
        <v>62</v>
      </c>
      <c r="B64" s="25" t="s">
        <v>309</v>
      </c>
      <c r="C64">
        <v>62</v>
      </c>
      <c r="D64" s="25" t="s">
        <v>432</v>
      </c>
    </row>
    <row r="65" spans="1:4" ht="17.25" thickBot="1" x14ac:dyDescent="0.25">
      <c r="A65">
        <v>63</v>
      </c>
      <c r="B65" s="25" t="s">
        <v>308</v>
      </c>
      <c r="C65">
        <v>63</v>
      </c>
      <c r="D65" s="25" t="s">
        <v>431</v>
      </c>
    </row>
    <row r="66" spans="1:4" ht="17.25" thickBot="1" x14ac:dyDescent="0.25">
      <c r="A66">
        <v>64</v>
      </c>
      <c r="B66" s="25" t="s">
        <v>306</v>
      </c>
      <c r="C66">
        <v>64</v>
      </c>
      <c r="D66" s="25" t="s">
        <v>430</v>
      </c>
    </row>
    <row r="67" spans="1:4" ht="17.25" thickBot="1" x14ac:dyDescent="0.25">
      <c r="A67">
        <v>65</v>
      </c>
      <c r="B67" s="25" t="s">
        <v>307</v>
      </c>
      <c r="C67">
        <v>65</v>
      </c>
      <c r="D67" s="25" t="s">
        <v>429</v>
      </c>
    </row>
    <row r="68" spans="1:4" ht="33.75" thickBot="1" x14ac:dyDescent="0.25">
      <c r="A68">
        <v>66</v>
      </c>
      <c r="B68" s="25" t="s">
        <v>305</v>
      </c>
      <c r="C68">
        <v>66</v>
      </c>
      <c r="D68" s="25" t="s">
        <v>428</v>
      </c>
    </row>
    <row r="69" spans="1:4" ht="17.25" thickBot="1" x14ac:dyDescent="0.25">
      <c r="A69">
        <v>67</v>
      </c>
      <c r="B69" s="25" t="s">
        <v>304</v>
      </c>
      <c r="C69">
        <v>67</v>
      </c>
      <c r="D69" s="25" t="s">
        <v>427</v>
      </c>
    </row>
    <row r="70" spans="1:4" ht="17.25" thickBot="1" x14ac:dyDescent="0.25">
      <c r="A70">
        <v>68</v>
      </c>
      <c r="B70" s="25" t="s">
        <v>303</v>
      </c>
      <c r="C70">
        <v>68</v>
      </c>
      <c r="D70" s="25" t="s">
        <v>426</v>
      </c>
    </row>
    <row r="71" spans="1:4" ht="17.25" thickBot="1" x14ac:dyDescent="0.25">
      <c r="A71">
        <v>69</v>
      </c>
      <c r="B71" s="25" t="s">
        <v>302</v>
      </c>
      <c r="C71">
        <v>69</v>
      </c>
      <c r="D71" s="25" t="s">
        <v>425</v>
      </c>
    </row>
    <row r="72" spans="1:4" ht="17.25" thickBot="1" x14ac:dyDescent="0.25">
      <c r="A72">
        <v>70</v>
      </c>
      <c r="B72" s="25" t="s">
        <v>301</v>
      </c>
      <c r="C72">
        <v>70</v>
      </c>
      <c r="D72" s="25" t="s">
        <v>424</v>
      </c>
    </row>
    <row r="73" spans="1:4" ht="17.25" thickBot="1" x14ac:dyDescent="0.25">
      <c r="A73">
        <v>71</v>
      </c>
      <c r="B73" s="25" t="s">
        <v>300</v>
      </c>
      <c r="C73">
        <v>71</v>
      </c>
      <c r="D73" s="25" t="s">
        <v>423</v>
      </c>
    </row>
    <row r="74" spans="1:4" ht="17.25" thickBot="1" x14ac:dyDescent="0.25">
      <c r="A74">
        <v>72</v>
      </c>
      <c r="B74" s="25" t="s">
        <v>299</v>
      </c>
      <c r="C74">
        <v>72</v>
      </c>
      <c r="D74" s="25" t="s">
        <v>422</v>
      </c>
    </row>
    <row r="75" spans="1:4" ht="17.25" thickBot="1" x14ac:dyDescent="0.25">
      <c r="A75">
        <v>73</v>
      </c>
      <c r="B75" s="25" t="s">
        <v>298</v>
      </c>
      <c r="C75">
        <v>73</v>
      </c>
      <c r="D75" s="25" t="s">
        <v>421</v>
      </c>
    </row>
    <row r="76" spans="1:4" ht="17.25" thickBot="1" x14ac:dyDescent="0.25">
      <c r="A76">
        <v>74</v>
      </c>
      <c r="B76" s="25" t="s">
        <v>297</v>
      </c>
      <c r="C76">
        <v>74</v>
      </c>
      <c r="D76" s="25" t="s">
        <v>420</v>
      </c>
    </row>
    <row r="77" spans="1:4" ht="17.25" thickBot="1" x14ac:dyDescent="0.25">
      <c r="A77">
        <v>75</v>
      </c>
      <c r="B77" s="25" t="s">
        <v>296</v>
      </c>
      <c r="C77">
        <v>75</v>
      </c>
      <c r="D77" s="25" t="s">
        <v>419</v>
      </c>
    </row>
    <row r="78" spans="1:4" ht="17.25" thickBot="1" x14ac:dyDescent="0.25">
      <c r="A78">
        <v>76</v>
      </c>
      <c r="B78" s="25" t="s">
        <v>295</v>
      </c>
      <c r="C78">
        <v>76</v>
      </c>
      <c r="D78" s="25" t="s">
        <v>418</v>
      </c>
    </row>
    <row r="79" spans="1:4" ht="17.25" thickBot="1" x14ac:dyDescent="0.25">
      <c r="A79">
        <v>77</v>
      </c>
      <c r="B79" s="25" t="s">
        <v>294</v>
      </c>
      <c r="C79">
        <v>77</v>
      </c>
      <c r="D79" s="25" t="s">
        <v>417</v>
      </c>
    </row>
    <row r="80" spans="1:4" ht="17.25" thickBot="1" x14ac:dyDescent="0.25">
      <c r="A80">
        <v>78</v>
      </c>
      <c r="B80" s="25" t="s">
        <v>293</v>
      </c>
      <c r="C80">
        <v>78</v>
      </c>
      <c r="D80" s="25" t="s">
        <v>416</v>
      </c>
    </row>
    <row r="81" spans="1:4" ht="17.25" thickBot="1" x14ac:dyDescent="0.25">
      <c r="A81">
        <v>79</v>
      </c>
      <c r="B81" s="25" t="s">
        <v>292</v>
      </c>
      <c r="C81">
        <v>79</v>
      </c>
      <c r="D81" s="25" t="s">
        <v>415</v>
      </c>
    </row>
    <row r="82" spans="1:4" ht="17.25" thickBot="1" x14ac:dyDescent="0.25">
      <c r="A82">
        <v>80</v>
      </c>
      <c r="B82" s="25" t="s">
        <v>291</v>
      </c>
      <c r="C82">
        <v>80</v>
      </c>
      <c r="D82" s="25" t="s">
        <v>414</v>
      </c>
    </row>
    <row r="83" spans="1:4" ht="17.25" thickBot="1" x14ac:dyDescent="0.25">
      <c r="A83">
        <v>81</v>
      </c>
      <c r="B83" s="25" t="s">
        <v>290</v>
      </c>
      <c r="C83">
        <v>81</v>
      </c>
      <c r="D83" s="25" t="s">
        <v>413</v>
      </c>
    </row>
    <row r="84" spans="1:4" ht="17.25" thickBot="1" x14ac:dyDescent="0.25">
      <c r="A84">
        <v>82</v>
      </c>
      <c r="B84" s="25" t="s">
        <v>289</v>
      </c>
      <c r="C84">
        <v>82</v>
      </c>
      <c r="D84" s="25" t="s">
        <v>412</v>
      </c>
    </row>
    <row r="85" spans="1:4" ht="33.75" thickBot="1" x14ac:dyDescent="0.25">
      <c r="A85">
        <v>83</v>
      </c>
      <c r="B85" s="25" t="s">
        <v>288</v>
      </c>
      <c r="C85">
        <v>83</v>
      </c>
      <c r="D85" s="25" t="s">
        <v>411</v>
      </c>
    </row>
    <row r="86" spans="1:4" ht="17.25" thickBot="1" x14ac:dyDescent="0.25">
      <c r="A86">
        <v>84</v>
      </c>
      <c r="B86" s="25" t="s">
        <v>287</v>
      </c>
      <c r="C86">
        <v>84</v>
      </c>
      <c r="D86" s="25" t="s">
        <v>410</v>
      </c>
    </row>
    <row r="87" spans="1:4" ht="17.25" thickBot="1" x14ac:dyDescent="0.25">
      <c r="A87">
        <v>85</v>
      </c>
      <c r="B87" s="25" t="s">
        <v>286</v>
      </c>
      <c r="C87">
        <v>85</v>
      </c>
      <c r="D87" s="25" t="s">
        <v>409</v>
      </c>
    </row>
    <row r="88" spans="1:4" ht="17.25" thickBot="1" x14ac:dyDescent="0.25">
      <c r="A88">
        <v>86</v>
      </c>
      <c r="B88" s="25" t="s">
        <v>285</v>
      </c>
      <c r="C88">
        <v>86</v>
      </c>
      <c r="D88" s="25" t="s">
        <v>408</v>
      </c>
    </row>
    <row r="89" spans="1:4" ht="17.25" thickBot="1" x14ac:dyDescent="0.25">
      <c r="A89">
        <v>87</v>
      </c>
      <c r="B89" s="25" t="s">
        <v>284</v>
      </c>
      <c r="C89">
        <v>87</v>
      </c>
      <c r="D89" s="25" t="s">
        <v>407</v>
      </c>
    </row>
    <row r="90" spans="1:4" ht="17.25" thickBot="1" x14ac:dyDescent="0.25">
      <c r="A90">
        <v>88</v>
      </c>
      <c r="B90" s="25" t="s">
        <v>283</v>
      </c>
      <c r="C90">
        <v>88</v>
      </c>
      <c r="D90" s="25" t="s">
        <v>406</v>
      </c>
    </row>
    <row r="91" spans="1:4" ht="17.25" thickBot="1" x14ac:dyDescent="0.25">
      <c r="A91">
        <v>89</v>
      </c>
      <c r="B91" s="25" t="s">
        <v>282</v>
      </c>
      <c r="C91">
        <v>89</v>
      </c>
      <c r="D91" s="25" t="s">
        <v>405</v>
      </c>
    </row>
    <row r="92" spans="1:4" ht="17.25" thickBot="1" x14ac:dyDescent="0.25">
      <c r="A92">
        <v>90</v>
      </c>
      <c r="B92" s="25" t="s">
        <v>281</v>
      </c>
      <c r="C92">
        <v>90</v>
      </c>
      <c r="D92" s="25" t="s">
        <v>404</v>
      </c>
    </row>
    <row r="93" spans="1:4" ht="17.25" thickBot="1" x14ac:dyDescent="0.25">
      <c r="A93">
        <v>91</v>
      </c>
      <c r="B93" s="25" t="s">
        <v>280</v>
      </c>
      <c r="C93">
        <v>91</v>
      </c>
      <c r="D93" s="25" t="s">
        <v>403</v>
      </c>
    </row>
    <row r="94" spans="1:4" ht="17.25" thickBot="1" x14ac:dyDescent="0.25">
      <c r="A94">
        <v>92</v>
      </c>
      <c r="B94" s="25" t="s">
        <v>279</v>
      </c>
      <c r="C94">
        <v>92</v>
      </c>
      <c r="D94" s="25" t="s">
        <v>402</v>
      </c>
    </row>
    <row r="95" spans="1:4" ht="17.25" thickBot="1" x14ac:dyDescent="0.25">
      <c r="A95">
        <v>93</v>
      </c>
      <c r="B95" s="25" t="s">
        <v>278</v>
      </c>
      <c r="C95">
        <v>93</v>
      </c>
      <c r="D95" s="25" t="s">
        <v>401</v>
      </c>
    </row>
    <row r="96" spans="1:4" ht="17.25" thickBot="1" x14ac:dyDescent="0.25">
      <c r="A96">
        <v>94</v>
      </c>
      <c r="B96" s="25" t="s">
        <v>277</v>
      </c>
      <c r="C96">
        <v>94</v>
      </c>
      <c r="D96" s="25" t="s">
        <v>400</v>
      </c>
    </row>
    <row r="97" spans="1:4" ht="17.25" thickBot="1" x14ac:dyDescent="0.25">
      <c r="A97">
        <v>95</v>
      </c>
      <c r="B97" s="25" t="s">
        <v>276</v>
      </c>
      <c r="C97">
        <v>95</v>
      </c>
      <c r="D97" s="25" t="s">
        <v>399</v>
      </c>
    </row>
    <row r="98" spans="1:4" ht="17.25" thickBot="1" x14ac:dyDescent="0.25">
      <c r="A98">
        <v>96</v>
      </c>
      <c r="B98" s="25" t="s">
        <v>275</v>
      </c>
      <c r="C98">
        <v>96</v>
      </c>
      <c r="D98" s="25" t="s">
        <v>398</v>
      </c>
    </row>
    <row r="99" spans="1:4" ht="17.25" thickBot="1" x14ac:dyDescent="0.25">
      <c r="A99">
        <v>97</v>
      </c>
      <c r="B99" s="25" t="s">
        <v>274</v>
      </c>
      <c r="C99">
        <v>97</v>
      </c>
      <c r="D99" s="25" t="s">
        <v>397</v>
      </c>
    </row>
    <row r="100" spans="1:4" ht="17.25" thickBot="1" x14ac:dyDescent="0.25">
      <c r="A100">
        <v>98</v>
      </c>
      <c r="B100" s="25" t="s">
        <v>273</v>
      </c>
      <c r="C100">
        <v>98</v>
      </c>
      <c r="D100" s="25" t="s">
        <v>396</v>
      </c>
    </row>
    <row r="101" spans="1:4" ht="17.25" thickBot="1" x14ac:dyDescent="0.25">
      <c r="A101">
        <v>99</v>
      </c>
      <c r="B101" s="25" t="s">
        <v>272</v>
      </c>
      <c r="C101">
        <v>99</v>
      </c>
      <c r="D101" s="25" t="s">
        <v>395</v>
      </c>
    </row>
    <row r="102" spans="1:4" ht="17.25" thickBot="1" x14ac:dyDescent="0.25">
      <c r="A102">
        <v>100</v>
      </c>
      <c r="B102" s="25" t="s">
        <v>271</v>
      </c>
      <c r="C102">
        <v>100</v>
      </c>
      <c r="D102" s="25" t="s">
        <v>394</v>
      </c>
    </row>
    <row r="103" spans="1:4" ht="50.25" thickBot="1" x14ac:dyDescent="0.25">
      <c r="B103" s="25" t="s">
        <v>241</v>
      </c>
      <c r="D103" s="26"/>
    </row>
    <row r="104" spans="1:4" ht="17.25" thickBot="1" x14ac:dyDescent="0.25">
      <c r="B104" s="25" t="s">
        <v>242</v>
      </c>
      <c r="D104" s="26"/>
    </row>
  </sheetData>
  <customSheetViews>
    <customSheetView guid="{111A6EAC-FF6E-44AB-B5F5-6EDFAC2B64B3}" state="hidden">
      <selection activeCell="B33" sqref="B33"/>
      <pageMargins left="0.7" right="0.7" top="0.75" bottom="0.75" header="0.3" footer="0.3"/>
      <pageSetup paperSize="9" orientation="portrait" r:id="rId1"/>
    </customSheetView>
  </customSheetViews>
  <phoneticPr fontId="2"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39"/>
  <sheetViews>
    <sheetView zoomScaleNormal="100" workbookViewId="0">
      <selection activeCell="C7" sqref="C7"/>
    </sheetView>
  </sheetViews>
  <sheetFormatPr defaultRowHeight="14.25" x14ac:dyDescent="0.2"/>
  <cols>
    <col min="1" max="1" width="3.875" style="39" customWidth="1"/>
    <col min="2" max="2" width="19.75" style="38" customWidth="1"/>
    <col min="3" max="3" width="9" style="37"/>
    <col min="4" max="4" width="12.75" style="37" customWidth="1"/>
    <col min="5" max="5" width="24.375" style="37" customWidth="1"/>
    <col min="6" max="6" width="11.25" style="37" customWidth="1"/>
    <col min="7" max="7" width="12.25" style="33" customWidth="1"/>
    <col min="8" max="8" width="10" style="33" bestFit="1" customWidth="1"/>
    <col min="9" max="9" width="50" style="33" customWidth="1"/>
    <col min="10" max="10" width="27.125" style="33" customWidth="1"/>
    <col min="11" max="11" width="3.125" style="33" customWidth="1"/>
    <col min="12" max="14" width="9" style="33"/>
    <col min="15" max="15" width="24" style="33" customWidth="1"/>
    <col min="16" max="16" width="11.125" customWidth="1"/>
    <col min="20" max="20" width="22.125" customWidth="1"/>
    <col min="21" max="21" width="11" customWidth="1"/>
  </cols>
  <sheetData>
    <row r="1" spans="1:21" ht="14.25" customHeight="1" x14ac:dyDescent="0.2">
      <c r="A1" s="899" t="s">
        <v>1515</v>
      </c>
      <c r="B1" s="900"/>
      <c r="C1" s="900"/>
      <c r="D1" s="900"/>
      <c r="E1" s="900"/>
      <c r="F1" s="901"/>
      <c r="G1" s="925" t="s">
        <v>1656</v>
      </c>
      <c r="H1" s="925"/>
      <c r="I1" s="926"/>
      <c r="J1" s="926"/>
      <c r="K1" s="927"/>
      <c r="L1" s="921" t="s">
        <v>1523</v>
      </c>
      <c r="M1" s="922"/>
      <c r="N1" s="922"/>
      <c r="O1" s="922"/>
      <c r="P1" s="922"/>
      <c r="Q1" s="923" t="s">
        <v>1524</v>
      </c>
      <c r="R1" s="923"/>
      <c r="S1" s="923"/>
      <c r="T1" s="923"/>
      <c r="U1" s="923"/>
    </row>
    <row r="2" spans="1:21" ht="14.25" customHeight="1" x14ac:dyDescent="0.2">
      <c r="A2" s="905" t="s">
        <v>251</v>
      </c>
      <c r="B2" s="915" t="s">
        <v>1657</v>
      </c>
      <c r="C2" s="916"/>
      <c r="D2" s="916"/>
      <c r="E2" s="916"/>
      <c r="F2" s="247">
        <v>43586</v>
      </c>
      <c r="G2" s="928" t="s">
        <v>1492</v>
      </c>
      <c r="H2" s="929"/>
      <c r="I2" s="202" t="s">
        <v>1496</v>
      </c>
      <c r="J2" s="235" t="s">
        <v>1033</v>
      </c>
      <c r="K2" s="902" t="s">
        <v>1479</v>
      </c>
      <c r="L2" s="910" t="s">
        <v>1518</v>
      </c>
      <c r="M2" s="910"/>
      <c r="N2" s="910"/>
      <c r="O2" s="910"/>
      <c r="P2" s="201">
        <v>43343</v>
      </c>
      <c r="Q2" s="910" t="s">
        <v>1423</v>
      </c>
      <c r="R2" s="910" t="s">
        <v>1067</v>
      </c>
      <c r="S2" s="910"/>
      <c r="T2" s="910"/>
      <c r="U2" s="201">
        <v>43040</v>
      </c>
    </row>
    <row r="3" spans="1:21" ht="179.25" customHeight="1" x14ac:dyDescent="0.2">
      <c r="A3" s="905"/>
      <c r="B3" s="913" t="s">
        <v>1655</v>
      </c>
      <c r="C3" s="914"/>
      <c r="D3" s="914"/>
      <c r="E3" s="914"/>
      <c r="F3" s="914"/>
      <c r="G3" s="924" t="s">
        <v>1541</v>
      </c>
      <c r="H3" s="924"/>
      <c r="I3" s="236" t="s">
        <v>1520</v>
      </c>
      <c r="J3" s="236" t="s">
        <v>1494</v>
      </c>
      <c r="K3" s="903"/>
      <c r="L3" s="907" t="s">
        <v>1526</v>
      </c>
      <c r="M3" s="908"/>
      <c r="N3" s="908"/>
      <c r="O3" s="908"/>
      <c r="P3" s="909"/>
      <c r="Q3" s="930" t="s">
        <v>1390</v>
      </c>
      <c r="R3" s="931"/>
      <c r="S3" s="931"/>
      <c r="T3" s="931"/>
      <c r="U3" s="932"/>
    </row>
    <row r="4" spans="1:21" ht="14.25" customHeight="1" x14ac:dyDescent="0.2">
      <c r="A4" s="905"/>
      <c r="B4" s="915" t="s">
        <v>1658</v>
      </c>
      <c r="C4" s="916"/>
      <c r="D4" s="916"/>
      <c r="E4" s="916"/>
      <c r="F4" s="247">
        <v>43528</v>
      </c>
      <c r="G4" s="255"/>
      <c r="H4" s="254"/>
      <c r="I4" s="264" t="s">
        <v>1519</v>
      </c>
      <c r="J4" s="263" t="s">
        <v>1490</v>
      </c>
      <c r="K4" s="903"/>
      <c r="L4" s="910" t="s">
        <v>1488</v>
      </c>
      <c r="M4" s="910"/>
      <c r="N4" s="910"/>
      <c r="O4" s="910"/>
      <c r="P4" s="201">
        <v>43309</v>
      </c>
      <c r="Q4" s="910" t="s">
        <v>1070</v>
      </c>
      <c r="R4" s="910"/>
      <c r="S4" s="910"/>
      <c r="T4" s="910"/>
      <c r="U4" s="201">
        <v>42949</v>
      </c>
    </row>
    <row r="5" spans="1:21" ht="86.25" customHeight="1" x14ac:dyDescent="0.2">
      <c r="A5" s="906"/>
      <c r="B5" s="933" t="s">
        <v>1527</v>
      </c>
      <c r="C5" s="933"/>
      <c r="D5" s="933"/>
      <c r="E5" s="933"/>
      <c r="F5" s="933"/>
      <c r="G5" s="440"/>
      <c r="H5" s="265"/>
      <c r="I5" s="266" t="s">
        <v>1493</v>
      </c>
      <c r="J5" s="203" t="s">
        <v>1495</v>
      </c>
      <c r="K5" s="903"/>
      <c r="L5" s="938" t="s">
        <v>1497</v>
      </c>
      <c r="M5" s="925"/>
      <c r="N5" s="925"/>
      <c r="O5" s="925"/>
      <c r="P5" s="939"/>
      <c r="Q5" s="930" t="s">
        <v>1389</v>
      </c>
      <c r="R5" s="935"/>
      <c r="S5" s="935"/>
      <c r="T5" s="935"/>
      <c r="U5" s="936"/>
    </row>
    <row r="6" spans="1:21" ht="14.25" customHeight="1" x14ac:dyDescent="0.2">
      <c r="A6" s="906"/>
      <c r="B6" s="933"/>
      <c r="C6" s="933"/>
      <c r="D6" s="933"/>
      <c r="E6" s="933"/>
      <c r="F6" s="933"/>
      <c r="G6" s="441"/>
      <c r="H6" s="233"/>
      <c r="I6" s="264" t="s">
        <v>1491</v>
      </c>
      <c r="J6" s="263" t="s">
        <v>1490</v>
      </c>
      <c r="K6" s="903"/>
      <c r="L6" s="910" t="s">
        <v>1486</v>
      </c>
      <c r="M6" s="910"/>
      <c r="N6" s="910"/>
      <c r="O6" s="910"/>
      <c r="P6" s="201">
        <v>43281</v>
      </c>
      <c r="Q6" s="910" t="s">
        <v>482</v>
      </c>
      <c r="R6" s="910"/>
      <c r="S6" s="910"/>
      <c r="T6" s="910"/>
      <c r="U6" s="201">
        <v>42948</v>
      </c>
    </row>
    <row r="7" spans="1:21" ht="214.5" customHeight="1" x14ac:dyDescent="0.2">
      <c r="A7" s="905"/>
      <c r="B7" s="442"/>
      <c r="C7" s="443"/>
      <c r="D7" s="443"/>
      <c r="E7" s="443"/>
      <c r="F7" s="443"/>
      <c r="G7" s="248"/>
      <c r="H7" s="233"/>
      <c r="I7" s="917" t="s">
        <v>1499</v>
      </c>
      <c r="J7" s="918" t="s">
        <v>1498</v>
      </c>
      <c r="K7" s="903"/>
      <c r="L7" s="934" t="s">
        <v>1517</v>
      </c>
      <c r="M7" s="934"/>
      <c r="N7" s="934"/>
      <c r="O7" s="934"/>
      <c r="P7" s="934"/>
      <c r="Q7" s="930" t="s">
        <v>458</v>
      </c>
      <c r="R7" s="935"/>
      <c r="S7" s="935"/>
      <c r="T7" s="935"/>
      <c r="U7" s="936"/>
    </row>
    <row r="8" spans="1:21" ht="14.25" customHeight="1" x14ac:dyDescent="0.2">
      <c r="A8" s="905"/>
      <c r="B8" s="256"/>
      <c r="C8" s="242"/>
      <c r="D8" s="242"/>
      <c r="E8" s="242"/>
      <c r="F8" s="242"/>
      <c r="G8" s="248"/>
      <c r="H8" s="233"/>
      <c r="I8" s="917"/>
      <c r="J8" s="919"/>
      <c r="K8" s="903"/>
      <c r="L8" s="910" t="s">
        <v>1465</v>
      </c>
      <c r="M8" s="910"/>
      <c r="N8" s="910"/>
      <c r="O8" s="910"/>
      <c r="P8" s="201">
        <v>43248</v>
      </c>
      <c r="Q8" s="910" t="s">
        <v>1069</v>
      </c>
      <c r="R8" s="910"/>
      <c r="S8" s="910"/>
      <c r="T8" s="910"/>
      <c r="U8" s="910"/>
    </row>
    <row r="9" spans="1:21" ht="205.5" customHeight="1" x14ac:dyDescent="0.2">
      <c r="A9" s="905"/>
      <c r="B9" s="256"/>
      <c r="C9" s="242"/>
      <c r="D9" s="242"/>
      <c r="E9" s="242"/>
      <c r="F9" s="242"/>
      <c r="G9" s="248"/>
      <c r="H9" s="233"/>
      <c r="I9" s="917"/>
      <c r="J9" s="919"/>
      <c r="K9" s="903"/>
      <c r="L9" s="911" t="s">
        <v>1467</v>
      </c>
      <c r="M9" s="912"/>
      <c r="N9" s="912"/>
      <c r="O9" s="912"/>
      <c r="P9" s="912"/>
      <c r="Q9" s="930" t="s">
        <v>232</v>
      </c>
      <c r="R9" s="935"/>
      <c r="S9" s="935"/>
      <c r="T9" s="935"/>
      <c r="U9" s="936"/>
    </row>
    <row r="10" spans="1:21" x14ac:dyDescent="0.2">
      <c r="A10" s="905"/>
      <c r="B10" s="256"/>
      <c r="C10" s="242"/>
      <c r="D10" s="242"/>
      <c r="E10" s="242"/>
      <c r="F10" s="242"/>
      <c r="G10" s="245"/>
      <c r="H10" s="234"/>
      <c r="I10" s="917"/>
      <c r="J10" s="919"/>
      <c r="K10" s="903"/>
      <c r="L10" s="910" t="s">
        <v>1454</v>
      </c>
      <c r="M10" s="910"/>
      <c r="N10" s="910"/>
      <c r="O10" s="910"/>
      <c r="P10" s="201">
        <v>43218</v>
      </c>
      <c r="Q10" s="910" t="s">
        <v>1068</v>
      </c>
      <c r="R10" s="910"/>
      <c r="S10" s="910"/>
      <c r="T10" s="910"/>
      <c r="U10" s="910"/>
    </row>
    <row r="11" spans="1:21" ht="70.5" customHeight="1" x14ac:dyDescent="0.2">
      <c r="A11" s="905"/>
      <c r="B11" s="256"/>
      <c r="C11" s="242"/>
      <c r="D11" s="242"/>
      <c r="E11" s="242"/>
      <c r="F11" s="242"/>
      <c r="G11" s="245"/>
      <c r="H11" s="234"/>
      <c r="I11" s="917"/>
      <c r="J11" s="919"/>
      <c r="K11" s="903"/>
      <c r="L11" s="937" t="s">
        <v>1453</v>
      </c>
      <c r="M11" s="935"/>
      <c r="N11" s="935"/>
      <c r="O11" s="935"/>
      <c r="P11" s="936"/>
      <c r="Q11" s="934" t="s">
        <v>1525</v>
      </c>
      <c r="R11" s="934"/>
      <c r="S11" s="934"/>
      <c r="T11" s="934"/>
      <c r="U11" s="934"/>
    </row>
    <row r="12" spans="1:21" ht="14.25" customHeight="1" x14ac:dyDescent="0.2">
      <c r="A12" s="905"/>
      <c r="B12" s="256"/>
      <c r="C12" s="242"/>
      <c r="D12" s="242"/>
      <c r="E12" s="242"/>
      <c r="F12" s="242"/>
      <c r="G12" s="245"/>
      <c r="H12" s="234"/>
      <c r="I12" s="917"/>
      <c r="J12" s="919"/>
      <c r="K12" s="903"/>
      <c r="L12" s="910" t="s">
        <v>1420</v>
      </c>
      <c r="M12" s="910"/>
      <c r="N12" s="910"/>
      <c r="O12" s="910"/>
      <c r="P12" s="201">
        <v>43187</v>
      </c>
      <c r="Q12" s="910" t="s">
        <v>481</v>
      </c>
      <c r="R12" s="910"/>
      <c r="S12" s="910"/>
      <c r="T12" s="910"/>
      <c r="U12" s="910"/>
    </row>
    <row r="13" spans="1:21" ht="192.75" customHeight="1" x14ac:dyDescent="0.2">
      <c r="A13" s="905"/>
      <c r="B13" s="256"/>
      <c r="C13" s="242"/>
      <c r="D13" s="242"/>
      <c r="E13" s="242"/>
      <c r="F13" s="242"/>
      <c r="G13" s="245"/>
      <c r="H13" s="234"/>
      <c r="I13" s="917"/>
      <c r="J13" s="919"/>
      <c r="K13" s="903"/>
      <c r="L13" s="911" t="s">
        <v>1462</v>
      </c>
      <c r="M13" s="912"/>
      <c r="N13" s="912"/>
      <c r="O13" s="912"/>
      <c r="P13" s="912"/>
      <c r="Q13" s="911" t="s">
        <v>1277</v>
      </c>
      <c r="R13" s="911"/>
      <c r="S13" s="911"/>
      <c r="T13" s="911"/>
      <c r="U13" s="911"/>
    </row>
    <row r="14" spans="1:21" ht="18" customHeight="1" x14ac:dyDescent="0.2">
      <c r="A14" s="905"/>
      <c r="B14" s="256"/>
      <c r="C14" s="242"/>
      <c r="D14" s="242"/>
      <c r="E14" s="242"/>
      <c r="F14" s="242"/>
      <c r="G14" s="245"/>
      <c r="H14" s="234"/>
      <c r="I14" s="917"/>
      <c r="J14" s="919"/>
      <c r="K14" s="903"/>
      <c r="L14" s="910" t="s">
        <v>1416</v>
      </c>
      <c r="M14" s="910"/>
      <c r="N14" s="910"/>
      <c r="O14" s="910"/>
      <c r="P14" s="201">
        <v>43164</v>
      </c>
    </row>
    <row r="15" spans="1:21" s="143" customFormat="1" ht="69.75" customHeight="1" x14ac:dyDescent="0.2">
      <c r="A15" s="905"/>
      <c r="B15" s="257"/>
      <c r="C15" s="249"/>
      <c r="D15" s="249"/>
      <c r="E15" s="249"/>
      <c r="F15" s="249"/>
      <c r="G15" s="250"/>
      <c r="H15" s="258"/>
      <c r="I15" s="917"/>
      <c r="J15" s="919"/>
      <c r="K15" s="903"/>
      <c r="L15" s="911" t="s">
        <v>1417</v>
      </c>
      <c r="M15" s="912"/>
      <c r="N15" s="912"/>
      <c r="O15" s="912"/>
      <c r="P15" s="912"/>
    </row>
    <row r="16" spans="1:21" ht="18" customHeight="1" x14ac:dyDescent="0.2">
      <c r="A16" s="905"/>
      <c r="B16" s="256"/>
      <c r="C16" s="242"/>
      <c r="D16" s="242"/>
      <c r="E16" s="242"/>
      <c r="F16" s="242"/>
      <c r="G16" s="251"/>
      <c r="H16" s="259"/>
      <c r="I16" s="917"/>
      <c r="J16" s="919"/>
      <c r="K16" s="903"/>
      <c r="L16" s="910" t="s">
        <v>1415</v>
      </c>
      <c r="M16" s="910"/>
      <c r="N16" s="910"/>
      <c r="O16" s="910"/>
      <c r="P16" s="201">
        <v>43153</v>
      </c>
    </row>
    <row r="17" spans="1:16" ht="98.25" customHeight="1" x14ac:dyDescent="0.2">
      <c r="A17" s="905"/>
      <c r="B17" s="256"/>
      <c r="C17" s="242"/>
      <c r="D17" s="242"/>
      <c r="E17" s="242"/>
      <c r="F17" s="242"/>
      <c r="G17" s="252"/>
      <c r="H17" s="260"/>
      <c r="I17" s="917"/>
      <c r="J17" s="919"/>
      <c r="K17" s="903"/>
      <c r="L17" s="911" t="s">
        <v>1516</v>
      </c>
      <c r="M17" s="912"/>
      <c r="N17" s="912"/>
      <c r="O17" s="912"/>
      <c r="P17" s="912"/>
    </row>
    <row r="18" spans="1:16" ht="18" customHeight="1" x14ac:dyDescent="0.2">
      <c r="A18" s="905"/>
      <c r="B18" s="256"/>
      <c r="C18" s="242"/>
      <c r="D18" s="242"/>
      <c r="E18" s="242"/>
      <c r="F18" s="242"/>
      <c r="G18" s="251"/>
      <c r="H18" s="261"/>
      <c r="I18" s="917"/>
      <c r="J18" s="919"/>
      <c r="K18" s="903"/>
    </row>
    <row r="19" spans="1:16" s="23" customFormat="1" ht="375.75" customHeight="1" x14ac:dyDescent="0.2">
      <c r="A19" s="905"/>
      <c r="B19" s="246"/>
      <c r="C19" s="88"/>
      <c r="D19" s="88"/>
      <c r="E19" s="88"/>
      <c r="F19" s="88"/>
      <c r="G19" s="253"/>
      <c r="H19" s="262"/>
      <c r="I19" s="917"/>
      <c r="J19" s="919"/>
      <c r="K19" s="903"/>
    </row>
    <row r="20" spans="1:16" ht="15.75" customHeight="1" x14ac:dyDescent="0.2">
      <c r="A20" s="905"/>
      <c r="B20" s="256"/>
      <c r="C20" s="242"/>
      <c r="D20" s="242"/>
      <c r="E20" s="242"/>
      <c r="F20" s="242"/>
      <c r="G20" s="240"/>
      <c r="H20" s="239"/>
      <c r="I20" s="917"/>
      <c r="J20" s="919"/>
      <c r="K20" s="903"/>
    </row>
    <row r="21" spans="1:16" ht="60" customHeight="1" x14ac:dyDescent="0.2">
      <c r="A21" s="905"/>
      <c r="B21" s="256"/>
      <c r="C21" s="242"/>
      <c r="D21" s="242"/>
      <c r="E21" s="242"/>
      <c r="F21" s="242"/>
      <c r="G21" s="240"/>
      <c r="H21" s="239"/>
      <c r="I21" s="917"/>
      <c r="J21" s="919"/>
      <c r="K21" s="903"/>
    </row>
    <row r="22" spans="1:16" ht="13.5" customHeight="1" x14ac:dyDescent="0.2">
      <c r="A22" s="905"/>
      <c r="B22" s="256"/>
      <c r="C22" s="242"/>
      <c r="D22" s="242"/>
      <c r="E22" s="242"/>
      <c r="F22" s="242"/>
      <c r="G22" s="240"/>
      <c r="H22" s="239"/>
      <c r="I22" s="917"/>
      <c r="J22" s="919"/>
      <c r="K22" s="903"/>
    </row>
    <row r="23" spans="1:16" ht="124.5" customHeight="1" x14ac:dyDescent="0.2">
      <c r="A23" s="905"/>
      <c r="B23" s="256"/>
      <c r="C23" s="242"/>
      <c r="D23" s="242"/>
      <c r="E23" s="242"/>
      <c r="F23" s="242"/>
      <c r="G23" s="240"/>
      <c r="H23" s="239"/>
      <c r="I23" s="917"/>
      <c r="J23" s="919"/>
      <c r="K23" s="903"/>
    </row>
    <row r="24" spans="1:16" ht="13.5" customHeight="1" x14ac:dyDescent="0.2">
      <c r="A24" s="905"/>
      <c r="B24" s="256"/>
      <c r="C24" s="242"/>
      <c r="D24" s="242"/>
      <c r="E24" s="242"/>
      <c r="F24" s="242"/>
      <c r="G24" s="240"/>
      <c r="H24" s="239"/>
      <c r="I24" s="917"/>
      <c r="J24" s="919"/>
      <c r="K24" s="903"/>
    </row>
    <row r="25" spans="1:16" ht="109.5" customHeight="1" x14ac:dyDescent="0.2">
      <c r="A25" s="905"/>
      <c r="B25" s="256"/>
      <c r="C25" s="242"/>
      <c r="D25" s="242"/>
      <c r="E25" s="242"/>
      <c r="F25" s="242"/>
      <c r="G25" s="240"/>
      <c r="H25" s="239"/>
      <c r="I25" s="917"/>
      <c r="J25" s="919"/>
      <c r="K25" s="903"/>
    </row>
    <row r="26" spans="1:16" ht="13.5" customHeight="1" x14ac:dyDescent="0.2">
      <c r="A26" s="905"/>
      <c r="B26" s="256"/>
      <c r="C26" s="242"/>
      <c r="D26" s="242"/>
      <c r="E26" s="242"/>
      <c r="F26" s="242"/>
      <c r="G26" s="240"/>
      <c r="H26" s="239"/>
      <c r="I26" s="917"/>
      <c r="J26" s="919"/>
      <c r="K26" s="903"/>
    </row>
    <row r="27" spans="1:16" ht="68.25" customHeight="1" x14ac:dyDescent="0.2">
      <c r="A27" s="905"/>
      <c r="B27" s="256"/>
      <c r="C27" s="242"/>
      <c r="D27" s="242"/>
      <c r="E27" s="242"/>
      <c r="F27" s="242"/>
      <c r="G27" s="240"/>
      <c r="H27" s="239"/>
      <c r="I27" s="917"/>
      <c r="J27" s="919"/>
      <c r="K27" s="903"/>
    </row>
    <row r="28" spans="1:16" ht="26.25" customHeight="1" x14ac:dyDescent="0.2">
      <c r="A28" s="905"/>
      <c r="B28" s="256"/>
      <c r="C28" s="241"/>
      <c r="D28" s="242"/>
      <c r="E28" s="243"/>
      <c r="G28" s="244"/>
      <c r="H28" s="61"/>
      <c r="I28" s="917"/>
      <c r="J28" s="919"/>
      <c r="K28" s="903"/>
    </row>
    <row r="29" spans="1:16" ht="69" customHeight="1" x14ac:dyDescent="0.2">
      <c r="A29" s="905"/>
      <c r="B29" s="256"/>
      <c r="D29" s="242"/>
      <c r="E29" s="243"/>
      <c r="F29" s="238"/>
      <c r="G29" s="245"/>
      <c r="H29" s="92"/>
      <c r="I29" s="917"/>
      <c r="J29" s="920"/>
      <c r="K29" s="904"/>
    </row>
    <row r="30" spans="1:16" x14ac:dyDescent="0.2">
      <c r="H30"/>
      <c r="I30"/>
      <c r="J30"/>
      <c r="K30"/>
      <c r="L30"/>
      <c r="M30"/>
      <c r="N30"/>
      <c r="O30"/>
    </row>
    <row r="31" spans="1:16" x14ac:dyDescent="0.2">
      <c r="H31"/>
      <c r="I31"/>
      <c r="J31"/>
      <c r="K31"/>
      <c r="L31"/>
      <c r="M31"/>
      <c r="N31"/>
      <c r="O31"/>
    </row>
    <row r="32" spans="1:16" x14ac:dyDescent="0.2">
      <c r="B32" s="125"/>
      <c r="C32" s="126"/>
      <c r="D32" s="126"/>
      <c r="E32" s="126"/>
      <c r="F32" s="126"/>
      <c r="H32"/>
      <c r="I32"/>
      <c r="J32"/>
      <c r="K32"/>
      <c r="L32"/>
      <c r="M32"/>
      <c r="N32"/>
      <c r="O32"/>
    </row>
    <row r="33" spans="8:15" x14ac:dyDescent="0.2">
      <c r="H33"/>
      <c r="I33"/>
      <c r="J33"/>
      <c r="K33"/>
      <c r="L33"/>
      <c r="M33"/>
      <c r="N33"/>
      <c r="O33"/>
    </row>
    <row r="34" spans="8:15" x14ac:dyDescent="0.2">
      <c r="H34"/>
      <c r="I34"/>
      <c r="J34"/>
      <c r="K34"/>
      <c r="L34"/>
      <c r="M34"/>
      <c r="N34"/>
      <c r="O34"/>
    </row>
    <row r="35" spans="8:15" x14ac:dyDescent="0.2">
      <c r="H35"/>
      <c r="I35"/>
      <c r="J35"/>
      <c r="K35"/>
      <c r="L35"/>
      <c r="M35"/>
      <c r="N35"/>
      <c r="O35"/>
    </row>
    <row r="36" spans="8:15" x14ac:dyDescent="0.2">
      <c r="H36"/>
      <c r="I36"/>
      <c r="J36"/>
      <c r="K36"/>
      <c r="L36"/>
      <c r="M36"/>
      <c r="N36"/>
      <c r="O36"/>
    </row>
    <row r="37" spans="8:15" x14ac:dyDescent="0.2">
      <c r="H37"/>
      <c r="I37"/>
      <c r="J37"/>
      <c r="K37"/>
      <c r="L37"/>
      <c r="M37"/>
      <c r="N37"/>
      <c r="O37"/>
    </row>
    <row r="38" spans="8:15" x14ac:dyDescent="0.2">
      <c r="H38"/>
      <c r="I38"/>
      <c r="J38"/>
      <c r="K38"/>
      <c r="L38"/>
      <c r="M38"/>
      <c r="N38"/>
      <c r="O38"/>
    </row>
    <row r="39" spans="8:15" x14ac:dyDescent="0.2">
      <c r="H39"/>
      <c r="I39"/>
      <c r="J39"/>
      <c r="K39"/>
      <c r="L39"/>
      <c r="M39"/>
      <c r="N39"/>
      <c r="O39"/>
    </row>
    <row r="40" spans="8:15" x14ac:dyDescent="0.2">
      <c r="H40"/>
      <c r="I40"/>
      <c r="J40"/>
      <c r="K40"/>
      <c r="L40"/>
      <c r="M40"/>
      <c r="N40"/>
      <c r="O40"/>
    </row>
    <row r="41" spans="8:15" x14ac:dyDescent="0.2">
      <c r="H41"/>
      <c r="I41"/>
      <c r="J41"/>
      <c r="K41"/>
      <c r="L41"/>
      <c r="M41"/>
      <c r="N41"/>
      <c r="O41"/>
    </row>
    <row r="42" spans="8:15" x14ac:dyDescent="0.2">
      <c r="H42"/>
      <c r="I42"/>
      <c r="J42"/>
      <c r="K42"/>
      <c r="L42"/>
      <c r="M42"/>
      <c r="N42"/>
      <c r="O42"/>
    </row>
    <row r="43" spans="8:15" x14ac:dyDescent="0.2">
      <c r="H43"/>
      <c r="I43"/>
      <c r="J43"/>
      <c r="K43"/>
      <c r="L43"/>
      <c r="M43"/>
      <c r="N43"/>
      <c r="O43"/>
    </row>
    <row r="44" spans="8:15" x14ac:dyDescent="0.2">
      <c r="H44"/>
      <c r="I44"/>
      <c r="J44"/>
      <c r="K44"/>
      <c r="L44"/>
      <c r="M44"/>
      <c r="N44"/>
      <c r="O44"/>
    </row>
    <row r="45" spans="8:15" x14ac:dyDescent="0.2">
      <c r="H45"/>
      <c r="I45"/>
      <c r="J45"/>
      <c r="K45"/>
      <c r="L45"/>
      <c r="M45"/>
      <c r="N45"/>
      <c r="O45"/>
    </row>
    <row r="46" spans="8:15" x14ac:dyDescent="0.2">
      <c r="H46"/>
      <c r="I46"/>
      <c r="J46"/>
      <c r="K46"/>
      <c r="L46"/>
      <c r="M46"/>
      <c r="N46"/>
      <c r="O46"/>
    </row>
    <row r="47" spans="8:15" x14ac:dyDescent="0.2">
      <c r="H47"/>
      <c r="I47"/>
      <c r="J47"/>
      <c r="K47"/>
      <c r="L47"/>
      <c r="M47"/>
      <c r="N47"/>
      <c r="O47"/>
    </row>
    <row r="48" spans="8:15" x14ac:dyDescent="0.2">
      <c r="H48"/>
      <c r="I48"/>
      <c r="J48"/>
      <c r="K48"/>
      <c r="L48"/>
      <c r="M48"/>
      <c r="N48"/>
      <c r="O48"/>
    </row>
    <row r="49" spans="8:15" x14ac:dyDescent="0.2">
      <c r="H49"/>
      <c r="I49"/>
      <c r="J49"/>
      <c r="K49"/>
      <c r="L49"/>
      <c r="M49"/>
      <c r="N49"/>
      <c r="O49"/>
    </row>
    <row r="50" spans="8:15" x14ac:dyDescent="0.2">
      <c r="H50"/>
      <c r="I50"/>
      <c r="J50"/>
      <c r="K50"/>
      <c r="L50"/>
      <c r="M50"/>
      <c r="N50"/>
      <c r="O50"/>
    </row>
    <row r="51" spans="8:15" x14ac:dyDescent="0.2">
      <c r="H51"/>
      <c r="I51"/>
      <c r="J51"/>
      <c r="K51"/>
      <c r="L51"/>
      <c r="M51"/>
      <c r="N51"/>
      <c r="O51"/>
    </row>
    <row r="52" spans="8:15" x14ac:dyDescent="0.2">
      <c r="H52"/>
      <c r="I52"/>
      <c r="J52"/>
      <c r="K52"/>
      <c r="L52"/>
      <c r="M52"/>
      <c r="N52"/>
      <c r="O52"/>
    </row>
    <row r="53" spans="8:15" x14ac:dyDescent="0.2">
      <c r="H53"/>
      <c r="I53"/>
      <c r="J53"/>
      <c r="K53"/>
      <c r="L53"/>
      <c r="M53"/>
      <c r="N53"/>
      <c r="O53"/>
    </row>
    <row r="54" spans="8:15" x14ac:dyDescent="0.2">
      <c r="H54"/>
      <c r="I54"/>
      <c r="J54"/>
      <c r="K54"/>
      <c r="L54"/>
      <c r="M54"/>
      <c r="N54"/>
      <c r="O54"/>
    </row>
    <row r="55" spans="8:15" x14ac:dyDescent="0.2">
      <c r="H55"/>
      <c r="I55"/>
      <c r="J55"/>
      <c r="K55"/>
      <c r="L55"/>
      <c r="M55"/>
      <c r="N55"/>
      <c r="O55"/>
    </row>
    <row r="56" spans="8:15" x14ac:dyDescent="0.2">
      <c r="H56"/>
      <c r="I56"/>
      <c r="J56"/>
      <c r="K56"/>
      <c r="L56"/>
      <c r="M56"/>
      <c r="N56"/>
      <c r="O56"/>
    </row>
    <row r="57" spans="8:15" x14ac:dyDescent="0.2">
      <c r="H57"/>
      <c r="I57"/>
      <c r="J57"/>
      <c r="K57"/>
      <c r="L57"/>
      <c r="M57"/>
      <c r="N57"/>
      <c r="O57"/>
    </row>
    <row r="58" spans="8:15" x14ac:dyDescent="0.2">
      <c r="H58"/>
      <c r="I58"/>
      <c r="J58"/>
      <c r="K58"/>
      <c r="L58"/>
      <c r="M58"/>
      <c r="N58"/>
      <c r="O58"/>
    </row>
    <row r="59" spans="8:15" x14ac:dyDescent="0.2">
      <c r="H59"/>
      <c r="I59"/>
      <c r="J59"/>
      <c r="K59"/>
      <c r="L59"/>
      <c r="M59"/>
      <c r="N59"/>
      <c r="O59"/>
    </row>
    <row r="60" spans="8:15" x14ac:dyDescent="0.2">
      <c r="H60"/>
      <c r="I60"/>
      <c r="J60"/>
      <c r="K60"/>
      <c r="L60"/>
      <c r="M60"/>
      <c r="N60"/>
      <c r="O60"/>
    </row>
    <row r="61" spans="8:15" x14ac:dyDescent="0.2">
      <c r="H61"/>
      <c r="I61"/>
      <c r="J61"/>
      <c r="K61"/>
      <c r="L61"/>
      <c r="M61"/>
      <c r="N61"/>
      <c r="O61"/>
    </row>
    <row r="62" spans="8:15" x14ac:dyDescent="0.2">
      <c r="H62"/>
      <c r="I62"/>
      <c r="J62"/>
      <c r="K62"/>
      <c r="L62"/>
      <c r="M62"/>
      <c r="N62"/>
      <c r="O62"/>
    </row>
    <row r="63" spans="8:15" x14ac:dyDescent="0.2">
      <c r="H63"/>
      <c r="I63"/>
      <c r="J63"/>
      <c r="K63"/>
      <c r="L63"/>
      <c r="M63"/>
      <c r="N63"/>
      <c r="O63"/>
    </row>
    <row r="64" spans="8:15" x14ac:dyDescent="0.2">
      <c r="H64"/>
      <c r="I64"/>
      <c r="J64"/>
      <c r="K64"/>
      <c r="L64"/>
      <c r="M64"/>
      <c r="N64"/>
      <c r="O64"/>
    </row>
    <row r="65" spans="8:15" x14ac:dyDescent="0.2">
      <c r="H65"/>
      <c r="I65"/>
      <c r="J65"/>
      <c r="K65"/>
      <c r="L65"/>
      <c r="M65"/>
      <c r="N65"/>
      <c r="O65"/>
    </row>
    <row r="66" spans="8:15" x14ac:dyDescent="0.2">
      <c r="H66"/>
      <c r="I66"/>
      <c r="J66"/>
      <c r="K66"/>
      <c r="L66"/>
      <c r="M66"/>
      <c r="N66"/>
      <c r="O66"/>
    </row>
    <row r="67" spans="8:15" x14ac:dyDescent="0.2">
      <c r="H67"/>
      <c r="I67"/>
      <c r="J67"/>
      <c r="K67"/>
      <c r="L67"/>
      <c r="M67"/>
      <c r="N67"/>
      <c r="O67"/>
    </row>
    <row r="68" spans="8:15" x14ac:dyDescent="0.2">
      <c r="H68"/>
      <c r="I68"/>
      <c r="J68"/>
      <c r="K68"/>
      <c r="L68"/>
      <c r="M68"/>
      <c r="N68"/>
      <c r="O68"/>
    </row>
    <row r="69" spans="8:15" x14ac:dyDescent="0.2">
      <c r="H69"/>
      <c r="I69"/>
      <c r="J69"/>
      <c r="K69"/>
      <c r="L69"/>
      <c r="M69"/>
      <c r="N69"/>
      <c r="O69"/>
    </row>
    <row r="70" spans="8:15" x14ac:dyDescent="0.2">
      <c r="H70"/>
      <c r="I70"/>
      <c r="J70"/>
      <c r="K70"/>
      <c r="L70"/>
      <c r="M70"/>
      <c r="N70"/>
      <c r="O70"/>
    </row>
    <row r="71" spans="8:15" x14ac:dyDescent="0.2">
      <c r="H71"/>
      <c r="I71"/>
      <c r="J71"/>
      <c r="K71"/>
      <c r="L71"/>
      <c r="M71"/>
      <c r="N71"/>
      <c r="O71"/>
    </row>
    <row r="72" spans="8:15" x14ac:dyDescent="0.2">
      <c r="H72"/>
      <c r="I72"/>
      <c r="J72"/>
      <c r="K72"/>
      <c r="L72"/>
      <c r="M72"/>
      <c r="N72"/>
      <c r="O72"/>
    </row>
    <row r="73" spans="8:15" x14ac:dyDescent="0.2">
      <c r="H73"/>
      <c r="I73"/>
      <c r="J73"/>
      <c r="K73"/>
      <c r="L73"/>
      <c r="M73"/>
      <c r="N73"/>
      <c r="O73"/>
    </row>
    <row r="74" spans="8:15" x14ac:dyDescent="0.2">
      <c r="H74"/>
      <c r="I74"/>
      <c r="J74"/>
      <c r="K74"/>
      <c r="L74"/>
      <c r="M74"/>
      <c r="N74"/>
      <c r="O74"/>
    </row>
    <row r="75" spans="8:15" x14ac:dyDescent="0.2">
      <c r="H75"/>
      <c r="I75"/>
      <c r="J75"/>
      <c r="K75"/>
      <c r="L75"/>
      <c r="M75"/>
      <c r="N75"/>
      <c r="O75"/>
    </row>
    <row r="76" spans="8:15" x14ac:dyDescent="0.2">
      <c r="H76"/>
      <c r="I76"/>
      <c r="J76"/>
      <c r="K76"/>
      <c r="L76"/>
      <c r="M76"/>
      <c r="N76"/>
      <c r="O76"/>
    </row>
    <row r="77" spans="8:15" x14ac:dyDescent="0.2">
      <c r="H77"/>
      <c r="I77"/>
      <c r="J77"/>
      <c r="K77"/>
      <c r="L77"/>
      <c r="M77"/>
      <c r="N77"/>
      <c r="O77"/>
    </row>
    <row r="78" spans="8:15" x14ac:dyDescent="0.2">
      <c r="H78"/>
      <c r="I78"/>
      <c r="J78"/>
      <c r="K78"/>
      <c r="L78"/>
      <c r="M78"/>
      <c r="N78"/>
      <c r="O78"/>
    </row>
    <row r="79" spans="8:15" x14ac:dyDescent="0.2">
      <c r="H79"/>
      <c r="I79"/>
      <c r="J79"/>
      <c r="K79"/>
      <c r="L79"/>
      <c r="M79"/>
      <c r="N79"/>
      <c r="O79"/>
    </row>
    <row r="80" spans="8:15" x14ac:dyDescent="0.2">
      <c r="H80"/>
      <c r="I80"/>
      <c r="J80"/>
      <c r="K80"/>
      <c r="L80"/>
      <c r="M80"/>
      <c r="N80"/>
      <c r="O80"/>
    </row>
    <row r="81" spans="8:15" x14ac:dyDescent="0.2">
      <c r="H81"/>
      <c r="I81"/>
      <c r="J81"/>
      <c r="K81"/>
      <c r="L81"/>
      <c r="M81"/>
      <c r="N81"/>
      <c r="O81"/>
    </row>
    <row r="82" spans="8:15" x14ac:dyDescent="0.2">
      <c r="H82"/>
      <c r="I82"/>
      <c r="J82"/>
      <c r="K82"/>
      <c r="L82"/>
      <c r="M82"/>
      <c r="N82"/>
      <c r="O82"/>
    </row>
    <row r="83" spans="8:15" x14ac:dyDescent="0.2">
      <c r="H83"/>
      <c r="I83"/>
      <c r="J83"/>
      <c r="K83"/>
      <c r="L83"/>
      <c r="M83"/>
      <c r="N83"/>
      <c r="O83"/>
    </row>
    <row r="84" spans="8:15" x14ac:dyDescent="0.2">
      <c r="H84"/>
      <c r="I84"/>
      <c r="J84"/>
      <c r="K84"/>
      <c r="L84"/>
      <c r="M84"/>
      <c r="N84"/>
      <c r="O84"/>
    </row>
    <row r="85" spans="8:15" x14ac:dyDescent="0.2">
      <c r="H85"/>
      <c r="I85"/>
      <c r="J85"/>
      <c r="K85"/>
      <c r="L85"/>
      <c r="M85"/>
      <c r="N85"/>
      <c r="O85"/>
    </row>
    <row r="86" spans="8:15" x14ac:dyDescent="0.2">
      <c r="H86"/>
      <c r="I86"/>
      <c r="J86"/>
      <c r="K86"/>
      <c r="L86"/>
      <c r="M86"/>
      <c r="N86"/>
      <c r="O86"/>
    </row>
    <row r="87" spans="8:15" x14ac:dyDescent="0.2">
      <c r="H87"/>
      <c r="I87"/>
      <c r="J87"/>
      <c r="K87"/>
      <c r="L87"/>
      <c r="M87"/>
      <c r="N87"/>
      <c r="O87"/>
    </row>
    <row r="88" spans="8:15" x14ac:dyDescent="0.2">
      <c r="H88"/>
      <c r="I88"/>
      <c r="J88"/>
      <c r="K88"/>
      <c r="L88"/>
      <c r="M88"/>
      <c r="N88"/>
      <c r="O88"/>
    </row>
    <row r="89" spans="8:15" x14ac:dyDescent="0.2">
      <c r="H89"/>
      <c r="I89"/>
      <c r="J89"/>
      <c r="K89"/>
      <c r="L89"/>
      <c r="M89"/>
      <c r="N89"/>
      <c r="O89"/>
    </row>
    <row r="90" spans="8:15" x14ac:dyDescent="0.2">
      <c r="H90"/>
      <c r="I90"/>
      <c r="J90"/>
      <c r="K90"/>
      <c r="L90"/>
      <c r="M90"/>
      <c r="N90"/>
      <c r="O90"/>
    </row>
    <row r="91" spans="8:15" x14ac:dyDescent="0.2">
      <c r="H91"/>
      <c r="I91"/>
      <c r="J91"/>
      <c r="K91"/>
      <c r="L91"/>
      <c r="M91"/>
      <c r="N91"/>
      <c r="O91"/>
    </row>
    <row r="92" spans="8:15" x14ac:dyDescent="0.2">
      <c r="H92"/>
      <c r="I92"/>
      <c r="J92"/>
      <c r="K92"/>
      <c r="L92"/>
      <c r="M92"/>
      <c r="N92"/>
      <c r="O92"/>
    </row>
    <row r="93" spans="8:15" x14ac:dyDescent="0.2">
      <c r="H93"/>
      <c r="I93"/>
      <c r="J93"/>
      <c r="K93"/>
      <c r="L93"/>
      <c r="M93"/>
      <c r="N93"/>
      <c r="O93"/>
    </row>
    <row r="94" spans="8:15" x14ac:dyDescent="0.2">
      <c r="H94"/>
      <c r="I94"/>
      <c r="J94"/>
      <c r="K94"/>
      <c r="L94"/>
      <c r="M94"/>
      <c r="N94"/>
      <c r="O94"/>
    </row>
    <row r="95" spans="8:15" x14ac:dyDescent="0.2">
      <c r="H95"/>
      <c r="I95"/>
      <c r="J95"/>
      <c r="K95"/>
      <c r="L95"/>
      <c r="M95"/>
      <c r="N95"/>
      <c r="O95"/>
    </row>
    <row r="96" spans="8:15" x14ac:dyDescent="0.2">
      <c r="H96"/>
      <c r="I96"/>
      <c r="J96"/>
      <c r="K96"/>
      <c r="L96"/>
      <c r="M96"/>
      <c r="N96"/>
      <c r="O96"/>
    </row>
    <row r="97" spans="8:15" x14ac:dyDescent="0.2">
      <c r="H97"/>
      <c r="I97"/>
      <c r="J97"/>
      <c r="K97"/>
      <c r="L97"/>
      <c r="M97"/>
      <c r="N97"/>
      <c r="O97"/>
    </row>
    <row r="98" spans="8:15" x14ac:dyDescent="0.2">
      <c r="H98"/>
      <c r="I98"/>
      <c r="J98"/>
      <c r="K98"/>
      <c r="L98"/>
      <c r="M98"/>
      <c r="N98"/>
      <c r="O98"/>
    </row>
    <row r="99" spans="8:15" x14ac:dyDescent="0.2">
      <c r="H99"/>
      <c r="I99"/>
      <c r="J99"/>
      <c r="K99"/>
      <c r="L99"/>
      <c r="M99"/>
      <c r="N99"/>
      <c r="O99"/>
    </row>
    <row r="100" spans="8:15" x14ac:dyDescent="0.2">
      <c r="H100"/>
      <c r="I100"/>
      <c r="J100"/>
      <c r="K100"/>
      <c r="L100"/>
      <c r="M100"/>
      <c r="N100"/>
      <c r="O100"/>
    </row>
    <row r="101" spans="8:15" x14ac:dyDescent="0.2">
      <c r="H101"/>
      <c r="I101"/>
      <c r="J101"/>
      <c r="K101"/>
      <c r="L101"/>
      <c r="M101"/>
      <c r="N101"/>
      <c r="O101"/>
    </row>
    <row r="102" spans="8:15" x14ac:dyDescent="0.2">
      <c r="H102"/>
      <c r="I102"/>
      <c r="J102"/>
      <c r="K102"/>
      <c r="L102"/>
      <c r="M102"/>
      <c r="N102"/>
      <c r="O102"/>
    </row>
    <row r="103" spans="8:15" x14ac:dyDescent="0.2">
      <c r="H103"/>
      <c r="I103"/>
      <c r="J103"/>
      <c r="K103"/>
      <c r="L103"/>
      <c r="M103"/>
      <c r="N103"/>
      <c r="O103"/>
    </row>
    <row r="104" spans="8:15" x14ac:dyDescent="0.2">
      <c r="H104"/>
      <c r="I104"/>
      <c r="J104"/>
      <c r="K104"/>
      <c r="L104"/>
      <c r="M104"/>
      <c r="N104"/>
      <c r="O104"/>
    </row>
    <row r="105" spans="8:15" x14ac:dyDescent="0.2">
      <c r="H105"/>
      <c r="I105"/>
      <c r="J105"/>
      <c r="K105"/>
      <c r="L105"/>
      <c r="M105"/>
      <c r="N105"/>
      <c r="O105"/>
    </row>
    <row r="106" spans="8:15" x14ac:dyDescent="0.2">
      <c r="H106"/>
      <c r="I106"/>
      <c r="J106"/>
      <c r="K106"/>
      <c r="L106"/>
      <c r="M106"/>
      <c r="N106"/>
      <c r="O106"/>
    </row>
    <row r="107" spans="8:15" x14ac:dyDescent="0.2">
      <c r="H107"/>
      <c r="I107"/>
      <c r="J107"/>
      <c r="K107"/>
      <c r="L107"/>
      <c r="M107"/>
      <c r="N107"/>
      <c r="O107"/>
    </row>
    <row r="108" spans="8:15" x14ac:dyDescent="0.2">
      <c r="H108"/>
      <c r="I108"/>
      <c r="J108"/>
      <c r="K108"/>
      <c r="L108"/>
      <c r="M108"/>
      <c r="N108"/>
      <c r="O108"/>
    </row>
    <row r="109" spans="8:15" x14ac:dyDescent="0.2">
      <c r="H109"/>
      <c r="I109"/>
      <c r="J109"/>
      <c r="K109"/>
      <c r="L109"/>
      <c r="M109"/>
      <c r="N109"/>
      <c r="O109"/>
    </row>
    <row r="110" spans="8:15" x14ac:dyDescent="0.2">
      <c r="H110"/>
      <c r="I110"/>
      <c r="J110"/>
      <c r="K110"/>
      <c r="L110"/>
      <c r="M110"/>
      <c r="N110"/>
      <c r="O110"/>
    </row>
    <row r="111" spans="8:15" x14ac:dyDescent="0.2">
      <c r="H111"/>
      <c r="I111"/>
      <c r="J111"/>
      <c r="K111"/>
      <c r="L111"/>
      <c r="M111"/>
      <c r="N111"/>
      <c r="O111"/>
    </row>
    <row r="112" spans="8:15" x14ac:dyDescent="0.2">
      <c r="H112"/>
      <c r="I112"/>
      <c r="J112"/>
      <c r="K112"/>
      <c r="L112"/>
      <c r="M112"/>
      <c r="N112"/>
      <c r="O112"/>
    </row>
    <row r="113" spans="8:15" x14ac:dyDescent="0.2">
      <c r="H113"/>
      <c r="I113"/>
      <c r="J113"/>
      <c r="K113"/>
      <c r="L113"/>
      <c r="M113"/>
      <c r="N113"/>
      <c r="O113"/>
    </row>
    <row r="114" spans="8:15" x14ac:dyDescent="0.2">
      <c r="H114"/>
      <c r="I114"/>
      <c r="J114"/>
      <c r="K114"/>
      <c r="L114"/>
      <c r="M114"/>
      <c r="N114"/>
      <c r="O114"/>
    </row>
    <row r="115" spans="8:15" x14ac:dyDescent="0.2">
      <c r="H115"/>
      <c r="I115"/>
      <c r="J115"/>
      <c r="K115"/>
      <c r="L115"/>
      <c r="M115"/>
      <c r="N115"/>
      <c r="O115"/>
    </row>
    <row r="116" spans="8:15" x14ac:dyDescent="0.2">
      <c r="H116"/>
      <c r="I116"/>
      <c r="J116"/>
      <c r="K116"/>
      <c r="L116"/>
      <c r="M116"/>
      <c r="N116"/>
      <c r="O116"/>
    </row>
    <row r="117" spans="8:15" x14ac:dyDescent="0.2">
      <c r="H117"/>
      <c r="I117"/>
      <c r="J117"/>
      <c r="K117"/>
      <c r="L117"/>
      <c r="M117"/>
      <c r="N117"/>
      <c r="O117"/>
    </row>
    <row r="118" spans="8:15" x14ac:dyDescent="0.2">
      <c r="H118"/>
      <c r="I118"/>
      <c r="J118"/>
      <c r="K118"/>
      <c r="L118"/>
      <c r="M118"/>
      <c r="N118"/>
      <c r="O118"/>
    </row>
    <row r="119" spans="8:15" x14ac:dyDescent="0.2">
      <c r="H119"/>
      <c r="I119"/>
      <c r="J119"/>
      <c r="K119"/>
      <c r="L119"/>
      <c r="M119"/>
      <c r="N119"/>
      <c r="O119"/>
    </row>
    <row r="120" spans="8:15" x14ac:dyDescent="0.2">
      <c r="H120"/>
      <c r="I120"/>
      <c r="J120"/>
      <c r="K120"/>
      <c r="L120"/>
      <c r="M120"/>
      <c r="N120"/>
      <c r="O120"/>
    </row>
    <row r="121" spans="8:15" x14ac:dyDescent="0.2">
      <c r="H121"/>
      <c r="I121"/>
      <c r="J121"/>
      <c r="K121"/>
      <c r="L121"/>
      <c r="M121"/>
      <c r="N121"/>
      <c r="O121"/>
    </row>
    <row r="122" spans="8:15" x14ac:dyDescent="0.2">
      <c r="H122"/>
      <c r="I122"/>
      <c r="J122"/>
      <c r="K122"/>
      <c r="L122"/>
      <c r="M122"/>
      <c r="N122"/>
      <c r="O122"/>
    </row>
    <row r="123" spans="8:15" x14ac:dyDescent="0.2">
      <c r="H123"/>
      <c r="I123"/>
      <c r="J123"/>
      <c r="K123"/>
      <c r="L123"/>
      <c r="M123"/>
      <c r="N123"/>
      <c r="O123"/>
    </row>
    <row r="124" spans="8:15" x14ac:dyDescent="0.2">
      <c r="H124"/>
      <c r="I124"/>
      <c r="J124"/>
      <c r="K124"/>
      <c r="L124"/>
      <c r="M124"/>
      <c r="N124"/>
      <c r="O124"/>
    </row>
    <row r="125" spans="8:15" x14ac:dyDescent="0.2">
      <c r="H125"/>
      <c r="I125"/>
      <c r="J125"/>
      <c r="K125"/>
      <c r="L125"/>
      <c r="M125"/>
      <c r="N125"/>
      <c r="O125"/>
    </row>
    <row r="126" spans="8:15" x14ac:dyDescent="0.2">
      <c r="H126"/>
      <c r="I126"/>
      <c r="J126"/>
      <c r="K126"/>
      <c r="L126"/>
      <c r="M126"/>
      <c r="N126"/>
      <c r="O126"/>
    </row>
    <row r="127" spans="8:15" x14ac:dyDescent="0.2">
      <c r="H127"/>
      <c r="I127"/>
      <c r="J127"/>
      <c r="K127"/>
      <c r="L127"/>
      <c r="M127"/>
      <c r="N127"/>
      <c r="O127"/>
    </row>
    <row r="128" spans="8:15" x14ac:dyDescent="0.2">
      <c r="H128"/>
      <c r="I128"/>
      <c r="J128"/>
      <c r="K128"/>
      <c r="L128"/>
      <c r="M128"/>
      <c r="N128"/>
      <c r="O128"/>
    </row>
    <row r="129" spans="8:15" x14ac:dyDescent="0.2">
      <c r="H129"/>
      <c r="I129"/>
      <c r="J129"/>
      <c r="K129"/>
      <c r="L129"/>
      <c r="M129"/>
      <c r="N129"/>
      <c r="O129"/>
    </row>
    <row r="130" spans="8:15" x14ac:dyDescent="0.2">
      <c r="H130"/>
      <c r="I130"/>
      <c r="J130"/>
      <c r="K130"/>
      <c r="L130"/>
      <c r="M130"/>
      <c r="N130"/>
      <c r="O130"/>
    </row>
    <row r="131" spans="8:15" x14ac:dyDescent="0.2">
      <c r="H131"/>
      <c r="I131"/>
      <c r="J131"/>
      <c r="K131"/>
      <c r="L131"/>
      <c r="M131"/>
      <c r="N131"/>
      <c r="O131"/>
    </row>
    <row r="132" spans="8:15" x14ac:dyDescent="0.2">
      <c r="H132"/>
      <c r="I132"/>
      <c r="J132"/>
      <c r="K132"/>
      <c r="L132"/>
      <c r="M132"/>
      <c r="N132"/>
      <c r="O132"/>
    </row>
    <row r="133" spans="8:15" x14ac:dyDescent="0.2">
      <c r="H133"/>
      <c r="I133"/>
      <c r="J133"/>
      <c r="K133"/>
      <c r="L133"/>
      <c r="M133"/>
      <c r="N133"/>
      <c r="O133"/>
    </row>
    <row r="134" spans="8:15" x14ac:dyDescent="0.2">
      <c r="H134"/>
      <c r="I134"/>
      <c r="J134"/>
      <c r="K134"/>
      <c r="L134"/>
      <c r="M134"/>
      <c r="N134"/>
      <c r="O134"/>
    </row>
    <row r="135" spans="8:15" x14ac:dyDescent="0.2">
      <c r="H135"/>
      <c r="I135"/>
      <c r="J135"/>
      <c r="K135"/>
      <c r="L135"/>
      <c r="M135"/>
      <c r="N135"/>
      <c r="O135"/>
    </row>
    <row r="136" spans="8:15" x14ac:dyDescent="0.2">
      <c r="H136"/>
      <c r="I136"/>
      <c r="J136"/>
      <c r="K136"/>
      <c r="L136"/>
      <c r="M136"/>
      <c r="N136"/>
      <c r="O136"/>
    </row>
    <row r="137" spans="8:15" x14ac:dyDescent="0.2">
      <c r="H137"/>
      <c r="I137"/>
      <c r="J137"/>
      <c r="K137"/>
      <c r="L137"/>
      <c r="M137"/>
      <c r="N137"/>
      <c r="O137"/>
    </row>
    <row r="138" spans="8:15" x14ac:dyDescent="0.2">
      <c r="H138"/>
      <c r="I138"/>
      <c r="J138"/>
      <c r="K138"/>
      <c r="L138"/>
      <c r="M138"/>
      <c r="N138"/>
      <c r="O138"/>
    </row>
    <row r="139" spans="8:15" x14ac:dyDescent="0.2">
      <c r="H139"/>
      <c r="I139"/>
      <c r="J139"/>
      <c r="K139"/>
      <c r="L139"/>
      <c r="M139"/>
      <c r="N139"/>
      <c r="O139"/>
    </row>
  </sheetData>
  <sheetProtection formatCells="0" selectLockedCells="1"/>
  <customSheetViews>
    <customSheetView guid="{111A6EAC-FF6E-44AB-B5F5-6EDFAC2B64B3}">
      <selection activeCell="L3" sqref="L3"/>
      <pageMargins left="0.7" right="0.7" top="0.75" bottom="0.75" header="0.3" footer="0.3"/>
      <pageSetup paperSize="9" orientation="portrait" r:id="rId1"/>
    </customSheetView>
  </customSheetViews>
  <mergeCells count="42">
    <mergeCell ref="Q13:U13"/>
    <mergeCell ref="Q4:T4"/>
    <mergeCell ref="Q2:T2"/>
    <mergeCell ref="B4:E4"/>
    <mergeCell ref="B5:F6"/>
    <mergeCell ref="L12:O12"/>
    <mergeCell ref="Q12:U12"/>
    <mergeCell ref="Q11:U11"/>
    <mergeCell ref="Q9:U9"/>
    <mergeCell ref="Q7:U7"/>
    <mergeCell ref="Q5:U5"/>
    <mergeCell ref="Q10:U10"/>
    <mergeCell ref="L11:P11"/>
    <mergeCell ref="L9:P9"/>
    <mergeCell ref="L7:P7"/>
    <mergeCell ref="L5:P5"/>
    <mergeCell ref="L6:O6"/>
    <mergeCell ref="L8:O8"/>
    <mergeCell ref="Q8:U8"/>
    <mergeCell ref="Q6:T6"/>
    <mergeCell ref="Q3:U3"/>
    <mergeCell ref="L1:P1"/>
    <mergeCell ref="Q1:U1"/>
    <mergeCell ref="G3:H3"/>
    <mergeCell ref="G1:K1"/>
    <mergeCell ref="G2:H2"/>
    <mergeCell ref="A1:F1"/>
    <mergeCell ref="K2:K29"/>
    <mergeCell ref="A2:A29"/>
    <mergeCell ref="L3:P3"/>
    <mergeCell ref="L2:O2"/>
    <mergeCell ref="L15:P15"/>
    <mergeCell ref="L16:O16"/>
    <mergeCell ref="L17:P17"/>
    <mergeCell ref="L14:O14"/>
    <mergeCell ref="B3:F3"/>
    <mergeCell ref="B2:E2"/>
    <mergeCell ref="L10:O10"/>
    <mergeCell ref="L4:O4"/>
    <mergeCell ref="I7:I29"/>
    <mergeCell ref="J7:J29"/>
    <mergeCell ref="L13:P13"/>
  </mergeCells>
  <phoneticPr fontId="2" type="noConversion"/>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E122"/>
  <sheetViews>
    <sheetView topLeftCell="J1" zoomScale="115" zoomScaleNormal="115" workbookViewId="0">
      <selection activeCell="V3" sqref="V3"/>
    </sheetView>
  </sheetViews>
  <sheetFormatPr defaultRowHeight="14.25" x14ac:dyDescent="0.2"/>
  <cols>
    <col min="2" max="2" width="14" customWidth="1"/>
    <col min="3" max="3" width="10.625" customWidth="1"/>
    <col min="4" max="4" width="10.75" customWidth="1"/>
    <col min="5" max="5" width="12" customWidth="1"/>
    <col min="6" max="6" width="12.375" customWidth="1"/>
    <col min="7" max="7" width="12.75" customWidth="1"/>
    <col min="8" max="8" width="11.625" customWidth="1"/>
    <col min="10" max="10" width="11.5" customWidth="1"/>
    <col min="11" max="11" width="15.5" customWidth="1"/>
    <col min="12" max="12" width="8.5" customWidth="1"/>
    <col min="13" max="13" width="8.375" customWidth="1"/>
    <col min="14" max="14" width="7.5" customWidth="1"/>
    <col min="28" max="28" width="9" style="166"/>
  </cols>
  <sheetData>
    <row r="1" spans="1:31" x14ac:dyDescent="0.2">
      <c r="A1" s="60">
        <v>1</v>
      </c>
      <c r="B1" s="60" t="str">
        <f>职业及经历包!I3</f>
        <v>无</v>
      </c>
      <c r="C1" s="60" t="str">
        <f>职业及经历包!$I4</f>
        <v>无</v>
      </c>
      <c r="D1" s="60" t="str">
        <f>职业及经历包!$I5</f>
        <v>无</v>
      </c>
      <c r="E1" s="60" t="str">
        <f>职业及经历包!$I6</f>
        <v>无</v>
      </c>
      <c r="F1" s="60" t="str">
        <f>职业及经历包!$I7</f>
        <v>无</v>
      </c>
      <c r="G1" s="60" t="str">
        <f>职业及经历包!$I8</f>
        <v>无</v>
      </c>
      <c r="H1" s="60" t="str">
        <f>职业及经历包!$I9</f>
        <v>无</v>
      </c>
      <c r="I1" s="60" t="str">
        <f>职业及经历包!$I10</f>
        <v>无</v>
      </c>
      <c r="J1" s="60" t="s">
        <v>599</v>
      </c>
      <c r="K1" s="60">
        <v>0</v>
      </c>
      <c r="L1" s="60">
        <v>0</v>
      </c>
      <c r="M1" s="60">
        <v>0</v>
      </c>
      <c r="N1" s="60">
        <v>0</v>
      </c>
      <c r="O1" s="60">
        <v>0</v>
      </c>
      <c r="P1" s="60">
        <v>0</v>
      </c>
      <c r="Q1" s="60">
        <v>0</v>
      </c>
      <c r="R1" s="60">
        <v>0</v>
      </c>
      <c r="S1" s="60">
        <v>0</v>
      </c>
      <c r="T1" s="61"/>
      <c r="U1" s="61"/>
      <c r="V1" s="61"/>
      <c r="W1" s="61"/>
      <c r="X1" s="61"/>
      <c r="Y1" s="61"/>
      <c r="Z1" s="61"/>
      <c r="AA1" s="61"/>
      <c r="AE1" s="61"/>
    </row>
    <row r="2" spans="1:31" x14ac:dyDescent="0.2">
      <c r="A2" s="60">
        <v>2</v>
      </c>
      <c r="B2" s="62" t="s">
        <v>483</v>
      </c>
      <c r="C2" s="63" t="s">
        <v>500</v>
      </c>
      <c r="D2" s="63" t="s">
        <v>600</v>
      </c>
      <c r="E2" s="63" t="s">
        <v>501</v>
      </c>
      <c r="F2" s="63" t="s">
        <v>502</v>
      </c>
      <c r="G2" s="63" t="s">
        <v>567</v>
      </c>
      <c r="H2" s="63" t="s">
        <v>559</v>
      </c>
      <c r="I2" s="63" t="s">
        <v>559</v>
      </c>
      <c r="J2" s="60" t="s">
        <v>599</v>
      </c>
      <c r="K2" s="60">
        <v>0</v>
      </c>
      <c r="L2" s="64">
        <v>0</v>
      </c>
      <c r="M2" s="64">
        <v>0</v>
      </c>
      <c r="N2" s="64">
        <v>0</v>
      </c>
      <c r="O2" s="64">
        <v>0</v>
      </c>
      <c r="P2" s="64">
        <v>0</v>
      </c>
      <c r="Q2" s="60">
        <v>0</v>
      </c>
      <c r="R2" s="60">
        <v>0</v>
      </c>
      <c r="S2" s="60">
        <v>0</v>
      </c>
      <c r="T2" s="61"/>
      <c r="U2" s="65" t="s">
        <v>1032</v>
      </c>
      <c r="V2" s="65" t="s">
        <v>1031</v>
      </c>
      <c r="W2" s="65" t="s">
        <v>1033</v>
      </c>
      <c r="X2" s="61"/>
      <c r="Y2" s="66" t="s">
        <v>944</v>
      </c>
      <c r="Z2" s="66"/>
      <c r="AA2" s="67"/>
    </row>
    <row r="3" spans="1:31" ht="16.5" x14ac:dyDescent="0.2">
      <c r="A3" s="60">
        <v>3</v>
      </c>
      <c r="B3" s="63" t="s">
        <v>74</v>
      </c>
      <c r="C3" s="63" t="s">
        <v>504</v>
      </c>
      <c r="D3" s="63" t="s">
        <v>505</v>
      </c>
      <c r="E3" s="63" t="s">
        <v>506</v>
      </c>
      <c r="F3" s="63" t="s">
        <v>503</v>
      </c>
      <c r="G3" s="63" t="s">
        <v>507</v>
      </c>
      <c r="H3" s="63" t="s">
        <v>566</v>
      </c>
      <c r="I3" s="63" t="s">
        <v>560</v>
      </c>
      <c r="J3" s="60" t="s">
        <v>599</v>
      </c>
      <c r="K3" s="60">
        <v>0</v>
      </c>
      <c r="L3" s="60">
        <v>0</v>
      </c>
      <c r="M3" s="60">
        <v>0</v>
      </c>
      <c r="N3" s="60">
        <v>0</v>
      </c>
      <c r="O3" s="60">
        <v>0</v>
      </c>
      <c r="P3" s="60">
        <v>0</v>
      </c>
      <c r="Q3" s="60">
        <v>0</v>
      </c>
      <c r="R3" s="60">
        <v>0</v>
      </c>
      <c r="S3" s="60">
        <v>0</v>
      </c>
      <c r="T3" s="61"/>
      <c r="U3" s="68">
        <v>1</v>
      </c>
      <c r="V3" s="40" t="e">
        <f>LOOKUP(人物卡!F$5,职业!$A$1:$A$115,职业!$B$1:$B$115)</f>
        <v>#N/A</v>
      </c>
      <c r="W3" s="68">
        <v>1</v>
      </c>
      <c r="X3" s="61"/>
      <c r="Y3" s="69" t="e">
        <f>IF(LOOKUP(人物卡!$F$5,职业!$A$1:$A$115,职业!$J$1:$J$115)&lt;&gt;0,LOOKUP(人物卡!$F$5,职业!$A$1:$A$115,职业!$K$1:$K$115),0)</f>
        <v>#N/A</v>
      </c>
      <c r="Z3" s="69" t="e">
        <f>IF(LOOKUP(人物卡!$F$5,职业!$A$1:$A$115,职业!$J$1:$J$115)&lt;&gt;0,LOOKUP(人物卡!$F$5,职业!$A$1:$A$115,职业!$L$1:$L$115))</f>
        <v>#N/A</v>
      </c>
      <c r="AA3" s="67"/>
    </row>
    <row r="4" spans="1:31" ht="16.5" x14ac:dyDescent="0.2">
      <c r="A4" s="60">
        <v>4</v>
      </c>
      <c r="B4" s="62" t="s">
        <v>924</v>
      </c>
      <c r="C4" s="63" t="s">
        <v>508</v>
      </c>
      <c r="D4" s="63" t="s">
        <v>927</v>
      </c>
      <c r="E4" s="63" t="s">
        <v>509</v>
      </c>
      <c r="F4" s="63" t="s">
        <v>562</v>
      </c>
      <c r="G4" s="63" t="s">
        <v>510</v>
      </c>
      <c r="H4" s="63" t="s">
        <v>563</v>
      </c>
      <c r="I4" s="63" t="s">
        <v>562</v>
      </c>
      <c r="J4" s="60" t="s">
        <v>599</v>
      </c>
      <c r="K4" s="63">
        <v>0</v>
      </c>
      <c r="L4" s="63">
        <v>0</v>
      </c>
      <c r="M4" s="64">
        <v>0</v>
      </c>
      <c r="N4" s="64">
        <v>0</v>
      </c>
      <c r="O4" s="60">
        <v>0</v>
      </c>
      <c r="P4" s="64">
        <v>0</v>
      </c>
      <c r="Q4" s="60">
        <v>0</v>
      </c>
      <c r="R4" s="60">
        <v>0</v>
      </c>
      <c r="S4" s="60">
        <v>0</v>
      </c>
      <c r="T4" s="61"/>
      <c r="U4" s="68">
        <v>2</v>
      </c>
      <c r="V4" s="40" t="e">
        <f>LOOKUP(人物卡!F$5,职业!$A$1:$A$115,职业!$C$1:$C$115)</f>
        <v>#N/A</v>
      </c>
      <c r="W4" s="68">
        <v>1</v>
      </c>
      <c r="X4" s="61"/>
      <c r="Y4" s="940" t="s">
        <v>945</v>
      </c>
      <c r="Z4" s="940"/>
      <c r="AA4" s="67"/>
    </row>
    <row r="5" spans="1:31" ht="16.5" x14ac:dyDescent="0.2">
      <c r="A5" s="60">
        <v>5</v>
      </c>
      <c r="B5" s="62" t="s">
        <v>920</v>
      </c>
      <c r="C5" s="63" t="s">
        <v>508</v>
      </c>
      <c r="D5" s="63" t="s">
        <v>511</v>
      </c>
      <c r="E5" s="63" t="s">
        <v>565</v>
      </c>
      <c r="F5" s="63" t="s">
        <v>510</v>
      </c>
      <c r="G5" s="63" t="s">
        <v>564</v>
      </c>
      <c r="H5" s="63" t="s">
        <v>564</v>
      </c>
      <c r="I5" s="63" t="s">
        <v>570</v>
      </c>
      <c r="J5" s="60" t="s">
        <v>599</v>
      </c>
      <c r="K5" s="60">
        <v>0</v>
      </c>
      <c r="L5" s="60">
        <v>0</v>
      </c>
      <c r="M5" s="60">
        <v>0</v>
      </c>
      <c r="N5" s="60">
        <v>0</v>
      </c>
      <c r="O5" s="60">
        <v>0</v>
      </c>
      <c r="P5" s="60">
        <v>0</v>
      </c>
      <c r="Q5" s="60">
        <v>0</v>
      </c>
      <c r="R5" s="60">
        <v>0</v>
      </c>
      <c r="S5" s="60">
        <v>0</v>
      </c>
      <c r="T5" s="61"/>
      <c r="U5" s="68">
        <v>3</v>
      </c>
      <c r="V5" s="40" t="e">
        <f>LOOKUP(人物卡!F$5,职业!$A$1:$A$115,职业!$D$1:$D$115)</f>
        <v>#N/A</v>
      </c>
      <c r="W5" s="68">
        <v>1</v>
      </c>
      <c r="X5" s="61"/>
      <c r="Y5" s="70" t="e">
        <f>IF(LOOKUP(人物卡!$F$5,职业!$A$1:$A$115,职业!$J$1:$J$115)&lt;&gt;0,LOOKUP(人物卡!$F$5,职业!$A$1:$A$115,职业!$M$1:$M$115),0)</f>
        <v>#N/A</v>
      </c>
      <c r="Z5" s="70" t="e">
        <f>IF(LOOKUP(人物卡!$F$5,职业!$A$1:$A$115,职业!$J$1:$J$115)&lt;&gt;0,LOOKUP(人物卡!$F$5,职业!$A$1:$A$115,职业!$N$1:$N$115)," ")</f>
        <v>#N/A</v>
      </c>
      <c r="AA5" s="67"/>
    </row>
    <row r="6" spans="1:31" ht="16.5" x14ac:dyDescent="0.2">
      <c r="A6" s="60">
        <v>6</v>
      </c>
      <c r="B6" s="62" t="s">
        <v>565</v>
      </c>
      <c r="C6" s="63" t="s">
        <v>1030</v>
      </c>
      <c r="D6" s="63" t="s">
        <v>929</v>
      </c>
      <c r="E6" s="63" t="s">
        <v>500</v>
      </c>
      <c r="F6" s="63" t="s">
        <v>600</v>
      </c>
      <c r="G6" s="63" t="s">
        <v>510</v>
      </c>
      <c r="H6" s="63" t="s">
        <v>512</v>
      </c>
      <c r="I6" s="63" t="s">
        <v>513</v>
      </c>
      <c r="J6" s="60" t="s">
        <v>599</v>
      </c>
      <c r="K6" s="63">
        <v>0</v>
      </c>
      <c r="L6" s="63">
        <v>0</v>
      </c>
      <c r="M6" s="64">
        <v>0</v>
      </c>
      <c r="N6" s="64">
        <v>0</v>
      </c>
      <c r="O6" s="60">
        <v>0</v>
      </c>
      <c r="P6" s="64">
        <v>0</v>
      </c>
      <c r="Q6" s="60">
        <v>0</v>
      </c>
      <c r="R6" s="60">
        <v>0</v>
      </c>
      <c r="S6" s="60">
        <v>0</v>
      </c>
      <c r="T6" s="61"/>
      <c r="U6" s="68">
        <v>4</v>
      </c>
      <c r="V6" s="40" t="e">
        <f>LOOKUP(人物卡!F$5,职业!$A$1:$A$115,职业!$E$1:$E$115)</f>
        <v>#N/A</v>
      </c>
      <c r="W6" s="68">
        <v>1</v>
      </c>
      <c r="X6" s="61"/>
      <c r="Y6" s="940" t="s">
        <v>966</v>
      </c>
      <c r="Z6" s="940"/>
      <c r="AA6" s="67"/>
    </row>
    <row r="7" spans="1:31" ht="16.5" x14ac:dyDescent="0.2">
      <c r="A7" s="60">
        <v>7</v>
      </c>
      <c r="B7" s="63" t="s">
        <v>484</v>
      </c>
      <c r="C7" s="63" t="s">
        <v>501</v>
      </c>
      <c r="D7" s="63" t="s">
        <v>514</v>
      </c>
      <c r="E7" s="63" t="s">
        <v>932</v>
      </c>
      <c r="F7" s="63" t="s">
        <v>515</v>
      </c>
      <c r="G7" s="63" t="s">
        <v>510</v>
      </c>
      <c r="H7" s="63" t="s">
        <v>925</v>
      </c>
      <c r="I7" s="63" t="s">
        <v>926</v>
      </c>
      <c r="J7" s="60" t="s">
        <v>599</v>
      </c>
      <c r="K7" s="60">
        <v>0</v>
      </c>
      <c r="L7" s="60">
        <v>0</v>
      </c>
      <c r="M7" s="60">
        <v>0</v>
      </c>
      <c r="N7" s="60">
        <v>0</v>
      </c>
      <c r="O7" s="60">
        <v>0</v>
      </c>
      <c r="P7" s="60">
        <v>0</v>
      </c>
      <c r="Q7" s="60">
        <v>0</v>
      </c>
      <c r="R7" s="60">
        <v>0</v>
      </c>
      <c r="S7" s="60">
        <v>0</v>
      </c>
      <c r="T7" s="61"/>
      <c r="U7" s="68">
        <v>5</v>
      </c>
      <c r="V7" s="40" t="e">
        <f>LOOKUP(人物卡!F$5,职业!$A$1:$A$115,职业!$F$1:$F$115)</f>
        <v>#N/A</v>
      </c>
      <c r="W7" s="68">
        <v>1</v>
      </c>
      <c r="X7" s="61"/>
      <c r="Y7" s="70" t="e">
        <f>IF(LOOKUP(人物卡!$F$5,职业!$A$1:$A$115,职业!$J$1:$J$115)&lt;&gt;0,LOOKUP(人物卡!$F$5,职业!$A$1:$A$115,职业!$O$1:$O$115),0)</f>
        <v>#N/A</v>
      </c>
      <c r="Z7" s="70" t="e">
        <f>IF(LOOKUP(人物卡!$F$5,职业!$A$1:$A$115,职业!$J$1:$J$115)&lt;&gt;0,LOOKUP(人物卡!$F$5,职业!$A$1:$A$115,职业!$P$1:$P$115)," ")</f>
        <v>#N/A</v>
      </c>
      <c r="AA7" s="67"/>
    </row>
    <row r="8" spans="1:31" ht="16.5" x14ac:dyDescent="0.2">
      <c r="A8" s="60">
        <v>8</v>
      </c>
      <c r="B8" s="62" t="s">
        <v>82</v>
      </c>
      <c r="C8" s="63" t="s">
        <v>501</v>
      </c>
      <c r="D8" s="63" t="s">
        <v>938</v>
      </c>
      <c r="E8" s="63" t="s">
        <v>510</v>
      </c>
      <c r="F8" s="63" t="s">
        <v>925</v>
      </c>
      <c r="G8" s="63" t="s">
        <v>512</v>
      </c>
      <c r="H8" s="63" t="s">
        <v>513</v>
      </c>
      <c r="I8" s="63" t="s">
        <v>566</v>
      </c>
      <c r="J8" s="60" t="s">
        <v>599</v>
      </c>
      <c r="K8" s="60">
        <v>0</v>
      </c>
      <c r="L8" s="60">
        <v>0</v>
      </c>
      <c r="M8" s="60">
        <v>0</v>
      </c>
      <c r="N8" s="60">
        <v>0</v>
      </c>
      <c r="O8" s="60">
        <v>0</v>
      </c>
      <c r="P8" s="60">
        <v>0</v>
      </c>
      <c r="Q8" s="60">
        <v>0</v>
      </c>
      <c r="R8" s="60">
        <v>0</v>
      </c>
      <c r="S8" s="60">
        <v>0</v>
      </c>
      <c r="T8" s="61"/>
      <c r="U8" s="68">
        <v>6</v>
      </c>
      <c r="V8" s="40" t="e">
        <f>LOOKUP(人物卡!F$5,职业!$A$1:$A$115,职业!$G$1:$G$115)</f>
        <v>#N/A</v>
      </c>
      <c r="W8" s="68">
        <v>1</v>
      </c>
      <c r="X8" s="61"/>
      <c r="Y8" s="940" t="s">
        <v>1005</v>
      </c>
      <c r="Z8" s="940"/>
      <c r="AA8" s="940"/>
    </row>
    <row r="9" spans="1:31" ht="16.5" x14ac:dyDescent="0.2">
      <c r="A9" s="60">
        <v>9</v>
      </c>
      <c r="B9" s="63" t="s">
        <v>490</v>
      </c>
      <c r="C9" s="63" t="s">
        <v>921</v>
      </c>
      <c r="D9" s="63" t="s">
        <v>509</v>
      </c>
      <c r="E9" s="63" t="s">
        <v>600</v>
      </c>
      <c r="F9" s="63" t="s">
        <v>932</v>
      </c>
      <c r="G9" s="63" t="s">
        <v>562</v>
      </c>
      <c r="H9" s="63" t="s">
        <v>503</v>
      </c>
      <c r="I9" s="63" t="s">
        <v>566</v>
      </c>
      <c r="J9" s="60" t="s">
        <v>599</v>
      </c>
      <c r="K9" s="63">
        <v>0</v>
      </c>
      <c r="L9" s="63">
        <v>0</v>
      </c>
      <c r="M9" s="63">
        <v>0</v>
      </c>
      <c r="N9" s="63">
        <v>0</v>
      </c>
      <c r="O9" s="63">
        <v>0</v>
      </c>
      <c r="P9" s="63">
        <v>0</v>
      </c>
      <c r="Q9" s="60">
        <v>0</v>
      </c>
      <c r="R9" s="60">
        <v>0</v>
      </c>
      <c r="S9" s="60">
        <v>0</v>
      </c>
      <c r="T9" s="61"/>
      <c r="U9" s="68">
        <v>7</v>
      </c>
      <c r="V9" s="40" t="e">
        <f>LOOKUP(人物卡!F$5,职业!$A$1:$A$115,职业!$H$1:$H$115)</f>
        <v>#N/A</v>
      </c>
      <c r="W9" s="68">
        <v>1</v>
      </c>
      <c r="X9" s="61"/>
      <c r="Y9" s="70" t="e">
        <f>IF(LOOKUP(人物卡!$F$5,职业!$A$1:$A$115,职业!$J$1:$J$115)&lt;&gt;0,LOOKUP(人物卡!$F$5,职业!$A$1:$A$115,职业!$Q$1:$Q$115),0)</f>
        <v>#N/A</v>
      </c>
      <c r="Z9" s="70" t="e">
        <f>IF(LOOKUP(人物卡!$F$5,职业!$A$1:$A$115,职业!$J$1:$J$115)&lt;&gt;0,LOOKUP(人物卡!$F$5,职业!$A$1:$A$115,职业!$R$1:$R$115),"")</f>
        <v>#N/A</v>
      </c>
      <c r="AA9" s="70" t="e">
        <f>IF(LOOKUP(人物卡!$F$5,职业!$A$1:$A$115,职业!$J$1:$J$115)&lt;&gt;0,LOOKUP(人物卡!$F$5,职业!$A$1:$A$115,职业!$S$1:$S$115),"")</f>
        <v>#N/A</v>
      </c>
    </row>
    <row r="10" spans="1:31" ht="16.5" x14ac:dyDescent="0.2">
      <c r="A10" s="60">
        <v>10</v>
      </c>
      <c r="B10" s="62" t="s">
        <v>483</v>
      </c>
      <c r="C10" s="63" t="s">
        <v>516</v>
      </c>
      <c r="D10" s="63" t="s">
        <v>511</v>
      </c>
      <c r="E10" s="63" t="s">
        <v>565</v>
      </c>
      <c r="F10" s="63" t="s">
        <v>509</v>
      </c>
      <c r="G10" s="63" t="s">
        <v>600</v>
      </c>
      <c r="H10" s="63" t="s">
        <v>517</v>
      </c>
      <c r="I10" s="63" t="s">
        <v>561</v>
      </c>
      <c r="J10" s="60" t="s">
        <v>599</v>
      </c>
      <c r="K10" s="63">
        <v>0</v>
      </c>
      <c r="L10" s="63">
        <v>0</v>
      </c>
      <c r="M10" s="64">
        <v>0</v>
      </c>
      <c r="N10" s="64">
        <v>0</v>
      </c>
      <c r="O10" s="64">
        <v>0</v>
      </c>
      <c r="P10" s="64">
        <v>0</v>
      </c>
      <c r="Q10" s="60">
        <v>0</v>
      </c>
      <c r="R10" s="60">
        <v>0</v>
      </c>
      <c r="S10" s="60">
        <v>0</v>
      </c>
      <c r="T10" s="61"/>
      <c r="U10" s="68">
        <v>8</v>
      </c>
      <c r="V10" s="40" t="e">
        <f>LOOKUP(人物卡!F$5,职业!$A$1:$A$115,职业!$I$1:$I$115)</f>
        <v>#N/A</v>
      </c>
      <c r="W10" s="68">
        <v>1</v>
      </c>
      <c r="X10" s="61"/>
      <c r="Y10" s="61"/>
      <c r="Z10" s="61"/>
      <c r="AA10" s="61"/>
    </row>
    <row r="11" spans="1:31" ht="16.5" x14ac:dyDescent="0.2">
      <c r="A11" s="60">
        <v>11</v>
      </c>
      <c r="B11" s="63" t="s">
        <v>490</v>
      </c>
      <c r="C11" s="63" t="s">
        <v>73</v>
      </c>
      <c r="D11" s="63" t="s">
        <v>509</v>
      </c>
      <c r="E11" s="63" t="s">
        <v>932</v>
      </c>
      <c r="F11" s="63" t="s">
        <v>600</v>
      </c>
      <c r="G11" s="63" t="s">
        <v>503</v>
      </c>
      <c r="H11" s="63" t="s">
        <v>85</v>
      </c>
      <c r="I11" s="63"/>
      <c r="J11" s="60" t="s">
        <v>599</v>
      </c>
      <c r="K11" s="63" t="s">
        <v>230</v>
      </c>
      <c r="L11" s="63" t="s">
        <v>925</v>
      </c>
      <c r="M11" s="64">
        <v>0</v>
      </c>
      <c r="N11" s="64">
        <v>0</v>
      </c>
      <c r="O11" s="64">
        <v>0</v>
      </c>
      <c r="P11" s="64">
        <v>0</v>
      </c>
      <c r="Q11" s="60">
        <v>0</v>
      </c>
      <c r="R11" s="60">
        <v>0</v>
      </c>
      <c r="S11" s="60">
        <v>0</v>
      </c>
      <c r="T11" s="61"/>
      <c r="U11" s="60">
        <v>9</v>
      </c>
      <c r="V11" s="40" t="e">
        <f>LOOKUP(人物卡!F$5,职业!$A$1:$A$115,职业!$J$1:$J$115)</f>
        <v>#N/A</v>
      </c>
      <c r="W11" s="68">
        <v>1</v>
      </c>
      <c r="X11" s="61"/>
      <c r="Y11" s="61"/>
      <c r="Z11" s="61"/>
      <c r="AA11" s="61"/>
    </row>
    <row r="12" spans="1:31" ht="25.5" x14ac:dyDescent="0.2">
      <c r="A12" s="60">
        <v>12</v>
      </c>
      <c r="B12" s="62" t="s">
        <v>483</v>
      </c>
      <c r="C12" s="63" t="s">
        <v>935</v>
      </c>
      <c r="D12" s="63" t="s">
        <v>500</v>
      </c>
      <c r="E12" s="63" t="s">
        <v>519</v>
      </c>
      <c r="F12" s="63" t="s">
        <v>940</v>
      </c>
      <c r="G12" s="63" t="s">
        <v>502</v>
      </c>
      <c r="H12" s="63" t="s">
        <v>510</v>
      </c>
      <c r="I12" s="71" t="s">
        <v>941</v>
      </c>
      <c r="J12" s="60" t="s">
        <v>599</v>
      </c>
      <c r="K12" s="63" t="s">
        <v>942</v>
      </c>
      <c r="L12" s="63" t="s">
        <v>600</v>
      </c>
      <c r="M12" s="64">
        <v>0</v>
      </c>
      <c r="N12" s="64">
        <v>0</v>
      </c>
      <c r="O12" s="64">
        <v>0</v>
      </c>
      <c r="P12" s="64">
        <v>0</v>
      </c>
      <c r="Q12" s="60">
        <v>0</v>
      </c>
      <c r="R12" s="60">
        <v>0</v>
      </c>
      <c r="S12" s="60">
        <v>0</v>
      </c>
      <c r="T12" s="61"/>
      <c r="U12" s="61"/>
      <c r="V12" s="61"/>
      <c r="W12" s="61"/>
      <c r="X12" s="61"/>
      <c r="Y12" s="61"/>
      <c r="Z12" s="61"/>
      <c r="AA12" s="61"/>
    </row>
    <row r="13" spans="1:31" ht="16.5" x14ac:dyDescent="0.2">
      <c r="A13" s="60">
        <v>13</v>
      </c>
      <c r="B13" s="63" t="s">
        <v>921</v>
      </c>
      <c r="C13" s="63"/>
      <c r="D13" s="63" t="s">
        <v>565</v>
      </c>
      <c r="E13" s="63" t="s">
        <v>932</v>
      </c>
      <c r="F13" s="63" t="s">
        <v>510</v>
      </c>
      <c r="G13" s="63" t="s">
        <v>503</v>
      </c>
      <c r="H13" s="63" t="s">
        <v>569</v>
      </c>
      <c r="I13" s="63" t="s">
        <v>569</v>
      </c>
      <c r="J13" s="60" t="s">
        <v>599</v>
      </c>
      <c r="K13" s="63" t="s">
        <v>568</v>
      </c>
      <c r="L13" s="63" t="s">
        <v>937</v>
      </c>
      <c r="M13" s="64">
        <v>0</v>
      </c>
      <c r="N13" s="64">
        <v>0</v>
      </c>
      <c r="O13" s="64">
        <v>0</v>
      </c>
      <c r="P13" s="64">
        <v>0</v>
      </c>
      <c r="Q13" s="60">
        <v>0</v>
      </c>
      <c r="R13" s="60">
        <v>0</v>
      </c>
      <c r="S13" s="60">
        <v>0</v>
      </c>
      <c r="T13" s="61"/>
      <c r="U13" s="61"/>
      <c r="V13" s="61"/>
      <c r="W13" s="72"/>
      <c r="X13" s="61"/>
      <c r="Y13" s="61"/>
      <c r="Z13" s="61"/>
      <c r="AA13" s="61"/>
    </row>
    <row r="14" spans="1:31" x14ac:dyDescent="0.2">
      <c r="A14" s="60">
        <v>14</v>
      </c>
      <c r="B14" s="62" t="s">
        <v>77</v>
      </c>
      <c r="C14" s="63" t="s">
        <v>1030</v>
      </c>
      <c r="D14" s="63" t="s">
        <v>520</v>
      </c>
      <c r="E14" s="63" t="s">
        <v>565</v>
      </c>
      <c r="F14" s="63" t="s">
        <v>501</v>
      </c>
      <c r="G14" s="63" t="s">
        <v>510</v>
      </c>
      <c r="H14" s="63" t="s">
        <v>512</v>
      </c>
      <c r="I14" s="63" t="s">
        <v>561</v>
      </c>
      <c r="J14" s="60" t="s">
        <v>599</v>
      </c>
      <c r="K14" s="63">
        <v>0</v>
      </c>
      <c r="L14" s="64">
        <v>0</v>
      </c>
      <c r="M14" s="64">
        <v>0</v>
      </c>
      <c r="N14" s="64">
        <v>0</v>
      </c>
      <c r="O14" s="64">
        <v>0</v>
      </c>
      <c r="P14" s="64">
        <v>0</v>
      </c>
      <c r="Q14" s="60">
        <v>0</v>
      </c>
      <c r="R14" s="64">
        <v>0</v>
      </c>
      <c r="S14" s="60">
        <v>0</v>
      </c>
      <c r="T14" s="61"/>
      <c r="U14" s="61"/>
      <c r="V14" s="61"/>
      <c r="W14" s="61"/>
      <c r="X14" s="61"/>
      <c r="Y14" s="61"/>
      <c r="Z14" s="61"/>
      <c r="AA14" s="61"/>
    </row>
    <row r="15" spans="1:31" x14ac:dyDescent="0.2">
      <c r="A15" s="60">
        <v>15</v>
      </c>
      <c r="B15" s="63" t="s">
        <v>74</v>
      </c>
      <c r="C15" s="63" t="s">
        <v>505</v>
      </c>
      <c r="D15" s="63" t="s">
        <v>1030</v>
      </c>
      <c r="E15" s="63" t="s">
        <v>521</v>
      </c>
      <c r="F15" s="63" t="s">
        <v>562</v>
      </c>
      <c r="G15" s="63" t="s">
        <v>507</v>
      </c>
      <c r="H15" s="63" t="s">
        <v>506</v>
      </c>
      <c r="I15" s="63" t="s">
        <v>566</v>
      </c>
      <c r="J15" s="60" t="s">
        <v>599</v>
      </c>
      <c r="K15" s="63">
        <v>0</v>
      </c>
      <c r="L15" s="64">
        <v>0</v>
      </c>
      <c r="M15" s="64">
        <v>0</v>
      </c>
      <c r="N15" s="64">
        <v>0</v>
      </c>
      <c r="O15" s="64">
        <v>0</v>
      </c>
      <c r="P15" s="64">
        <v>0</v>
      </c>
      <c r="Q15" s="60">
        <v>0</v>
      </c>
      <c r="R15" s="64">
        <v>0</v>
      </c>
      <c r="S15" s="60">
        <v>0</v>
      </c>
      <c r="T15" s="61"/>
      <c r="U15" s="61"/>
      <c r="V15" s="61"/>
      <c r="W15" s="61"/>
      <c r="X15" s="61"/>
      <c r="Y15" s="61"/>
      <c r="Z15" s="61"/>
      <c r="AA15" s="61"/>
    </row>
    <row r="16" spans="1:31" x14ac:dyDescent="0.2">
      <c r="A16" s="60">
        <v>16</v>
      </c>
      <c r="B16" s="63" t="s">
        <v>921</v>
      </c>
      <c r="C16" s="63" t="s">
        <v>509</v>
      </c>
      <c r="D16" s="63" t="s">
        <v>600</v>
      </c>
      <c r="E16" s="60"/>
      <c r="F16" s="63" t="s">
        <v>932</v>
      </c>
      <c r="G16" s="63" t="s">
        <v>519</v>
      </c>
      <c r="H16" s="63" t="s">
        <v>510</v>
      </c>
      <c r="I16" s="63" t="s">
        <v>558</v>
      </c>
      <c r="J16" s="60" t="s">
        <v>599</v>
      </c>
      <c r="K16" s="63" t="s">
        <v>947</v>
      </c>
      <c r="L16" s="64" t="s">
        <v>948</v>
      </c>
      <c r="M16" s="64">
        <v>0</v>
      </c>
      <c r="N16" s="64">
        <v>0</v>
      </c>
      <c r="O16" s="64">
        <v>0</v>
      </c>
      <c r="P16" s="64">
        <v>0</v>
      </c>
      <c r="Q16" s="60">
        <v>0</v>
      </c>
      <c r="R16" s="64">
        <v>0</v>
      </c>
      <c r="S16" s="60">
        <v>0</v>
      </c>
      <c r="T16" s="61"/>
      <c r="U16" s="61"/>
      <c r="V16" s="61"/>
      <c r="W16" s="61"/>
      <c r="X16" s="61"/>
      <c r="Y16" s="61"/>
      <c r="Z16" s="61"/>
      <c r="AA16" s="61"/>
    </row>
    <row r="17" spans="1:27" x14ac:dyDescent="0.2">
      <c r="A17" s="60">
        <v>17</v>
      </c>
      <c r="B17" s="73" t="s">
        <v>483</v>
      </c>
      <c r="C17" s="63" t="s">
        <v>565</v>
      </c>
      <c r="D17" s="63" t="s">
        <v>1030</v>
      </c>
      <c r="E17" s="63" t="s">
        <v>501</v>
      </c>
      <c r="F17" s="63" t="s">
        <v>510</v>
      </c>
      <c r="G17" s="63" t="s">
        <v>503</v>
      </c>
      <c r="H17" s="63" t="s">
        <v>558</v>
      </c>
      <c r="I17" s="63" t="s">
        <v>561</v>
      </c>
      <c r="J17" s="60" t="s">
        <v>599</v>
      </c>
      <c r="K17" s="63">
        <v>0</v>
      </c>
      <c r="L17" s="64">
        <v>0</v>
      </c>
      <c r="M17" s="64">
        <v>0</v>
      </c>
      <c r="N17" s="64">
        <v>0</v>
      </c>
      <c r="O17" s="64">
        <v>0</v>
      </c>
      <c r="P17" s="64">
        <v>0</v>
      </c>
      <c r="Q17" s="60">
        <v>0</v>
      </c>
      <c r="R17" s="64">
        <v>0</v>
      </c>
      <c r="S17" s="60">
        <v>0</v>
      </c>
      <c r="T17" s="61"/>
      <c r="U17" s="61"/>
      <c r="V17" s="61"/>
      <c r="W17" s="61"/>
      <c r="X17" s="61"/>
      <c r="Y17" s="61"/>
      <c r="Z17" s="61"/>
      <c r="AA17" s="61"/>
    </row>
    <row r="18" spans="1:27" x14ac:dyDescent="0.2">
      <c r="A18" s="60">
        <v>18</v>
      </c>
      <c r="B18" s="62" t="s">
        <v>949</v>
      </c>
      <c r="C18" s="64"/>
      <c r="D18" s="63" t="s">
        <v>937</v>
      </c>
      <c r="E18" s="63" t="s">
        <v>517</v>
      </c>
      <c r="F18" s="64"/>
      <c r="G18" s="63" t="s">
        <v>925</v>
      </c>
      <c r="H18" s="63" t="s">
        <v>512</v>
      </c>
      <c r="I18" s="63" t="s">
        <v>513</v>
      </c>
      <c r="J18" s="60" t="s">
        <v>599</v>
      </c>
      <c r="K18" s="63" t="s">
        <v>83</v>
      </c>
      <c r="L18" s="64" t="s">
        <v>485</v>
      </c>
      <c r="M18" s="63" t="s">
        <v>952</v>
      </c>
      <c r="N18" s="64" t="s">
        <v>951</v>
      </c>
      <c r="O18" s="64"/>
      <c r="P18" s="64"/>
      <c r="Q18" s="60">
        <v>0</v>
      </c>
      <c r="R18" s="64">
        <v>0</v>
      </c>
      <c r="S18" s="60">
        <v>0</v>
      </c>
      <c r="T18" s="61"/>
      <c r="U18" s="61"/>
      <c r="V18" s="61"/>
      <c r="W18" s="61"/>
      <c r="X18" s="61"/>
      <c r="Y18" s="61"/>
      <c r="Z18" s="61"/>
      <c r="AA18" s="61"/>
    </row>
    <row r="19" spans="1:27" x14ac:dyDescent="0.2">
      <c r="A19" s="60">
        <v>19</v>
      </c>
      <c r="B19" s="63" t="s">
        <v>483</v>
      </c>
      <c r="C19" s="63" t="s">
        <v>516</v>
      </c>
      <c r="D19" s="63" t="s">
        <v>511</v>
      </c>
      <c r="E19" s="63" t="s">
        <v>509</v>
      </c>
      <c r="F19" s="63" t="s">
        <v>600</v>
      </c>
      <c r="G19" s="63" t="s">
        <v>519</v>
      </c>
      <c r="H19" s="63" t="s">
        <v>952</v>
      </c>
      <c r="I19" s="63" t="s">
        <v>561</v>
      </c>
      <c r="J19" s="60" t="s">
        <v>599</v>
      </c>
      <c r="K19" s="63">
        <v>0</v>
      </c>
      <c r="L19" s="64">
        <v>0</v>
      </c>
      <c r="M19" s="64">
        <v>0</v>
      </c>
      <c r="N19" s="64">
        <v>0</v>
      </c>
      <c r="O19" s="64">
        <v>0</v>
      </c>
      <c r="P19" s="64">
        <v>0</v>
      </c>
      <c r="Q19" s="60">
        <v>0</v>
      </c>
      <c r="R19" s="74">
        <v>0</v>
      </c>
      <c r="S19" s="74">
        <v>0</v>
      </c>
      <c r="T19" s="61"/>
      <c r="U19" s="61"/>
      <c r="V19" s="61"/>
      <c r="W19" s="61"/>
      <c r="X19" s="61"/>
      <c r="Y19" s="61"/>
      <c r="Z19" s="61"/>
      <c r="AA19" s="61"/>
    </row>
    <row r="20" spans="1:27" x14ac:dyDescent="0.2">
      <c r="A20" s="60">
        <v>20</v>
      </c>
      <c r="B20" s="62" t="s">
        <v>78</v>
      </c>
      <c r="C20" s="64"/>
      <c r="D20" s="64"/>
      <c r="E20" s="63" t="s">
        <v>561</v>
      </c>
      <c r="F20" s="63" t="s">
        <v>500</v>
      </c>
      <c r="G20" s="63" t="s">
        <v>510</v>
      </c>
      <c r="H20" s="63" t="s">
        <v>513</v>
      </c>
      <c r="I20" s="63" t="s">
        <v>512</v>
      </c>
      <c r="J20" s="60" t="s">
        <v>599</v>
      </c>
      <c r="K20" s="74" t="s">
        <v>953</v>
      </c>
      <c r="L20" s="64" t="s">
        <v>572</v>
      </c>
      <c r="M20" s="63" t="s">
        <v>927</v>
      </c>
      <c r="N20" s="64" t="s">
        <v>929</v>
      </c>
      <c r="O20" s="64">
        <v>0</v>
      </c>
      <c r="P20" s="64">
        <v>0</v>
      </c>
      <c r="Q20" s="60">
        <v>0</v>
      </c>
      <c r="R20" s="64">
        <v>0</v>
      </c>
      <c r="S20" s="60">
        <v>0</v>
      </c>
      <c r="T20" s="61"/>
      <c r="U20" s="61"/>
      <c r="V20" s="61"/>
      <c r="W20" s="61"/>
      <c r="X20" s="61"/>
      <c r="Y20" s="61"/>
      <c r="Z20" s="61"/>
      <c r="AA20" s="61"/>
    </row>
    <row r="21" spans="1:27" x14ac:dyDescent="0.2">
      <c r="A21" s="60">
        <v>21</v>
      </c>
      <c r="B21" s="63" t="s">
        <v>77</v>
      </c>
      <c r="C21" s="63" t="s">
        <v>1030</v>
      </c>
      <c r="D21" s="63" t="s">
        <v>522</v>
      </c>
      <c r="E21" s="63" t="s">
        <v>505</v>
      </c>
      <c r="F21" s="63" t="s">
        <v>510</v>
      </c>
      <c r="G21" s="63" t="s">
        <v>503</v>
      </c>
      <c r="H21" s="63" t="s">
        <v>571</v>
      </c>
      <c r="I21" s="63" t="s">
        <v>571</v>
      </c>
      <c r="J21" s="60" t="s">
        <v>599</v>
      </c>
      <c r="K21" s="63">
        <v>0</v>
      </c>
      <c r="L21" s="64">
        <v>0</v>
      </c>
      <c r="M21" s="64">
        <v>0</v>
      </c>
      <c r="N21" s="64">
        <v>0</v>
      </c>
      <c r="O21" s="64">
        <v>0</v>
      </c>
      <c r="P21" s="64">
        <v>0</v>
      </c>
      <c r="Q21" s="60">
        <v>0</v>
      </c>
      <c r="R21" s="64">
        <v>0</v>
      </c>
      <c r="S21" s="60">
        <v>0</v>
      </c>
      <c r="T21" s="75"/>
      <c r="U21" s="75"/>
      <c r="V21" s="75"/>
      <c r="W21" s="61"/>
      <c r="X21" s="61"/>
      <c r="Y21" s="61"/>
      <c r="Z21" s="61"/>
      <c r="AA21" s="61"/>
    </row>
    <row r="22" spans="1:27" x14ac:dyDescent="0.2">
      <c r="A22" s="60">
        <v>22</v>
      </c>
      <c r="B22" s="64"/>
      <c r="C22" s="63" t="s">
        <v>960</v>
      </c>
      <c r="D22" s="63" t="s">
        <v>520</v>
      </c>
      <c r="E22" s="63" t="s">
        <v>501</v>
      </c>
      <c r="F22" s="63" t="s">
        <v>931</v>
      </c>
      <c r="G22" s="63" t="s">
        <v>510</v>
      </c>
      <c r="H22" s="63" t="s">
        <v>503</v>
      </c>
      <c r="I22" s="63" t="s">
        <v>558</v>
      </c>
      <c r="J22" s="60" t="s">
        <v>599</v>
      </c>
      <c r="K22" s="62" t="s">
        <v>573</v>
      </c>
      <c r="L22" s="64" t="s">
        <v>516</v>
      </c>
      <c r="M22" s="64">
        <v>0</v>
      </c>
      <c r="N22" s="64">
        <v>0</v>
      </c>
      <c r="O22" s="64">
        <v>0</v>
      </c>
      <c r="P22" s="64">
        <v>0</v>
      </c>
      <c r="Q22" s="60">
        <v>0</v>
      </c>
      <c r="R22" s="64">
        <v>0</v>
      </c>
      <c r="S22" s="60">
        <v>0</v>
      </c>
      <c r="T22" s="75"/>
      <c r="U22" s="75"/>
      <c r="V22" s="75"/>
      <c r="W22" s="61"/>
      <c r="X22" s="61"/>
      <c r="Y22" s="61"/>
      <c r="Z22" s="61"/>
      <c r="AA22" s="61"/>
    </row>
    <row r="23" spans="1:27" x14ac:dyDescent="0.2">
      <c r="A23" s="60">
        <v>23</v>
      </c>
      <c r="B23" s="63" t="s">
        <v>483</v>
      </c>
      <c r="C23" s="63" t="s">
        <v>509</v>
      </c>
      <c r="D23" s="63" t="s">
        <v>600</v>
      </c>
      <c r="E23" s="63" t="s">
        <v>501</v>
      </c>
      <c r="F23" s="63" t="s">
        <v>931</v>
      </c>
      <c r="G23" s="63" t="s">
        <v>561</v>
      </c>
      <c r="H23" s="63" t="s">
        <v>510</v>
      </c>
      <c r="I23" s="63" t="s">
        <v>566</v>
      </c>
      <c r="J23" s="60" t="s">
        <v>599</v>
      </c>
      <c r="K23" s="63">
        <v>0</v>
      </c>
      <c r="L23" s="64">
        <v>0</v>
      </c>
      <c r="M23" s="64">
        <v>0</v>
      </c>
      <c r="N23" s="64">
        <v>0</v>
      </c>
      <c r="O23" s="64">
        <v>0</v>
      </c>
      <c r="P23" s="64">
        <v>0</v>
      </c>
      <c r="Q23" s="60">
        <v>0</v>
      </c>
      <c r="R23" s="64">
        <v>0</v>
      </c>
      <c r="S23" s="60">
        <v>0</v>
      </c>
      <c r="T23" s="75"/>
      <c r="U23" s="75"/>
      <c r="V23" s="75"/>
      <c r="W23" s="61"/>
      <c r="X23" s="61"/>
      <c r="Y23" s="61"/>
      <c r="Z23" s="61"/>
      <c r="AA23" s="61"/>
    </row>
    <row r="24" spans="1:27" ht="16.5" x14ac:dyDescent="0.2">
      <c r="A24" s="60">
        <v>24</v>
      </c>
      <c r="B24" s="74" t="s">
        <v>943</v>
      </c>
      <c r="C24" s="63" t="s">
        <v>523</v>
      </c>
      <c r="D24" s="74" t="s">
        <v>953</v>
      </c>
      <c r="E24" s="63" t="s">
        <v>925</v>
      </c>
      <c r="F24" s="63" t="s">
        <v>503</v>
      </c>
      <c r="G24" s="63" t="s">
        <v>569</v>
      </c>
      <c r="H24" s="63" t="s">
        <v>600</v>
      </c>
      <c r="I24" s="63" t="s">
        <v>569</v>
      </c>
      <c r="J24" s="60" t="s">
        <v>599</v>
      </c>
      <c r="K24" s="63">
        <v>0</v>
      </c>
      <c r="L24" s="64">
        <v>0</v>
      </c>
      <c r="M24" s="64">
        <v>0</v>
      </c>
      <c r="N24" s="64">
        <v>0</v>
      </c>
      <c r="O24" s="64">
        <v>0</v>
      </c>
      <c r="P24" s="64">
        <v>0</v>
      </c>
      <c r="Q24" s="60">
        <v>0</v>
      </c>
      <c r="R24" s="64">
        <v>0</v>
      </c>
      <c r="S24" s="74">
        <v>0</v>
      </c>
      <c r="T24" s="76"/>
      <c r="U24" s="75"/>
      <c r="V24" s="75"/>
      <c r="W24" s="61"/>
      <c r="X24" s="61"/>
      <c r="Y24" s="61"/>
      <c r="Z24" s="61"/>
      <c r="AA24" s="61"/>
    </row>
    <row r="25" spans="1:27" x14ac:dyDescent="0.2">
      <c r="A25" s="60">
        <v>25</v>
      </c>
      <c r="B25" s="74" t="s">
        <v>943</v>
      </c>
      <c r="C25" s="63" t="s">
        <v>523</v>
      </c>
      <c r="D25" s="74" t="s">
        <v>953</v>
      </c>
      <c r="E25" s="63" t="s">
        <v>600</v>
      </c>
      <c r="F25" s="63" t="s">
        <v>503</v>
      </c>
      <c r="G25" s="63" t="s">
        <v>561</v>
      </c>
      <c r="H25" s="63" t="s">
        <v>566</v>
      </c>
      <c r="I25" s="63" t="s">
        <v>566</v>
      </c>
      <c r="J25" s="60" t="s">
        <v>599</v>
      </c>
      <c r="K25" s="63">
        <v>0</v>
      </c>
      <c r="L25" s="64">
        <v>0</v>
      </c>
      <c r="M25" s="64">
        <v>0</v>
      </c>
      <c r="N25" s="64">
        <v>0</v>
      </c>
      <c r="O25" s="64">
        <v>0</v>
      </c>
      <c r="P25" s="64">
        <v>0</v>
      </c>
      <c r="Q25" s="60">
        <v>0</v>
      </c>
      <c r="R25" s="64">
        <v>0</v>
      </c>
      <c r="S25" s="60">
        <v>0</v>
      </c>
      <c r="T25" s="75"/>
      <c r="U25" s="75"/>
      <c r="V25" s="75"/>
      <c r="W25" s="61"/>
      <c r="X25" s="61"/>
      <c r="Y25" s="61"/>
      <c r="Z25" s="61"/>
      <c r="AA25" s="61"/>
    </row>
    <row r="26" spans="1:27" x14ac:dyDescent="0.2">
      <c r="A26" s="60">
        <v>26</v>
      </c>
      <c r="B26" s="62" t="s">
        <v>77</v>
      </c>
      <c r="C26" s="64"/>
      <c r="D26" s="64"/>
      <c r="E26" s="63" t="s">
        <v>505</v>
      </c>
      <c r="F26" s="63" t="s">
        <v>521</v>
      </c>
      <c r="G26" s="63" t="s">
        <v>961</v>
      </c>
      <c r="H26" s="63" t="s">
        <v>506</v>
      </c>
      <c r="I26" s="63" t="s">
        <v>513</v>
      </c>
      <c r="J26" s="60" t="s">
        <v>599</v>
      </c>
      <c r="K26" s="63" t="s">
        <v>927</v>
      </c>
      <c r="L26" s="64" t="s">
        <v>929</v>
      </c>
      <c r="M26" s="63" t="s">
        <v>234</v>
      </c>
      <c r="N26" s="64" t="s">
        <v>937</v>
      </c>
      <c r="O26" s="64">
        <v>0</v>
      </c>
      <c r="P26" s="64">
        <v>0</v>
      </c>
      <c r="Q26" s="60">
        <v>0</v>
      </c>
      <c r="R26" s="64">
        <v>0</v>
      </c>
      <c r="S26" s="60">
        <v>0</v>
      </c>
      <c r="T26" s="75"/>
      <c r="U26" s="75"/>
      <c r="V26" s="75"/>
      <c r="W26" s="61"/>
      <c r="X26" s="61"/>
      <c r="Y26" s="61"/>
      <c r="Z26" s="61"/>
      <c r="AA26" s="61"/>
    </row>
    <row r="27" spans="1:27" x14ac:dyDescent="0.2">
      <c r="A27" s="60">
        <v>27</v>
      </c>
      <c r="B27" s="63" t="s">
        <v>483</v>
      </c>
      <c r="C27" s="63" t="s">
        <v>920</v>
      </c>
      <c r="D27" s="63" t="s">
        <v>518</v>
      </c>
      <c r="E27" s="63" t="s">
        <v>937</v>
      </c>
      <c r="F27" s="63" t="s">
        <v>503</v>
      </c>
      <c r="G27" s="63" t="s">
        <v>566</v>
      </c>
      <c r="H27" s="63" t="s">
        <v>566</v>
      </c>
      <c r="I27" s="63" t="s">
        <v>962</v>
      </c>
      <c r="J27" s="60" t="s">
        <v>599</v>
      </c>
      <c r="K27" s="63">
        <v>0</v>
      </c>
      <c r="L27" s="64">
        <v>0</v>
      </c>
      <c r="M27" s="64">
        <v>0</v>
      </c>
      <c r="N27" s="64">
        <v>0</v>
      </c>
      <c r="O27" s="64">
        <v>0</v>
      </c>
      <c r="P27" s="64">
        <v>0</v>
      </c>
      <c r="Q27" s="60">
        <v>0</v>
      </c>
      <c r="R27" s="64">
        <v>0</v>
      </c>
      <c r="S27" s="60">
        <v>0</v>
      </c>
      <c r="T27" s="75"/>
      <c r="U27" s="75"/>
      <c r="V27" s="75"/>
      <c r="W27" s="61"/>
      <c r="X27" s="61"/>
      <c r="Y27" s="61"/>
      <c r="Z27" s="61"/>
      <c r="AA27" s="61"/>
    </row>
    <row r="28" spans="1:27" x14ac:dyDescent="0.2">
      <c r="A28" s="60">
        <v>28</v>
      </c>
      <c r="B28" s="62" t="s">
        <v>76</v>
      </c>
      <c r="C28" s="63" t="s">
        <v>523</v>
      </c>
      <c r="D28" s="63" t="s">
        <v>927</v>
      </c>
      <c r="E28" s="64" t="s">
        <v>929</v>
      </c>
      <c r="F28" s="63" t="s">
        <v>524</v>
      </c>
      <c r="G28" s="63" t="s">
        <v>518</v>
      </c>
      <c r="H28" s="63" t="s">
        <v>512</v>
      </c>
      <c r="I28" s="63" t="s">
        <v>510</v>
      </c>
      <c r="J28" s="60" t="s">
        <v>599</v>
      </c>
      <c r="K28" s="63">
        <v>0</v>
      </c>
      <c r="L28" s="64">
        <v>0</v>
      </c>
      <c r="M28" s="64">
        <v>0</v>
      </c>
      <c r="N28" s="64">
        <v>0</v>
      </c>
      <c r="O28" s="64">
        <v>0</v>
      </c>
      <c r="P28" s="64">
        <v>0</v>
      </c>
      <c r="Q28" s="60">
        <v>0</v>
      </c>
      <c r="R28" s="64">
        <v>0</v>
      </c>
      <c r="S28" s="60">
        <v>0</v>
      </c>
      <c r="T28" s="75"/>
      <c r="U28" s="75"/>
      <c r="V28" s="75"/>
      <c r="W28" s="61"/>
      <c r="X28" s="61"/>
      <c r="Y28" s="61"/>
      <c r="Z28" s="61"/>
      <c r="AA28" s="61"/>
    </row>
    <row r="29" spans="1:27" x14ac:dyDescent="0.2">
      <c r="A29" s="60">
        <v>29</v>
      </c>
      <c r="B29" s="63" t="s">
        <v>78</v>
      </c>
      <c r="C29" s="64"/>
      <c r="D29" s="63" t="s">
        <v>927</v>
      </c>
      <c r="E29" s="64" t="s">
        <v>929</v>
      </c>
      <c r="F29" s="63" t="s">
        <v>522</v>
      </c>
      <c r="G29" s="63" t="s">
        <v>524</v>
      </c>
      <c r="H29" s="63" t="s">
        <v>525</v>
      </c>
      <c r="I29" s="63" t="s">
        <v>558</v>
      </c>
      <c r="J29" s="60" t="s">
        <v>599</v>
      </c>
      <c r="K29" s="63" t="s">
        <v>574</v>
      </c>
      <c r="L29" s="64" t="s">
        <v>85</v>
      </c>
      <c r="M29" s="64">
        <v>0</v>
      </c>
      <c r="N29" s="64">
        <v>0</v>
      </c>
      <c r="O29" s="64">
        <v>0</v>
      </c>
      <c r="P29" s="64">
        <v>0</v>
      </c>
      <c r="Q29" s="60">
        <v>0</v>
      </c>
      <c r="R29" s="64">
        <v>0</v>
      </c>
      <c r="S29" s="60">
        <v>0</v>
      </c>
      <c r="T29" s="75"/>
      <c r="U29" s="75"/>
      <c r="V29" s="75"/>
      <c r="W29" s="61"/>
      <c r="X29" s="61"/>
      <c r="Y29" s="61"/>
      <c r="Z29" s="61"/>
      <c r="AA29" s="61"/>
    </row>
    <row r="30" spans="1:27" x14ac:dyDescent="0.2">
      <c r="A30" s="60">
        <v>30</v>
      </c>
      <c r="B30" s="62" t="s">
        <v>78</v>
      </c>
      <c r="C30" s="63" t="s">
        <v>927</v>
      </c>
      <c r="D30" s="64" t="s">
        <v>929</v>
      </c>
      <c r="E30" s="63" t="s">
        <v>565</v>
      </c>
      <c r="F30" s="63" t="s">
        <v>510</v>
      </c>
      <c r="G30" s="63" t="s">
        <v>512</v>
      </c>
      <c r="H30" s="63" t="s">
        <v>503</v>
      </c>
      <c r="I30" s="63" t="s">
        <v>565</v>
      </c>
      <c r="J30" s="60" t="s">
        <v>599</v>
      </c>
      <c r="K30" s="63">
        <v>0</v>
      </c>
      <c r="L30" s="64">
        <v>0</v>
      </c>
      <c r="M30" s="64">
        <v>0</v>
      </c>
      <c r="N30" s="64">
        <v>0</v>
      </c>
      <c r="O30" s="64">
        <v>0</v>
      </c>
      <c r="P30" s="64">
        <v>0</v>
      </c>
      <c r="Q30" s="60">
        <v>0</v>
      </c>
      <c r="R30" s="64">
        <v>0</v>
      </c>
      <c r="S30" s="60">
        <v>0</v>
      </c>
      <c r="T30" s="75"/>
      <c r="U30" s="75"/>
      <c r="V30" s="75"/>
      <c r="W30" s="61"/>
      <c r="X30" s="61"/>
      <c r="Y30" s="61"/>
      <c r="Z30" s="61"/>
      <c r="AA30" s="61"/>
    </row>
    <row r="31" spans="1:27" x14ac:dyDescent="0.2">
      <c r="A31" s="60">
        <v>31</v>
      </c>
      <c r="B31" s="63" t="s">
        <v>490</v>
      </c>
      <c r="C31" s="63" t="s">
        <v>526</v>
      </c>
      <c r="D31" s="64"/>
      <c r="E31" s="63" t="s">
        <v>527</v>
      </c>
      <c r="F31" s="63" t="s">
        <v>528</v>
      </c>
      <c r="G31" s="63" t="s">
        <v>529</v>
      </c>
      <c r="H31" s="63" t="s">
        <v>530</v>
      </c>
      <c r="I31" s="63" t="s">
        <v>531</v>
      </c>
      <c r="J31" s="60" t="s">
        <v>599</v>
      </c>
      <c r="K31" s="63" t="s">
        <v>574</v>
      </c>
      <c r="L31" s="64" t="s">
        <v>85</v>
      </c>
      <c r="M31" s="64">
        <v>0</v>
      </c>
      <c r="N31" s="64">
        <v>0</v>
      </c>
      <c r="O31" s="64">
        <v>0</v>
      </c>
      <c r="P31" s="64">
        <v>0</v>
      </c>
      <c r="Q31" s="60">
        <v>0</v>
      </c>
      <c r="R31" s="64">
        <v>0</v>
      </c>
      <c r="S31" s="60">
        <v>0</v>
      </c>
      <c r="T31" s="61"/>
      <c r="U31" s="61"/>
      <c r="V31" s="61"/>
      <c r="W31" s="61"/>
      <c r="X31" s="61"/>
      <c r="Y31" s="61"/>
      <c r="Z31" s="61"/>
      <c r="AA31" s="61"/>
    </row>
    <row r="32" spans="1:27" x14ac:dyDescent="0.2">
      <c r="A32" s="60">
        <v>32</v>
      </c>
      <c r="B32" s="62" t="s">
        <v>490</v>
      </c>
      <c r="C32" s="63" t="s">
        <v>963</v>
      </c>
      <c r="D32" s="64"/>
      <c r="E32" s="63" t="s">
        <v>527</v>
      </c>
      <c r="F32" s="63" t="s">
        <v>562</v>
      </c>
      <c r="G32" s="63" t="s">
        <v>532</v>
      </c>
      <c r="H32" s="63" t="s">
        <v>529</v>
      </c>
      <c r="I32" s="63" t="s">
        <v>562</v>
      </c>
      <c r="J32" s="60" t="s">
        <v>599</v>
      </c>
      <c r="K32" s="63" t="s">
        <v>6</v>
      </c>
      <c r="L32" s="64" t="s">
        <v>931</v>
      </c>
      <c r="M32" s="64">
        <v>0</v>
      </c>
      <c r="N32" s="64">
        <v>0</v>
      </c>
      <c r="O32" s="64">
        <v>0</v>
      </c>
      <c r="P32" s="64">
        <v>0</v>
      </c>
      <c r="Q32" s="60">
        <v>0</v>
      </c>
      <c r="R32" s="64">
        <v>0</v>
      </c>
      <c r="S32" s="60">
        <v>0</v>
      </c>
      <c r="T32" s="61"/>
      <c r="U32" s="61"/>
      <c r="V32" s="61"/>
      <c r="W32" s="61"/>
      <c r="X32" s="61"/>
      <c r="Y32" s="61"/>
      <c r="Z32" s="61"/>
      <c r="AA32" s="61"/>
    </row>
    <row r="33" spans="1:27" x14ac:dyDescent="0.2">
      <c r="A33" s="60">
        <v>33</v>
      </c>
      <c r="B33" s="60"/>
      <c r="C33" s="63" t="s">
        <v>533</v>
      </c>
      <c r="D33" s="63" t="s">
        <v>561</v>
      </c>
      <c r="E33" s="64"/>
      <c r="F33" s="64"/>
      <c r="G33" s="63" t="s">
        <v>530</v>
      </c>
      <c r="H33" s="63" t="s">
        <v>532</v>
      </c>
      <c r="I33" s="63" t="s">
        <v>531</v>
      </c>
      <c r="J33" s="60" t="s">
        <v>599</v>
      </c>
      <c r="K33" s="63" t="s">
        <v>967</v>
      </c>
      <c r="L33" s="64" t="s">
        <v>968</v>
      </c>
      <c r="M33" s="63" t="s">
        <v>575</v>
      </c>
      <c r="N33" s="64" t="s">
        <v>85</v>
      </c>
      <c r="O33" s="63" t="s">
        <v>964</v>
      </c>
      <c r="P33" s="64" t="s">
        <v>965</v>
      </c>
      <c r="Q33" s="60">
        <v>0</v>
      </c>
      <c r="R33" s="64">
        <v>0</v>
      </c>
      <c r="S33" s="60">
        <v>0</v>
      </c>
      <c r="T33" s="61"/>
      <c r="U33" s="61"/>
      <c r="V33" s="61"/>
      <c r="W33" s="61"/>
      <c r="X33" s="61"/>
      <c r="Y33" s="61"/>
      <c r="Z33" s="61"/>
      <c r="AA33" s="61"/>
    </row>
    <row r="34" spans="1:27" x14ac:dyDescent="0.2">
      <c r="A34" s="60">
        <v>34</v>
      </c>
      <c r="B34" s="62" t="s">
        <v>920</v>
      </c>
      <c r="C34" s="63" t="s">
        <v>565</v>
      </c>
      <c r="D34" s="64"/>
      <c r="E34" s="63" t="s">
        <v>534</v>
      </c>
      <c r="F34" s="63" t="s">
        <v>527</v>
      </c>
      <c r="G34" s="63" t="s">
        <v>530</v>
      </c>
      <c r="H34" s="63" t="s">
        <v>558</v>
      </c>
      <c r="I34" s="63" t="s">
        <v>565</v>
      </c>
      <c r="J34" s="60" t="s">
        <v>599</v>
      </c>
      <c r="K34" s="64" t="s">
        <v>1030</v>
      </c>
      <c r="L34" s="64" t="s">
        <v>1044</v>
      </c>
      <c r="M34" s="64">
        <v>0</v>
      </c>
      <c r="N34" s="64">
        <v>0</v>
      </c>
      <c r="O34" s="64">
        <v>0</v>
      </c>
      <c r="P34" s="64">
        <v>0</v>
      </c>
      <c r="Q34" s="60">
        <v>0</v>
      </c>
      <c r="R34" s="64">
        <v>0</v>
      </c>
      <c r="S34" s="60">
        <v>0</v>
      </c>
      <c r="T34" s="61"/>
      <c r="U34" s="61"/>
      <c r="V34" s="61"/>
      <c r="W34" s="61"/>
      <c r="X34" s="61"/>
      <c r="Y34" s="61"/>
      <c r="Z34" s="61"/>
      <c r="AA34" s="61"/>
    </row>
    <row r="35" spans="1:27" x14ac:dyDescent="0.2">
      <c r="A35" s="60">
        <v>35</v>
      </c>
      <c r="B35" s="63" t="s">
        <v>483</v>
      </c>
      <c r="C35" s="63" t="s">
        <v>533</v>
      </c>
      <c r="D35" s="63" t="s">
        <v>963</v>
      </c>
      <c r="E35" s="63" t="s">
        <v>535</v>
      </c>
      <c r="F35" s="63" t="s">
        <v>561</v>
      </c>
      <c r="G35" s="63" t="s">
        <v>600</v>
      </c>
      <c r="H35" s="63" t="s">
        <v>531</v>
      </c>
      <c r="I35" s="63" t="s">
        <v>558</v>
      </c>
      <c r="J35" s="60" t="s">
        <v>599</v>
      </c>
      <c r="K35" s="63">
        <v>0</v>
      </c>
      <c r="L35" s="64">
        <v>0</v>
      </c>
      <c r="M35" s="64">
        <v>0</v>
      </c>
      <c r="N35" s="64">
        <v>0</v>
      </c>
      <c r="O35" s="64">
        <v>0</v>
      </c>
      <c r="P35" s="64">
        <v>0</v>
      </c>
      <c r="Q35" s="60">
        <v>0</v>
      </c>
      <c r="R35" s="64">
        <v>0</v>
      </c>
      <c r="S35" s="60">
        <v>0</v>
      </c>
      <c r="T35" s="61"/>
      <c r="U35" s="61"/>
      <c r="V35" s="61"/>
      <c r="W35" s="61"/>
      <c r="X35" s="61"/>
      <c r="Y35" s="61"/>
      <c r="Z35" s="61"/>
      <c r="AA35" s="61"/>
    </row>
    <row r="36" spans="1:27" x14ac:dyDescent="0.2">
      <c r="A36" s="60">
        <v>36</v>
      </c>
      <c r="B36" s="62" t="s">
        <v>483</v>
      </c>
      <c r="C36" s="63" t="s">
        <v>533</v>
      </c>
      <c r="D36" s="63" t="s">
        <v>963</v>
      </c>
      <c r="E36" s="63" t="s">
        <v>535</v>
      </c>
      <c r="F36" s="63" t="s">
        <v>600</v>
      </c>
      <c r="G36" s="63" t="s">
        <v>531</v>
      </c>
      <c r="H36" s="63" t="s">
        <v>529</v>
      </c>
      <c r="I36" s="63" t="s">
        <v>566</v>
      </c>
      <c r="J36" s="60" t="s">
        <v>599</v>
      </c>
      <c r="K36" s="63">
        <v>0</v>
      </c>
      <c r="L36" s="64">
        <v>0</v>
      </c>
      <c r="M36" s="64">
        <v>0</v>
      </c>
      <c r="N36" s="64">
        <v>0</v>
      </c>
      <c r="O36" s="64">
        <v>0</v>
      </c>
      <c r="P36" s="64">
        <v>0</v>
      </c>
      <c r="Q36" s="60">
        <v>0</v>
      </c>
      <c r="R36" s="64">
        <v>0</v>
      </c>
      <c r="S36" s="60">
        <v>0</v>
      </c>
      <c r="T36" s="61"/>
      <c r="U36" s="61"/>
      <c r="V36" s="61"/>
      <c r="W36" s="61"/>
      <c r="X36" s="61"/>
      <c r="Y36" s="61"/>
      <c r="Z36" s="61"/>
      <c r="AA36" s="61"/>
    </row>
    <row r="37" spans="1:27" x14ac:dyDescent="0.2">
      <c r="A37" s="60">
        <v>37</v>
      </c>
      <c r="B37" s="63" t="s">
        <v>973</v>
      </c>
      <c r="C37" s="63" t="s">
        <v>527</v>
      </c>
      <c r="D37" s="63" t="s">
        <v>536</v>
      </c>
      <c r="E37" s="63" t="s">
        <v>561</v>
      </c>
      <c r="F37" s="64"/>
      <c r="G37" s="63" t="s">
        <v>532</v>
      </c>
      <c r="H37" s="63" t="s">
        <v>529</v>
      </c>
      <c r="I37" s="63" t="s">
        <v>531</v>
      </c>
      <c r="J37" s="60" t="s">
        <v>599</v>
      </c>
      <c r="K37" s="63" t="s">
        <v>576</v>
      </c>
      <c r="L37" s="64" t="s">
        <v>969</v>
      </c>
      <c r="M37" s="64">
        <v>0</v>
      </c>
      <c r="N37" s="64">
        <v>0</v>
      </c>
      <c r="O37" s="64">
        <v>0</v>
      </c>
      <c r="P37" s="64">
        <v>0</v>
      </c>
      <c r="Q37" s="60">
        <v>0</v>
      </c>
      <c r="R37" s="64">
        <v>0</v>
      </c>
      <c r="S37" s="60">
        <v>0</v>
      </c>
      <c r="T37" s="61"/>
      <c r="U37" s="61"/>
      <c r="V37" s="61"/>
      <c r="W37" s="61"/>
      <c r="X37" s="61"/>
      <c r="Y37" s="61"/>
      <c r="Z37" s="61"/>
      <c r="AA37" s="61"/>
    </row>
    <row r="38" spans="1:27" x14ac:dyDescent="0.2">
      <c r="A38" s="60">
        <v>38</v>
      </c>
      <c r="B38" s="62" t="s">
        <v>74</v>
      </c>
      <c r="C38" s="63" t="s">
        <v>561</v>
      </c>
      <c r="D38" s="63" t="s">
        <v>927</v>
      </c>
      <c r="E38" s="64" t="s">
        <v>929</v>
      </c>
      <c r="F38" s="63" t="s">
        <v>537</v>
      </c>
      <c r="G38" s="63" t="s">
        <v>529</v>
      </c>
      <c r="H38" s="63" t="s">
        <v>530</v>
      </c>
      <c r="I38" s="63" t="s">
        <v>496</v>
      </c>
      <c r="J38" s="60" t="s">
        <v>599</v>
      </c>
      <c r="K38" s="63">
        <v>0</v>
      </c>
      <c r="L38" s="64">
        <v>0</v>
      </c>
      <c r="M38" s="64">
        <v>0</v>
      </c>
      <c r="N38" s="64">
        <v>0</v>
      </c>
      <c r="O38" s="64">
        <v>0</v>
      </c>
      <c r="P38" s="64">
        <v>0</v>
      </c>
      <c r="Q38" s="60">
        <v>0</v>
      </c>
      <c r="R38" s="64">
        <v>0</v>
      </c>
      <c r="S38" s="60">
        <v>0</v>
      </c>
      <c r="T38" s="61"/>
      <c r="U38" s="61"/>
      <c r="V38" s="61"/>
      <c r="W38" s="61"/>
      <c r="X38" s="61"/>
      <c r="Y38" s="61"/>
      <c r="Z38" s="61"/>
      <c r="AA38" s="61"/>
    </row>
    <row r="39" spans="1:27" x14ac:dyDescent="0.2">
      <c r="A39" s="60">
        <v>39</v>
      </c>
      <c r="B39" s="63" t="s">
        <v>483</v>
      </c>
      <c r="C39" s="63" t="s">
        <v>565</v>
      </c>
      <c r="D39" s="63" t="s">
        <v>538</v>
      </c>
      <c r="E39" s="63" t="s">
        <v>532</v>
      </c>
      <c r="F39" s="63" t="s">
        <v>531</v>
      </c>
      <c r="G39" s="63" t="s">
        <v>577</v>
      </c>
      <c r="H39" s="63" t="s">
        <v>561</v>
      </c>
      <c r="I39" s="63" t="s">
        <v>558</v>
      </c>
      <c r="J39" s="60" t="s">
        <v>599</v>
      </c>
      <c r="K39" s="63">
        <v>0</v>
      </c>
      <c r="L39" s="64">
        <v>0</v>
      </c>
      <c r="M39" s="64">
        <v>0</v>
      </c>
      <c r="N39" s="64">
        <v>0</v>
      </c>
      <c r="O39" s="64">
        <v>0</v>
      </c>
      <c r="P39" s="64">
        <v>0</v>
      </c>
      <c r="Q39" s="60">
        <v>0</v>
      </c>
      <c r="R39" s="64">
        <v>0</v>
      </c>
      <c r="S39" s="60">
        <v>0</v>
      </c>
      <c r="T39" s="61"/>
      <c r="U39" s="61"/>
      <c r="V39" s="61"/>
      <c r="W39" s="61"/>
      <c r="X39" s="61"/>
      <c r="Y39" s="61"/>
      <c r="Z39" s="61"/>
      <c r="AA39" s="61"/>
    </row>
    <row r="40" spans="1:27" x14ac:dyDescent="0.2">
      <c r="A40" s="60">
        <v>40</v>
      </c>
      <c r="B40" s="62" t="s">
        <v>565</v>
      </c>
      <c r="C40" s="63" t="s">
        <v>534</v>
      </c>
      <c r="D40" s="64"/>
      <c r="E40" s="63" t="s">
        <v>535</v>
      </c>
      <c r="F40" s="63" t="s">
        <v>538</v>
      </c>
      <c r="G40" s="63" t="s">
        <v>532</v>
      </c>
      <c r="H40" s="63" t="s">
        <v>92</v>
      </c>
      <c r="I40" s="62" t="s">
        <v>578</v>
      </c>
      <c r="J40" s="60" t="s">
        <v>599</v>
      </c>
      <c r="K40" s="63" t="s">
        <v>1030</v>
      </c>
      <c r="L40" s="64" t="s">
        <v>968</v>
      </c>
      <c r="M40" s="64">
        <v>0</v>
      </c>
      <c r="N40" s="64">
        <v>0</v>
      </c>
      <c r="O40" s="64">
        <v>0</v>
      </c>
      <c r="P40" s="64">
        <v>0</v>
      </c>
      <c r="Q40" s="60">
        <v>0</v>
      </c>
      <c r="R40" s="64">
        <v>0</v>
      </c>
      <c r="S40" s="60">
        <v>0</v>
      </c>
      <c r="T40" s="61"/>
      <c r="U40" s="61"/>
      <c r="V40" s="61"/>
      <c r="W40" s="61"/>
      <c r="X40" s="61"/>
      <c r="Y40" s="61"/>
      <c r="Z40" s="61"/>
      <c r="AA40" s="61"/>
    </row>
    <row r="41" spans="1:27" x14ac:dyDescent="0.2">
      <c r="A41" s="60">
        <v>41</v>
      </c>
      <c r="B41" s="63" t="s">
        <v>483</v>
      </c>
      <c r="C41" s="63" t="s">
        <v>963</v>
      </c>
      <c r="D41" s="63" t="s">
        <v>970</v>
      </c>
      <c r="E41" s="60"/>
      <c r="F41" s="63" t="s">
        <v>539</v>
      </c>
      <c r="G41" s="63" t="s">
        <v>532</v>
      </c>
      <c r="H41" s="63" t="s">
        <v>531</v>
      </c>
      <c r="I41" s="63" t="s">
        <v>558</v>
      </c>
      <c r="J41" s="60" t="s">
        <v>599</v>
      </c>
      <c r="K41" s="74" t="s">
        <v>943</v>
      </c>
      <c r="L41" s="74" t="s">
        <v>972</v>
      </c>
      <c r="M41" s="64">
        <v>0</v>
      </c>
      <c r="N41" s="64">
        <v>0</v>
      </c>
      <c r="O41" s="64">
        <v>0</v>
      </c>
      <c r="P41" s="64">
        <v>0</v>
      </c>
      <c r="Q41" s="60">
        <v>0</v>
      </c>
      <c r="R41" s="64">
        <v>0</v>
      </c>
      <c r="S41" s="60">
        <v>0</v>
      </c>
      <c r="T41" s="61"/>
      <c r="U41" s="61"/>
      <c r="V41" s="61"/>
      <c r="W41" s="61"/>
      <c r="X41" s="61"/>
      <c r="Y41" s="61"/>
      <c r="Z41" s="61"/>
      <c r="AA41" s="61"/>
    </row>
    <row r="42" spans="1:27" x14ac:dyDescent="0.2">
      <c r="A42" s="60">
        <v>42</v>
      </c>
      <c r="B42" s="62" t="s">
        <v>920</v>
      </c>
      <c r="C42" s="63" t="s">
        <v>973</v>
      </c>
      <c r="D42" s="63" t="s">
        <v>931</v>
      </c>
      <c r="E42" s="63" t="s">
        <v>540</v>
      </c>
      <c r="F42" s="63" t="s">
        <v>561</v>
      </c>
      <c r="G42" s="63" t="s">
        <v>560</v>
      </c>
      <c r="H42" s="63" t="s">
        <v>560</v>
      </c>
      <c r="I42" s="63" t="s">
        <v>560</v>
      </c>
      <c r="J42" s="60" t="s">
        <v>599</v>
      </c>
      <c r="K42" s="63">
        <v>0</v>
      </c>
      <c r="L42" s="64">
        <v>0</v>
      </c>
      <c r="M42" s="64">
        <v>0</v>
      </c>
      <c r="N42" s="64">
        <v>0</v>
      </c>
      <c r="O42" s="64">
        <v>0</v>
      </c>
      <c r="P42" s="64">
        <v>0</v>
      </c>
      <c r="Q42" s="60">
        <v>0</v>
      </c>
      <c r="R42" s="64">
        <v>0</v>
      </c>
      <c r="S42" s="60">
        <v>0</v>
      </c>
      <c r="T42" s="61"/>
      <c r="U42" s="61"/>
      <c r="V42" s="61"/>
      <c r="W42" s="61"/>
      <c r="X42" s="61"/>
      <c r="Y42" s="61"/>
      <c r="Z42" s="61"/>
      <c r="AA42" s="61"/>
    </row>
    <row r="43" spans="1:27" x14ac:dyDescent="0.2">
      <c r="A43" s="60">
        <v>43</v>
      </c>
      <c r="B43" s="63" t="s">
        <v>498</v>
      </c>
      <c r="C43" s="63" t="s">
        <v>541</v>
      </c>
      <c r="D43" s="63" t="s">
        <v>539</v>
      </c>
      <c r="E43" s="63" t="s">
        <v>977</v>
      </c>
      <c r="F43" s="63" t="s">
        <v>975</v>
      </c>
      <c r="G43" s="63" t="s">
        <v>531</v>
      </c>
      <c r="H43" s="63" t="s">
        <v>542</v>
      </c>
      <c r="I43" s="63" t="s">
        <v>558</v>
      </c>
      <c r="J43" s="60" t="s">
        <v>599</v>
      </c>
      <c r="K43" s="63">
        <v>0</v>
      </c>
      <c r="L43" s="64">
        <v>0</v>
      </c>
      <c r="M43" s="64">
        <v>0</v>
      </c>
      <c r="N43" s="64">
        <v>0</v>
      </c>
      <c r="O43" s="64">
        <v>0</v>
      </c>
      <c r="P43" s="64">
        <v>0</v>
      </c>
      <c r="Q43" s="60">
        <v>0</v>
      </c>
      <c r="R43" s="64">
        <v>0</v>
      </c>
      <c r="S43" s="60">
        <v>0</v>
      </c>
      <c r="T43" s="61"/>
      <c r="U43" s="61"/>
      <c r="V43" s="61"/>
      <c r="W43" s="61"/>
      <c r="X43" s="61"/>
      <c r="Y43" s="61"/>
      <c r="Z43" s="61"/>
      <c r="AA43" s="61"/>
    </row>
    <row r="44" spans="1:27" x14ac:dyDescent="0.2">
      <c r="A44" s="60">
        <v>44</v>
      </c>
      <c r="B44" s="62" t="s">
        <v>497</v>
      </c>
      <c r="C44" s="64" t="s">
        <v>489</v>
      </c>
      <c r="D44" s="64" t="s">
        <v>974</v>
      </c>
      <c r="E44" s="64" t="s">
        <v>488</v>
      </c>
      <c r="F44" s="63" t="s">
        <v>975</v>
      </c>
      <c r="G44" s="63" t="s">
        <v>976</v>
      </c>
      <c r="H44" s="63" t="s">
        <v>560</v>
      </c>
      <c r="I44" s="63" t="s">
        <v>560</v>
      </c>
      <c r="J44" s="60" t="s">
        <v>599</v>
      </c>
      <c r="K44" s="63">
        <v>0</v>
      </c>
      <c r="L44" s="64">
        <v>0</v>
      </c>
      <c r="M44" s="64">
        <v>0</v>
      </c>
      <c r="N44" s="64">
        <v>0</v>
      </c>
      <c r="O44" s="64">
        <v>0</v>
      </c>
      <c r="P44" s="64">
        <v>0</v>
      </c>
      <c r="Q44" s="60">
        <v>0</v>
      </c>
      <c r="R44" s="64">
        <v>0</v>
      </c>
      <c r="S44" s="60">
        <v>0</v>
      </c>
      <c r="T44" s="61"/>
      <c r="U44" s="61"/>
      <c r="V44" s="61"/>
      <c r="W44" s="61"/>
      <c r="X44" s="61"/>
      <c r="Y44" s="61"/>
      <c r="Z44" s="61"/>
      <c r="AA44" s="61"/>
    </row>
    <row r="45" spans="1:27" x14ac:dyDescent="0.2">
      <c r="A45" s="60">
        <v>45</v>
      </c>
      <c r="B45" s="63" t="s">
        <v>74</v>
      </c>
      <c r="C45" s="63" t="s">
        <v>537</v>
      </c>
      <c r="D45" s="63" t="s">
        <v>527</v>
      </c>
      <c r="E45" s="63" t="s">
        <v>536</v>
      </c>
      <c r="F45" s="63" t="s">
        <v>561</v>
      </c>
      <c r="G45" s="63" t="s">
        <v>530</v>
      </c>
      <c r="H45" s="63" t="s">
        <v>558</v>
      </c>
      <c r="I45" s="63" t="s">
        <v>558</v>
      </c>
      <c r="J45" s="60" t="s">
        <v>599</v>
      </c>
      <c r="K45" s="63">
        <v>0</v>
      </c>
      <c r="L45" s="64">
        <v>0</v>
      </c>
      <c r="M45" s="64">
        <v>0</v>
      </c>
      <c r="N45" s="64">
        <v>0</v>
      </c>
      <c r="O45" s="64">
        <v>0</v>
      </c>
      <c r="P45" s="64">
        <v>0</v>
      </c>
      <c r="Q45" s="60">
        <v>0</v>
      </c>
      <c r="R45" s="64">
        <v>0</v>
      </c>
      <c r="S45" s="60">
        <v>0</v>
      </c>
      <c r="T45" s="61"/>
      <c r="U45" s="61"/>
      <c r="V45" s="61"/>
      <c r="W45" s="61"/>
      <c r="X45" s="61"/>
      <c r="Y45" s="61"/>
      <c r="Z45" s="61"/>
      <c r="AA45" s="61"/>
    </row>
    <row r="46" spans="1:27" x14ac:dyDescent="0.2">
      <c r="A46" s="60">
        <v>46</v>
      </c>
      <c r="B46" s="62" t="s">
        <v>78</v>
      </c>
      <c r="C46" s="63" t="s">
        <v>565</v>
      </c>
      <c r="D46" s="63" t="s">
        <v>527</v>
      </c>
      <c r="E46" s="63" t="s">
        <v>539</v>
      </c>
      <c r="F46" s="63" t="s">
        <v>536</v>
      </c>
      <c r="G46" s="63" t="s">
        <v>531</v>
      </c>
      <c r="H46" s="63" t="s">
        <v>558</v>
      </c>
      <c r="I46" s="63" t="s">
        <v>561</v>
      </c>
      <c r="J46" s="60" t="s">
        <v>599</v>
      </c>
      <c r="K46" s="63">
        <v>0</v>
      </c>
      <c r="L46" s="64">
        <v>0</v>
      </c>
      <c r="M46" s="64">
        <v>0</v>
      </c>
      <c r="N46" s="64">
        <v>0</v>
      </c>
      <c r="O46" s="64">
        <v>0</v>
      </c>
      <c r="P46" s="64">
        <v>0</v>
      </c>
      <c r="Q46" s="60">
        <v>0</v>
      </c>
      <c r="R46" s="64">
        <v>0</v>
      </c>
      <c r="S46" s="60">
        <v>0</v>
      </c>
      <c r="T46" s="61"/>
      <c r="U46" s="61"/>
      <c r="V46" s="61"/>
      <c r="W46" s="61"/>
      <c r="X46" s="61"/>
      <c r="Y46" s="61"/>
      <c r="Z46" s="61"/>
      <c r="AA46" s="61"/>
    </row>
    <row r="47" spans="1:27" x14ac:dyDescent="0.2">
      <c r="A47" s="60">
        <v>47</v>
      </c>
      <c r="B47" s="63" t="s">
        <v>483</v>
      </c>
      <c r="C47" s="63" t="s">
        <v>534</v>
      </c>
      <c r="D47" s="63" t="s">
        <v>527</v>
      </c>
      <c r="E47" s="63" t="s">
        <v>561</v>
      </c>
      <c r="F47" s="63" t="s">
        <v>539</v>
      </c>
      <c r="G47" s="63" t="s">
        <v>536</v>
      </c>
      <c r="H47" s="63" t="s">
        <v>532</v>
      </c>
      <c r="I47" s="63" t="s">
        <v>558</v>
      </c>
      <c r="J47" s="60" t="s">
        <v>599</v>
      </c>
      <c r="K47" s="63">
        <v>0</v>
      </c>
      <c r="L47" s="64">
        <v>0</v>
      </c>
      <c r="M47" s="64">
        <v>0</v>
      </c>
      <c r="N47" s="64">
        <v>0</v>
      </c>
      <c r="O47" s="64">
        <v>0</v>
      </c>
      <c r="P47" s="64">
        <v>0</v>
      </c>
      <c r="Q47" s="60">
        <v>0</v>
      </c>
      <c r="R47" s="64">
        <v>0</v>
      </c>
      <c r="S47" s="60">
        <v>0</v>
      </c>
      <c r="T47" s="61"/>
      <c r="U47" s="61"/>
      <c r="V47" s="61"/>
      <c r="W47" s="61"/>
      <c r="X47" s="61"/>
      <c r="Y47" s="61"/>
      <c r="Z47" s="61"/>
      <c r="AA47" s="61"/>
    </row>
    <row r="48" spans="1:27" x14ac:dyDescent="0.2">
      <c r="A48" s="60">
        <v>48</v>
      </c>
      <c r="B48" s="62" t="s">
        <v>483</v>
      </c>
      <c r="C48" s="63" t="s">
        <v>534</v>
      </c>
      <c r="D48" s="63" t="s">
        <v>543</v>
      </c>
      <c r="E48" s="63" t="s">
        <v>544</v>
      </c>
      <c r="F48" s="63" t="s">
        <v>539</v>
      </c>
      <c r="G48" s="63" t="s">
        <v>536</v>
      </c>
      <c r="H48" s="63" t="s">
        <v>531</v>
      </c>
      <c r="I48" s="63" t="s">
        <v>558</v>
      </c>
      <c r="J48" s="60" t="s">
        <v>599</v>
      </c>
      <c r="K48" s="63">
        <v>0</v>
      </c>
      <c r="L48" s="64">
        <v>0</v>
      </c>
      <c r="M48" s="64">
        <v>0</v>
      </c>
      <c r="N48" s="64">
        <v>0</v>
      </c>
      <c r="O48" s="64">
        <v>0</v>
      </c>
      <c r="P48" s="64">
        <v>0</v>
      </c>
      <c r="Q48" s="60">
        <v>0</v>
      </c>
      <c r="R48" s="64">
        <v>0</v>
      </c>
      <c r="S48" s="60">
        <v>0</v>
      </c>
      <c r="T48" s="61"/>
      <c r="U48" s="61"/>
      <c r="V48" s="61"/>
      <c r="W48" s="61"/>
      <c r="X48" s="61"/>
      <c r="Y48" s="61"/>
      <c r="Z48" s="61"/>
      <c r="AA48" s="61"/>
    </row>
    <row r="49" spans="1:27" x14ac:dyDescent="0.2">
      <c r="A49" s="60">
        <v>49</v>
      </c>
      <c r="B49" s="63" t="s">
        <v>483</v>
      </c>
      <c r="C49" s="63" t="s">
        <v>535</v>
      </c>
      <c r="D49" s="63" t="s">
        <v>545</v>
      </c>
      <c r="E49" s="63" t="s">
        <v>565</v>
      </c>
      <c r="F49" s="63" t="s">
        <v>532</v>
      </c>
      <c r="G49" s="63" t="s">
        <v>531</v>
      </c>
      <c r="H49" s="63" t="s">
        <v>558</v>
      </c>
      <c r="I49" s="63" t="s">
        <v>565</v>
      </c>
      <c r="J49" s="60" t="s">
        <v>599</v>
      </c>
      <c r="K49" s="63">
        <v>0</v>
      </c>
      <c r="L49" s="64">
        <v>0</v>
      </c>
      <c r="M49" s="64">
        <v>0</v>
      </c>
      <c r="N49" s="64">
        <v>0</v>
      </c>
      <c r="O49" s="64">
        <v>0</v>
      </c>
      <c r="P49" s="64">
        <v>0</v>
      </c>
      <c r="Q49" s="60">
        <v>0</v>
      </c>
      <c r="R49" s="64">
        <v>0</v>
      </c>
      <c r="S49" s="60">
        <v>0</v>
      </c>
      <c r="T49" s="61"/>
      <c r="U49" s="61"/>
      <c r="V49" s="61"/>
      <c r="W49" s="61"/>
      <c r="X49" s="61"/>
      <c r="Y49" s="61"/>
      <c r="Z49" s="61"/>
      <c r="AA49" s="61"/>
    </row>
    <row r="50" spans="1:27" x14ac:dyDescent="0.2">
      <c r="A50" s="60">
        <v>50</v>
      </c>
      <c r="B50" s="62" t="s">
        <v>499</v>
      </c>
      <c r="C50" s="63" t="s">
        <v>535</v>
      </c>
      <c r="D50" s="63" t="s">
        <v>546</v>
      </c>
      <c r="E50" s="63" t="s">
        <v>544</v>
      </c>
      <c r="F50" s="63" t="s">
        <v>527</v>
      </c>
      <c r="G50" s="63" t="s">
        <v>545</v>
      </c>
      <c r="H50" s="63" t="s">
        <v>547</v>
      </c>
      <c r="I50" s="63" t="s">
        <v>532</v>
      </c>
      <c r="J50" s="60" t="s">
        <v>599</v>
      </c>
      <c r="K50" s="63">
        <v>0</v>
      </c>
      <c r="L50" s="64">
        <v>0</v>
      </c>
      <c r="M50" s="64">
        <v>0</v>
      </c>
      <c r="N50" s="64">
        <v>0</v>
      </c>
      <c r="O50" s="64">
        <v>0</v>
      </c>
      <c r="P50" s="64">
        <v>0</v>
      </c>
      <c r="Q50" s="60">
        <v>0</v>
      </c>
      <c r="R50" s="64">
        <v>0</v>
      </c>
      <c r="S50" s="60">
        <v>0</v>
      </c>
      <c r="T50" s="61"/>
      <c r="U50" s="61"/>
      <c r="V50" s="61"/>
      <c r="W50" s="61"/>
      <c r="X50" s="61"/>
      <c r="Y50" s="61"/>
      <c r="Z50" s="61"/>
      <c r="AA50" s="61"/>
    </row>
    <row r="51" spans="1:27" x14ac:dyDescent="0.2">
      <c r="A51" s="60">
        <v>51</v>
      </c>
      <c r="B51" s="63" t="s">
        <v>963</v>
      </c>
      <c r="C51" s="63" t="s">
        <v>543</v>
      </c>
      <c r="D51" s="63" t="s">
        <v>600</v>
      </c>
      <c r="E51" s="63" t="s">
        <v>539</v>
      </c>
      <c r="F51" s="63" t="s">
        <v>548</v>
      </c>
      <c r="G51" s="63" t="s">
        <v>975</v>
      </c>
      <c r="H51" s="63" t="s">
        <v>976</v>
      </c>
      <c r="I51" s="63" t="s">
        <v>558</v>
      </c>
      <c r="J51" s="60" t="s">
        <v>599</v>
      </c>
      <c r="K51" s="63">
        <v>0</v>
      </c>
      <c r="L51" s="64">
        <v>0</v>
      </c>
      <c r="M51" s="64">
        <v>0</v>
      </c>
      <c r="N51" s="64">
        <v>0</v>
      </c>
      <c r="O51" s="64">
        <v>0</v>
      </c>
      <c r="P51" s="64">
        <v>0</v>
      </c>
      <c r="Q51" s="60">
        <v>0</v>
      </c>
      <c r="R51" s="64">
        <v>0</v>
      </c>
      <c r="S51" s="60">
        <v>0</v>
      </c>
      <c r="T51" s="61"/>
      <c r="U51" s="61"/>
      <c r="V51" s="61"/>
      <c r="W51" s="61"/>
      <c r="X51" s="61"/>
      <c r="Y51" s="61"/>
      <c r="Z51" s="61"/>
      <c r="AA51" s="61"/>
    </row>
    <row r="52" spans="1:27" x14ac:dyDescent="0.2">
      <c r="A52" s="60">
        <v>52</v>
      </c>
      <c r="B52" s="62" t="s">
        <v>978</v>
      </c>
      <c r="C52" s="63" t="s">
        <v>565</v>
      </c>
      <c r="D52" s="63" t="s">
        <v>549</v>
      </c>
      <c r="E52" s="63" t="s">
        <v>565</v>
      </c>
      <c r="F52" s="63" t="s">
        <v>527</v>
      </c>
      <c r="G52" s="63" t="s">
        <v>532</v>
      </c>
      <c r="H52" s="63" t="s">
        <v>558</v>
      </c>
      <c r="I52" s="63" t="s">
        <v>558</v>
      </c>
      <c r="J52" s="60" t="s">
        <v>599</v>
      </c>
      <c r="K52" s="63">
        <v>0</v>
      </c>
      <c r="L52" s="64">
        <v>0</v>
      </c>
      <c r="M52" s="64">
        <v>0</v>
      </c>
      <c r="N52" s="64">
        <v>0</v>
      </c>
      <c r="O52" s="64">
        <v>0</v>
      </c>
      <c r="P52" s="64">
        <v>0</v>
      </c>
      <c r="Q52" s="60">
        <v>0</v>
      </c>
      <c r="R52" s="64">
        <v>0</v>
      </c>
      <c r="S52" s="60">
        <v>0</v>
      </c>
      <c r="T52" s="61"/>
      <c r="U52" s="61"/>
      <c r="V52" s="61"/>
      <c r="W52" s="61"/>
      <c r="X52" s="61"/>
      <c r="Y52" s="61"/>
      <c r="Z52" s="61"/>
      <c r="AA52" s="61"/>
    </row>
    <row r="53" spans="1:27" x14ac:dyDescent="0.2">
      <c r="A53" s="60">
        <v>53</v>
      </c>
      <c r="B53" s="60"/>
      <c r="C53" s="63" t="s">
        <v>968</v>
      </c>
      <c r="D53" s="63" t="s">
        <v>535</v>
      </c>
      <c r="E53" s="63" t="s">
        <v>537</v>
      </c>
      <c r="F53" s="63" t="s">
        <v>937</v>
      </c>
      <c r="G53" s="63" t="s">
        <v>536</v>
      </c>
      <c r="H53" s="63" t="s">
        <v>931</v>
      </c>
      <c r="I53" s="63" t="s">
        <v>1522</v>
      </c>
      <c r="J53" s="60" t="s">
        <v>599</v>
      </c>
      <c r="K53" s="63" t="s">
        <v>979</v>
      </c>
      <c r="L53" s="64" t="s">
        <v>980</v>
      </c>
      <c r="M53" s="64">
        <v>0</v>
      </c>
      <c r="N53" s="64">
        <v>0</v>
      </c>
      <c r="O53" s="64">
        <v>0</v>
      </c>
      <c r="P53" s="64">
        <v>0</v>
      </c>
      <c r="Q53" s="60">
        <v>0</v>
      </c>
      <c r="R53" s="64">
        <v>0</v>
      </c>
      <c r="S53" s="60">
        <v>0</v>
      </c>
      <c r="T53" s="61"/>
      <c r="U53" s="61"/>
      <c r="V53" s="61"/>
      <c r="W53" s="61"/>
      <c r="X53" s="61"/>
      <c r="Y53" s="61"/>
      <c r="Z53" s="61"/>
      <c r="AA53" s="61"/>
    </row>
    <row r="54" spans="1:27" x14ac:dyDescent="0.2">
      <c r="A54" s="60">
        <v>54</v>
      </c>
      <c r="B54" s="62" t="s">
        <v>981</v>
      </c>
      <c r="C54" s="64"/>
      <c r="D54" s="63" t="s">
        <v>561</v>
      </c>
      <c r="E54" s="63" t="s">
        <v>539</v>
      </c>
      <c r="F54" s="63" t="s">
        <v>937</v>
      </c>
      <c r="G54" s="63" t="s">
        <v>548</v>
      </c>
      <c r="H54" s="63" t="s">
        <v>550</v>
      </c>
      <c r="I54" s="63" t="s">
        <v>558</v>
      </c>
      <c r="J54" s="60" t="s">
        <v>599</v>
      </c>
      <c r="K54" s="63" t="s">
        <v>580</v>
      </c>
      <c r="L54" s="64" t="s">
        <v>521</v>
      </c>
      <c r="M54" s="64">
        <v>0</v>
      </c>
      <c r="N54" s="64">
        <v>0</v>
      </c>
      <c r="O54" s="64">
        <v>0</v>
      </c>
      <c r="P54" s="64">
        <v>0</v>
      </c>
      <c r="Q54" s="60">
        <v>0</v>
      </c>
      <c r="R54" s="64">
        <v>0</v>
      </c>
      <c r="S54" s="60">
        <v>0</v>
      </c>
      <c r="T54" s="61"/>
      <c r="U54" s="61"/>
      <c r="V54" s="61"/>
      <c r="W54" s="61"/>
      <c r="X54" s="61"/>
      <c r="Y54" s="61"/>
      <c r="Z54" s="61"/>
      <c r="AA54" s="61"/>
    </row>
    <row r="55" spans="1:27" x14ac:dyDescent="0.2">
      <c r="A55" s="60">
        <v>55</v>
      </c>
      <c r="B55" s="63" t="s">
        <v>78</v>
      </c>
      <c r="C55" s="63" t="s">
        <v>1030</v>
      </c>
      <c r="D55" s="63" t="s">
        <v>968</v>
      </c>
      <c r="E55" s="63" t="s">
        <v>551</v>
      </c>
      <c r="F55" s="63" t="s">
        <v>547</v>
      </c>
      <c r="G55" s="63" t="s">
        <v>530</v>
      </c>
      <c r="H55" s="63" t="s">
        <v>531</v>
      </c>
      <c r="I55" s="63" t="s">
        <v>558</v>
      </c>
      <c r="J55" s="60" t="s">
        <v>599</v>
      </c>
      <c r="K55" s="63">
        <v>0</v>
      </c>
      <c r="L55" s="64">
        <v>0</v>
      </c>
      <c r="M55" s="64">
        <v>0</v>
      </c>
      <c r="N55" s="64">
        <v>0</v>
      </c>
      <c r="O55" s="64">
        <v>0</v>
      </c>
      <c r="P55" s="64">
        <v>0</v>
      </c>
      <c r="Q55" s="60">
        <v>0</v>
      </c>
      <c r="R55" s="64">
        <v>0</v>
      </c>
      <c r="S55" s="60">
        <v>0</v>
      </c>
      <c r="T55" s="61"/>
      <c r="U55" s="61"/>
      <c r="V55" s="61"/>
      <c r="W55" s="61"/>
      <c r="X55" s="61"/>
      <c r="Y55" s="61"/>
      <c r="Z55" s="61"/>
      <c r="AA55" s="61"/>
    </row>
    <row r="56" spans="1:27" x14ac:dyDescent="0.2">
      <c r="A56" s="60">
        <v>56</v>
      </c>
      <c r="B56" s="62" t="s">
        <v>74</v>
      </c>
      <c r="C56" s="63" t="s">
        <v>552</v>
      </c>
      <c r="D56" s="63" t="s">
        <v>534</v>
      </c>
      <c r="E56" s="63" t="s">
        <v>541</v>
      </c>
      <c r="F56" s="63" t="s">
        <v>537</v>
      </c>
      <c r="G56" s="63" t="s">
        <v>539</v>
      </c>
      <c r="H56" s="63" t="s">
        <v>548</v>
      </c>
      <c r="I56" s="63" t="s">
        <v>496</v>
      </c>
      <c r="J56" s="60" t="s">
        <v>599</v>
      </c>
      <c r="K56" s="63">
        <v>0</v>
      </c>
      <c r="L56" s="64">
        <v>0</v>
      </c>
      <c r="M56" s="64">
        <v>0</v>
      </c>
      <c r="N56" s="64">
        <v>0</v>
      </c>
      <c r="O56" s="64">
        <v>0</v>
      </c>
      <c r="P56" s="64">
        <v>0</v>
      </c>
      <c r="Q56" s="60">
        <v>0</v>
      </c>
      <c r="R56" s="64">
        <v>0</v>
      </c>
      <c r="S56" s="60">
        <v>0</v>
      </c>
      <c r="T56" s="61"/>
      <c r="U56" s="61"/>
      <c r="V56" s="61"/>
      <c r="W56" s="61"/>
      <c r="X56" s="61"/>
      <c r="Y56" s="61"/>
      <c r="Z56" s="61"/>
      <c r="AA56" s="61"/>
    </row>
    <row r="57" spans="1:27" x14ac:dyDescent="0.2">
      <c r="A57" s="60">
        <v>57</v>
      </c>
      <c r="B57" s="63" t="s">
        <v>487</v>
      </c>
      <c r="C57" s="63" t="s">
        <v>931</v>
      </c>
      <c r="D57" s="63" t="s">
        <v>545</v>
      </c>
      <c r="E57" s="63" t="s">
        <v>527</v>
      </c>
      <c r="F57" s="63" t="s">
        <v>562</v>
      </c>
      <c r="G57" s="63" t="s">
        <v>532</v>
      </c>
      <c r="H57" s="63" t="s">
        <v>558</v>
      </c>
      <c r="I57" s="63" t="s">
        <v>562</v>
      </c>
      <c r="J57" s="60" t="s">
        <v>599</v>
      </c>
      <c r="K57" s="63">
        <v>0</v>
      </c>
      <c r="L57" s="64">
        <v>0</v>
      </c>
      <c r="M57" s="64">
        <v>0</v>
      </c>
      <c r="N57" s="64">
        <v>0</v>
      </c>
      <c r="O57" s="64">
        <v>0</v>
      </c>
      <c r="P57" s="64">
        <v>0</v>
      </c>
      <c r="Q57" s="60">
        <v>0</v>
      </c>
      <c r="R57" s="64">
        <v>0</v>
      </c>
      <c r="S57" s="60">
        <v>0</v>
      </c>
      <c r="T57" s="61"/>
      <c r="U57" s="61"/>
      <c r="V57" s="61"/>
      <c r="W57" s="61"/>
      <c r="X57" s="61"/>
      <c r="Y57" s="61"/>
      <c r="Z57" s="61"/>
      <c r="AA57" s="61"/>
    </row>
    <row r="58" spans="1:27" x14ac:dyDescent="0.2">
      <c r="A58" s="60">
        <v>58</v>
      </c>
      <c r="B58" s="62" t="s">
        <v>982</v>
      </c>
      <c r="C58" s="63" t="s">
        <v>600</v>
      </c>
      <c r="D58" s="63" t="s">
        <v>553</v>
      </c>
      <c r="E58" s="63" t="s">
        <v>547</v>
      </c>
      <c r="F58" s="63" t="s">
        <v>975</v>
      </c>
      <c r="G58" s="63" t="s">
        <v>1484</v>
      </c>
      <c r="H58" s="63" t="s">
        <v>1485</v>
      </c>
      <c r="I58" s="63" t="s">
        <v>531</v>
      </c>
      <c r="J58" s="60" t="s">
        <v>599</v>
      </c>
      <c r="K58" s="63">
        <v>0</v>
      </c>
      <c r="L58" s="64">
        <v>0</v>
      </c>
      <c r="M58" s="64">
        <v>0</v>
      </c>
      <c r="N58" s="64">
        <v>0</v>
      </c>
      <c r="O58" s="64">
        <v>0</v>
      </c>
      <c r="P58" s="64">
        <v>0</v>
      </c>
      <c r="Q58" s="60">
        <v>0</v>
      </c>
      <c r="R58" s="64">
        <v>0</v>
      </c>
      <c r="S58" s="60">
        <v>0</v>
      </c>
      <c r="T58" s="61"/>
      <c r="U58" s="61"/>
      <c r="V58" s="61"/>
      <c r="W58" s="61"/>
      <c r="X58" s="61"/>
      <c r="Y58" s="61"/>
      <c r="Z58" s="61"/>
      <c r="AA58" s="61"/>
    </row>
    <row r="59" spans="1:27" x14ac:dyDescent="0.2">
      <c r="A59" s="60">
        <v>59</v>
      </c>
      <c r="B59" s="63" t="s">
        <v>483</v>
      </c>
      <c r="C59" s="63" t="s">
        <v>963</v>
      </c>
      <c r="D59" s="63" t="s">
        <v>565</v>
      </c>
      <c r="E59" s="63" t="s">
        <v>527</v>
      </c>
      <c r="F59" s="63" t="s">
        <v>532</v>
      </c>
      <c r="G59" s="63" t="s">
        <v>529</v>
      </c>
      <c r="H59" s="63" t="s">
        <v>531</v>
      </c>
      <c r="I59" s="63" t="s">
        <v>565</v>
      </c>
      <c r="J59" s="60" t="s">
        <v>599</v>
      </c>
      <c r="K59" s="63">
        <v>0</v>
      </c>
      <c r="L59" s="64">
        <v>0</v>
      </c>
      <c r="M59" s="64">
        <v>0</v>
      </c>
      <c r="N59" s="64">
        <v>0</v>
      </c>
      <c r="O59" s="64">
        <v>0</v>
      </c>
      <c r="P59" s="64">
        <v>0</v>
      </c>
      <c r="Q59" s="60">
        <v>0</v>
      </c>
      <c r="R59" s="64">
        <v>0</v>
      </c>
      <c r="S59" s="60">
        <v>0</v>
      </c>
      <c r="T59" s="61"/>
      <c r="U59" s="61"/>
      <c r="V59" s="61"/>
      <c r="W59" s="61"/>
      <c r="X59" s="61"/>
      <c r="Y59" s="61"/>
      <c r="Z59" s="61"/>
      <c r="AA59" s="61"/>
    </row>
    <row r="60" spans="1:27" x14ac:dyDescent="0.2">
      <c r="A60" s="60">
        <v>60</v>
      </c>
      <c r="B60" s="62" t="s">
        <v>486</v>
      </c>
      <c r="C60" s="63" t="s">
        <v>968</v>
      </c>
      <c r="D60" s="63" t="s">
        <v>551</v>
      </c>
      <c r="E60" s="63" t="s">
        <v>527</v>
      </c>
      <c r="F60" s="63" t="s">
        <v>562</v>
      </c>
      <c r="G60" s="63" t="s">
        <v>532</v>
      </c>
      <c r="H60" s="63" t="s">
        <v>531</v>
      </c>
      <c r="I60" s="63" t="s">
        <v>562</v>
      </c>
      <c r="J60" s="60" t="s">
        <v>599</v>
      </c>
      <c r="K60" s="63">
        <v>0</v>
      </c>
      <c r="L60" s="64">
        <v>0</v>
      </c>
      <c r="M60" s="64">
        <v>0</v>
      </c>
      <c r="N60" s="64">
        <v>0</v>
      </c>
      <c r="O60" s="64">
        <v>0</v>
      </c>
      <c r="P60" s="64">
        <v>0</v>
      </c>
      <c r="Q60" s="60">
        <v>0</v>
      </c>
      <c r="R60" s="64">
        <v>0</v>
      </c>
      <c r="S60" s="60">
        <v>0</v>
      </c>
      <c r="T60" s="61"/>
      <c r="U60" s="61"/>
      <c r="V60" s="61"/>
      <c r="W60" s="61"/>
      <c r="X60" s="61"/>
      <c r="Y60" s="61"/>
      <c r="Z60" s="61"/>
      <c r="AA60" s="61"/>
    </row>
    <row r="61" spans="1:27" x14ac:dyDescent="0.2">
      <c r="A61" s="60">
        <v>61</v>
      </c>
      <c r="B61" s="63" t="s">
        <v>78</v>
      </c>
      <c r="C61" s="63" t="s">
        <v>967</v>
      </c>
      <c r="D61" s="63" t="s">
        <v>983</v>
      </c>
      <c r="E61" s="63" t="s">
        <v>565</v>
      </c>
      <c r="F61" s="63" t="s">
        <v>532</v>
      </c>
      <c r="G61" s="63" t="s">
        <v>558</v>
      </c>
      <c r="H61" s="63" t="s">
        <v>565</v>
      </c>
      <c r="I61" s="63" t="s">
        <v>558</v>
      </c>
      <c r="J61" s="60" t="s">
        <v>599</v>
      </c>
      <c r="K61" s="63">
        <v>0</v>
      </c>
      <c r="L61" s="64">
        <v>0</v>
      </c>
      <c r="M61" s="64">
        <v>0</v>
      </c>
      <c r="N61" s="64">
        <v>0</v>
      </c>
      <c r="O61" s="64">
        <v>0</v>
      </c>
      <c r="P61" s="64">
        <v>0</v>
      </c>
      <c r="Q61" s="60">
        <v>0</v>
      </c>
      <c r="R61" s="64">
        <v>0</v>
      </c>
      <c r="S61" s="60">
        <v>0</v>
      </c>
      <c r="T61" s="61"/>
      <c r="U61" s="61"/>
      <c r="V61" s="61"/>
      <c r="W61" s="61"/>
      <c r="X61" s="61"/>
      <c r="Y61" s="61"/>
      <c r="Z61" s="61"/>
      <c r="AA61" s="61"/>
    </row>
    <row r="62" spans="1:27" x14ac:dyDescent="0.2">
      <c r="A62" s="60">
        <v>62</v>
      </c>
      <c r="B62" s="62" t="s">
        <v>920</v>
      </c>
      <c r="C62" s="63" t="s">
        <v>565</v>
      </c>
      <c r="D62" s="64" t="s">
        <v>984</v>
      </c>
      <c r="E62" s="63" t="s">
        <v>535</v>
      </c>
      <c r="F62" s="63" t="s">
        <v>931</v>
      </c>
      <c r="G62" s="63" t="s">
        <v>536</v>
      </c>
      <c r="H62" s="63" t="s">
        <v>540</v>
      </c>
      <c r="I62" s="63" t="s">
        <v>565</v>
      </c>
      <c r="J62" s="60" t="s">
        <v>599</v>
      </c>
      <c r="K62" s="63">
        <v>0</v>
      </c>
      <c r="L62" s="64">
        <v>0</v>
      </c>
      <c r="M62" s="64">
        <v>0</v>
      </c>
      <c r="N62" s="64">
        <v>0</v>
      </c>
      <c r="O62" s="64">
        <v>0</v>
      </c>
      <c r="P62" s="64">
        <v>0</v>
      </c>
      <c r="Q62" s="60">
        <v>0</v>
      </c>
      <c r="R62" s="64">
        <v>0</v>
      </c>
      <c r="S62" s="60">
        <v>0</v>
      </c>
      <c r="T62" s="61"/>
      <c r="U62" s="61"/>
      <c r="V62" s="61"/>
      <c r="W62" s="61"/>
      <c r="X62" s="61"/>
      <c r="Y62" s="61"/>
      <c r="Z62" s="61"/>
      <c r="AA62" s="61"/>
    </row>
    <row r="63" spans="1:27" x14ac:dyDescent="0.2">
      <c r="A63" s="60">
        <v>63</v>
      </c>
      <c r="B63" s="63" t="s">
        <v>920</v>
      </c>
      <c r="C63" s="63" t="s">
        <v>554</v>
      </c>
      <c r="D63" s="63" t="s">
        <v>537</v>
      </c>
      <c r="E63" s="63" t="s">
        <v>527</v>
      </c>
      <c r="F63" s="64"/>
      <c r="G63" s="63" t="s">
        <v>536</v>
      </c>
      <c r="H63" s="63" t="s">
        <v>530</v>
      </c>
      <c r="I63" s="63" t="s">
        <v>558</v>
      </c>
      <c r="J63" s="60" t="s">
        <v>599</v>
      </c>
      <c r="K63" s="63" t="s">
        <v>84</v>
      </c>
      <c r="L63" s="64" t="s">
        <v>581</v>
      </c>
      <c r="M63" s="64">
        <v>0</v>
      </c>
      <c r="N63" s="64">
        <v>0</v>
      </c>
      <c r="O63" s="64">
        <v>0</v>
      </c>
      <c r="P63" s="64">
        <v>0</v>
      </c>
      <c r="Q63" s="60">
        <v>0</v>
      </c>
      <c r="R63" s="64">
        <v>0</v>
      </c>
      <c r="S63" s="60">
        <v>0</v>
      </c>
      <c r="T63" s="61"/>
      <c r="U63" s="61"/>
      <c r="V63" s="61"/>
      <c r="W63" s="61"/>
      <c r="X63" s="61"/>
      <c r="Y63" s="61"/>
      <c r="Z63" s="61"/>
      <c r="AA63" s="61"/>
    </row>
    <row r="64" spans="1:27" x14ac:dyDescent="0.2">
      <c r="A64" s="60">
        <v>64</v>
      </c>
      <c r="B64" s="62" t="s">
        <v>79</v>
      </c>
      <c r="C64" s="63" t="s">
        <v>561</v>
      </c>
      <c r="D64" s="63" t="s">
        <v>1030</v>
      </c>
      <c r="E64" s="63" t="s">
        <v>541</v>
      </c>
      <c r="F64" s="63" t="s">
        <v>527</v>
      </c>
      <c r="G64" s="63" t="s">
        <v>539</v>
      </c>
      <c r="H64" s="63" t="s">
        <v>532</v>
      </c>
      <c r="I64" s="63" t="s">
        <v>530</v>
      </c>
      <c r="J64" s="60" t="s">
        <v>599</v>
      </c>
      <c r="K64" s="63">
        <v>0</v>
      </c>
      <c r="L64" s="64">
        <v>0</v>
      </c>
      <c r="M64" s="64">
        <v>0</v>
      </c>
      <c r="N64" s="64">
        <v>0</v>
      </c>
      <c r="O64" s="64">
        <v>0</v>
      </c>
      <c r="P64" s="64">
        <v>0</v>
      </c>
      <c r="Q64" s="60">
        <v>0</v>
      </c>
      <c r="R64" s="64">
        <v>0</v>
      </c>
      <c r="S64" s="60">
        <v>0</v>
      </c>
      <c r="T64" s="61"/>
      <c r="U64" s="61"/>
      <c r="V64" s="61"/>
      <c r="W64" s="61"/>
      <c r="X64" s="61"/>
      <c r="Y64" s="61"/>
      <c r="Z64" s="61"/>
      <c r="AA64" s="61"/>
    </row>
    <row r="65" spans="1:31" x14ac:dyDescent="0.2">
      <c r="A65" s="60">
        <v>65</v>
      </c>
      <c r="B65" s="63" t="s">
        <v>920</v>
      </c>
      <c r="C65" s="63" t="s">
        <v>561</v>
      </c>
      <c r="D65" s="63" t="s">
        <v>535</v>
      </c>
      <c r="E65" s="63" t="s">
        <v>600</v>
      </c>
      <c r="F65" s="63" t="s">
        <v>545</v>
      </c>
      <c r="G65" s="63" t="s">
        <v>532</v>
      </c>
      <c r="H65" s="63" t="s">
        <v>558</v>
      </c>
      <c r="I65" s="63" t="s">
        <v>558</v>
      </c>
      <c r="J65" s="60" t="s">
        <v>599</v>
      </c>
      <c r="K65" s="63">
        <v>0</v>
      </c>
      <c r="L65" s="64">
        <v>0</v>
      </c>
      <c r="M65" s="64">
        <v>0</v>
      </c>
      <c r="N65" s="64">
        <v>0</v>
      </c>
      <c r="O65" s="64">
        <v>0</v>
      </c>
      <c r="P65" s="64">
        <v>0</v>
      </c>
      <c r="Q65" s="60">
        <v>0</v>
      </c>
      <c r="R65" s="64">
        <v>0</v>
      </c>
      <c r="S65" s="60">
        <v>0</v>
      </c>
      <c r="T65" s="61"/>
      <c r="U65" s="61"/>
      <c r="V65" s="61"/>
      <c r="W65" s="61"/>
      <c r="X65" s="61"/>
      <c r="Y65" s="61"/>
      <c r="Z65" s="61"/>
      <c r="AA65" s="61"/>
    </row>
    <row r="66" spans="1:31" x14ac:dyDescent="0.2">
      <c r="A66" s="60">
        <v>66</v>
      </c>
      <c r="B66" s="62" t="s">
        <v>978</v>
      </c>
      <c r="C66" s="63" t="s">
        <v>535</v>
      </c>
      <c r="D66" s="63" t="s">
        <v>527</v>
      </c>
      <c r="E66" s="63" t="s">
        <v>545</v>
      </c>
      <c r="F66" s="63" t="s">
        <v>561</v>
      </c>
      <c r="G66" s="63" t="s">
        <v>532</v>
      </c>
      <c r="H66" s="63" t="s">
        <v>530</v>
      </c>
      <c r="I66" s="63" t="s">
        <v>531</v>
      </c>
      <c r="J66" s="60" t="s">
        <v>599</v>
      </c>
      <c r="K66" s="63">
        <v>0</v>
      </c>
      <c r="L66" s="64">
        <v>0</v>
      </c>
      <c r="M66" s="64">
        <v>0</v>
      </c>
      <c r="N66" s="64">
        <v>0</v>
      </c>
      <c r="O66" s="64">
        <v>0</v>
      </c>
      <c r="P66" s="64">
        <v>0</v>
      </c>
      <c r="Q66" s="60">
        <v>0</v>
      </c>
      <c r="R66" s="64">
        <v>0</v>
      </c>
      <c r="S66" s="60">
        <v>0</v>
      </c>
      <c r="T66" s="61"/>
      <c r="U66" s="61"/>
      <c r="V66" s="61"/>
      <c r="W66" s="61"/>
      <c r="X66" s="61"/>
      <c r="Y66" s="61"/>
      <c r="Z66" s="61"/>
      <c r="AA66" s="61"/>
    </row>
    <row r="67" spans="1:31" x14ac:dyDescent="0.2">
      <c r="A67" s="60">
        <v>67</v>
      </c>
      <c r="B67" s="63" t="s">
        <v>487</v>
      </c>
      <c r="C67" s="63" t="s">
        <v>546</v>
      </c>
      <c r="D67" s="63" t="s">
        <v>551</v>
      </c>
      <c r="E67" s="63" t="s">
        <v>600</v>
      </c>
      <c r="F67" s="63" t="s">
        <v>527</v>
      </c>
      <c r="G67" s="63" t="s">
        <v>545</v>
      </c>
      <c r="H67" s="63" t="s">
        <v>547</v>
      </c>
      <c r="I67" s="63" t="s">
        <v>532</v>
      </c>
      <c r="J67" s="60" t="s">
        <v>599</v>
      </c>
      <c r="K67" s="63">
        <v>0</v>
      </c>
      <c r="L67" s="64">
        <v>0</v>
      </c>
      <c r="M67" s="64">
        <v>0</v>
      </c>
      <c r="N67" s="64">
        <v>0</v>
      </c>
      <c r="O67" s="64">
        <v>0</v>
      </c>
      <c r="P67" s="64">
        <v>0</v>
      </c>
      <c r="Q67" s="60">
        <v>0</v>
      </c>
      <c r="R67" s="64">
        <v>0</v>
      </c>
      <c r="S67" s="60">
        <v>0</v>
      </c>
      <c r="T67" s="61"/>
      <c r="U67" s="61"/>
      <c r="V67" s="61"/>
      <c r="W67" s="61"/>
      <c r="X67" s="61"/>
      <c r="Y67" s="61"/>
      <c r="Z67" s="61"/>
      <c r="AA67" s="61"/>
    </row>
    <row r="68" spans="1:31" ht="25.5" x14ac:dyDescent="0.2">
      <c r="A68" s="60">
        <v>68</v>
      </c>
      <c r="B68" s="62"/>
      <c r="C68" s="63" t="s">
        <v>543</v>
      </c>
      <c r="D68" s="63" t="s">
        <v>931</v>
      </c>
      <c r="E68" s="63" t="s">
        <v>975</v>
      </c>
      <c r="F68" s="63" t="s">
        <v>531</v>
      </c>
      <c r="G68" s="63" t="s">
        <v>558</v>
      </c>
      <c r="H68" s="63" t="s">
        <v>985</v>
      </c>
      <c r="I68" s="63" t="s">
        <v>986</v>
      </c>
      <c r="J68" s="60" t="s">
        <v>599</v>
      </c>
      <c r="K68" s="74" t="s">
        <v>943</v>
      </c>
      <c r="L68" s="63" t="s">
        <v>600</v>
      </c>
      <c r="M68" s="64">
        <v>0</v>
      </c>
      <c r="N68" s="64">
        <v>0</v>
      </c>
      <c r="O68" s="64">
        <v>0</v>
      </c>
      <c r="P68" s="64">
        <v>0</v>
      </c>
      <c r="Q68" s="60">
        <v>0</v>
      </c>
      <c r="R68" s="64">
        <v>0</v>
      </c>
      <c r="S68" s="60">
        <v>0</v>
      </c>
      <c r="T68" s="61"/>
      <c r="U68" s="61"/>
      <c r="V68" s="61"/>
      <c r="W68" s="61"/>
      <c r="X68" s="61"/>
      <c r="Y68" s="61"/>
      <c r="Z68" s="61"/>
      <c r="AA68" s="61"/>
    </row>
    <row r="69" spans="1:31" x14ac:dyDescent="0.2">
      <c r="A69" s="60">
        <v>69</v>
      </c>
      <c r="B69" s="62" t="s">
        <v>1115</v>
      </c>
      <c r="C69" s="63" t="s">
        <v>1116</v>
      </c>
      <c r="D69" s="63" t="s">
        <v>1117</v>
      </c>
      <c r="E69" s="63" t="s">
        <v>1118</v>
      </c>
      <c r="F69" s="63" t="s">
        <v>1119</v>
      </c>
      <c r="G69" s="63" t="s">
        <v>1120</v>
      </c>
      <c r="H69" s="63" t="s">
        <v>1121</v>
      </c>
      <c r="I69" s="63" t="s">
        <v>1122</v>
      </c>
      <c r="J69" s="60" t="s">
        <v>1123</v>
      </c>
      <c r="K69" s="63">
        <v>0</v>
      </c>
      <c r="L69" s="63">
        <v>0</v>
      </c>
      <c r="M69" s="63">
        <v>0</v>
      </c>
      <c r="N69" s="63">
        <v>0</v>
      </c>
      <c r="O69" s="63">
        <v>0</v>
      </c>
      <c r="P69" s="63">
        <v>0</v>
      </c>
      <c r="Q69" s="63">
        <v>0</v>
      </c>
      <c r="R69" s="64"/>
      <c r="S69" s="60"/>
      <c r="T69" s="61"/>
      <c r="U69" s="61"/>
      <c r="V69" s="61"/>
      <c r="W69" s="61"/>
      <c r="X69" s="61"/>
      <c r="Y69" s="61"/>
      <c r="Z69" s="61"/>
      <c r="AA69" s="61"/>
    </row>
    <row r="70" spans="1:31" x14ac:dyDescent="0.2">
      <c r="A70" s="60">
        <v>70</v>
      </c>
      <c r="B70" s="63" t="s">
        <v>74</v>
      </c>
      <c r="C70" s="63" t="s">
        <v>552</v>
      </c>
      <c r="D70" s="63" t="s">
        <v>987</v>
      </c>
      <c r="E70" s="63" t="s">
        <v>541</v>
      </c>
      <c r="F70" s="63" t="s">
        <v>537</v>
      </c>
      <c r="G70" s="63" t="s">
        <v>539</v>
      </c>
      <c r="H70" s="63"/>
      <c r="I70" s="63" t="s">
        <v>496</v>
      </c>
      <c r="J70" s="60" t="s">
        <v>599</v>
      </c>
      <c r="K70" s="63" t="s">
        <v>937</v>
      </c>
      <c r="L70" s="64" t="s">
        <v>988</v>
      </c>
      <c r="M70" s="64">
        <v>0</v>
      </c>
      <c r="N70" s="64">
        <v>0</v>
      </c>
      <c r="O70" s="64">
        <v>0</v>
      </c>
      <c r="P70" s="64">
        <v>0</v>
      </c>
      <c r="Q70" s="60">
        <v>0</v>
      </c>
      <c r="R70" s="64">
        <v>0</v>
      </c>
      <c r="S70" s="60">
        <v>0</v>
      </c>
      <c r="T70" s="61"/>
      <c r="U70" s="61"/>
      <c r="V70" s="61"/>
      <c r="W70" s="61"/>
      <c r="X70" s="61"/>
      <c r="Y70" s="61"/>
      <c r="Z70" s="61"/>
      <c r="AA70" s="61"/>
      <c r="AB70" s="164"/>
      <c r="AC70" s="61"/>
      <c r="AD70" s="61"/>
      <c r="AE70" s="61"/>
    </row>
    <row r="71" spans="1:31" x14ac:dyDescent="0.2">
      <c r="A71" s="60">
        <v>71</v>
      </c>
      <c r="B71" s="62" t="s">
        <v>74</v>
      </c>
      <c r="C71" s="63" t="s">
        <v>989</v>
      </c>
      <c r="D71" s="63" t="s">
        <v>537</v>
      </c>
      <c r="E71" s="63" t="s">
        <v>539</v>
      </c>
      <c r="F71" s="63" t="s">
        <v>548</v>
      </c>
      <c r="G71" s="63" t="s">
        <v>530</v>
      </c>
      <c r="H71" s="63" t="s">
        <v>531</v>
      </c>
      <c r="I71" s="63" t="s">
        <v>558</v>
      </c>
      <c r="J71" s="60" t="s">
        <v>599</v>
      </c>
      <c r="K71" s="63">
        <v>0</v>
      </c>
      <c r="L71" s="64">
        <v>0</v>
      </c>
      <c r="M71" s="64">
        <v>0</v>
      </c>
      <c r="N71" s="64">
        <v>0</v>
      </c>
      <c r="O71" s="64">
        <v>0</v>
      </c>
      <c r="P71" s="64">
        <v>0</v>
      </c>
      <c r="Q71" s="60">
        <v>0</v>
      </c>
      <c r="R71" s="64">
        <v>0</v>
      </c>
      <c r="S71" s="60">
        <v>0</v>
      </c>
      <c r="T71" s="61"/>
      <c r="U71" s="61"/>
      <c r="V71" s="61"/>
      <c r="W71" s="61"/>
      <c r="X71" s="61"/>
      <c r="Y71" s="61"/>
      <c r="Z71" s="61"/>
      <c r="AA71" s="61"/>
      <c r="AB71" s="164"/>
      <c r="AC71" s="61"/>
      <c r="AD71" s="61"/>
      <c r="AE71" s="61"/>
    </row>
    <row r="72" spans="1:31" x14ac:dyDescent="0.2">
      <c r="A72" s="60">
        <v>72</v>
      </c>
      <c r="B72" s="63" t="s">
        <v>483</v>
      </c>
      <c r="C72" s="63" t="s">
        <v>551</v>
      </c>
      <c r="D72" s="63" t="s">
        <v>600</v>
      </c>
      <c r="E72" s="63" t="s">
        <v>565</v>
      </c>
      <c r="F72" s="63" t="s">
        <v>532</v>
      </c>
      <c r="G72" s="63" t="s">
        <v>558</v>
      </c>
      <c r="H72" s="63" t="s">
        <v>558</v>
      </c>
      <c r="I72" s="63" t="s">
        <v>565</v>
      </c>
      <c r="J72" s="60" t="s">
        <v>599</v>
      </c>
      <c r="K72" s="63">
        <v>0</v>
      </c>
      <c r="L72" s="64">
        <v>0</v>
      </c>
      <c r="M72" s="64">
        <v>0</v>
      </c>
      <c r="N72" s="64">
        <v>0</v>
      </c>
      <c r="O72" s="64">
        <v>0</v>
      </c>
      <c r="P72" s="64">
        <v>0</v>
      </c>
      <c r="Q72" s="60">
        <v>0</v>
      </c>
      <c r="R72" s="64">
        <v>0</v>
      </c>
      <c r="S72" s="60">
        <v>0</v>
      </c>
      <c r="T72" s="61"/>
      <c r="U72" s="61"/>
      <c r="V72" s="61"/>
      <c r="W72" s="61"/>
      <c r="X72" s="61"/>
      <c r="Y72" s="61"/>
      <c r="Z72" s="61"/>
      <c r="AA72" s="61"/>
      <c r="AB72" s="164"/>
      <c r="AC72" s="61"/>
      <c r="AD72" s="61"/>
      <c r="AE72" s="61"/>
    </row>
    <row r="73" spans="1:31" x14ac:dyDescent="0.2">
      <c r="A73" s="60">
        <v>73</v>
      </c>
      <c r="B73" s="62" t="s">
        <v>483</v>
      </c>
      <c r="C73" s="63" t="s">
        <v>600</v>
      </c>
      <c r="D73" s="63" t="s">
        <v>931</v>
      </c>
      <c r="E73" s="63" t="s">
        <v>545</v>
      </c>
      <c r="F73" s="63" t="s">
        <v>558</v>
      </c>
      <c r="G73" s="63" t="s">
        <v>558</v>
      </c>
      <c r="H73" s="63" t="s">
        <v>558</v>
      </c>
      <c r="I73" s="63" t="s">
        <v>558</v>
      </c>
      <c r="J73" s="60" t="s">
        <v>599</v>
      </c>
      <c r="K73" s="63">
        <v>0</v>
      </c>
      <c r="L73" s="64">
        <v>0</v>
      </c>
      <c r="M73" s="64">
        <v>0</v>
      </c>
      <c r="N73" s="64">
        <v>0</v>
      </c>
      <c r="O73" s="64">
        <v>0</v>
      </c>
      <c r="P73" s="64">
        <v>0</v>
      </c>
      <c r="Q73" s="60">
        <v>0</v>
      </c>
      <c r="R73" s="64">
        <v>0</v>
      </c>
      <c r="S73" s="60">
        <v>0</v>
      </c>
      <c r="T73" s="61"/>
      <c r="U73" s="61"/>
      <c r="V73" s="61"/>
      <c r="W73" s="61"/>
      <c r="X73" s="61"/>
      <c r="Y73" s="61"/>
      <c r="Z73" s="61"/>
      <c r="AA73" s="61"/>
      <c r="AB73" s="164"/>
      <c r="AC73" s="61"/>
      <c r="AD73" s="61"/>
      <c r="AE73" s="61"/>
    </row>
    <row r="74" spans="1:31" x14ac:dyDescent="0.2">
      <c r="A74" s="60">
        <v>74</v>
      </c>
      <c r="B74" s="63" t="s">
        <v>920</v>
      </c>
      <c r="C74" s="63" t="s">
        <v>554</v>
      </c>
      <c r="D74" s="63" t="s">
        <v>534</v>
      </c>
      <c r="E74" s="63" t="s">
        <v>543</v>
      </c>
      <c r="F74" s="63" t="s">
        <v>539</v>
      </c>
      <c r="G74" s="63" t="s">
        <v>548</v>
      </c>
      <c r="H74" s="63" t="s">
        <v>558</v>
      </c>
      <c r="I74" s="63" t="s">
        <v>558</v>
      </c>
      <c r="J74" s="60" t="s">
        <v>599</v>
      </c>
      <c r="K74" s="63">
        <v>0</v>
      </c>
      <c r="L74" s="64">
        <v>0</v>
      </c>
      <c r="M74" s="64">
        <v>0</v>
      </c>
      <c r="N74" s="64">
        <v>0</v>
      </c>
      <c r="O74" s="64">
        <v>0</v>
      </c>
      <c r="P74" s="64">
        <v>0</v>
      </c>
      <c r="Q74" s="60">
        <v>0</v>
      </c>
      <c r="R74" s="64">
        <v>0</v>
      </c>
      <c r="S74" s="60">
        <v>0</v>
      </c>
      <c r="T74" s="61"/>
      <c r="U74" s="61"/>
      <c r="V74" s="61"/>
      <c r="W74" s="61"/>
      <c r="X74" s="61"/>
      <c r="Y74" s="61"/>
      <c r="Z74" s="61"/>
      <c r="AA74" s="61"/>
      <c r="AB74" s="164"/>
      <c r="AC74" s="61"/>
      <c r="AD74" s="61"/>
      <c r="AE74" s="61"/>
    </row>
    <row r="75" spans="1:31" x14ac:dyDescent="0.2">
      <c r="A75" s="60">
        <v>75</v>
      </c>
      <c r="B75" s="62" t="s">
        <v>483</v>
      </c>
      <c r="C75" s="63" t="s">
        <v>968</v>
      </c>
      <c r="D75" s="63" t="s">
        <v>536</v>
      </c>
      <c r="E75" s="63" t="s">
        <v>541</v>
      </c>
      <c r="F75" s="63" t="s">
        <v>565</v>
      </c>
      <c r="G75" s="63" t="s">
        <v>532</v>
      </c>
      <c r="H75" s="63" t="s">
        <v>558</v>
      </c>
      <c r="I75" s="63" t="s">
        <v>565</v>
      </c>
      <c r="J75" s="60" t="s">
        <v>599</v>
      </c>
      <c r="K75" s="63">
        <v>0</v>
      </c>
      <c r="L75" s="64">
        <v>0</v>
      </c>
      <c r="M75" s="64">
        <v>0</v>
      </c>
      <c r="N75" s="64">
        <v>0</v>
      </c>
      <c r="O75" s="64">
        <v>0</v>
      </c>
      <c r="P75" s="64">
        <v>0</v>
      </c>
      <c r="Q75" s="60">
        <v>0</v>
      </c>
      <c r="R75" s="64">
        <v>0</v>
      </c>
      <c r="S75" s="60">
        <v>0</v>
      </c>
      <c r="T75" s="61"/>
      <c r="U75" s="61"/>
      <c r="V75" s="61"/>
      <c r="W75" s="61"/>
      <c r="X75" s="61"/>
      <c r="Y75" s="61"/>
      <c r="Z75" s="61"/>
      <c r="AA75" s="61"/>
      <c r="AB75" s="164"/>
      <c r="AC75" s="61"/>
      <c r="AD75" s="61"/>
      <c r="AE75" s="61"/>
    </row>
    <row r="76" spans="1:31" x14ac:dyDescent="0.2">
      <c r="A76" s="60">
        <v>76</v>
      </c>
      <c r="B76" s="63" t="s">
        <v>920</v>
      </c>
      <c r="C76" s="63" t="s">
        <v>541</v>
      </c>
      <c r="D76" s="63" t="s">
        <v>539</v>
      </c>
      <c r="E76" s="63" t="s">
        <v>553</v>
      </c>
      <c r="F76" s="63" t="s">
        <v>937</v>
      </c>
      <c r="G76" s="63" t="s">
        <v>561</v>
      </c>
      <c r="H76" s="63" t="s">
        <v>558</v>
      </c>
      <c r="I76" s="63" t="s">
        <v>558</v>
      </c>
      <c r="J76" s="60" t="s">
        <v>599</v>
      </c>
      <c r="K76" s="63">
        <v>0</v>
      </c>
      <c r="L76" s="64">
        <v>0</v>
      </c>
      <c r="M76" s="64">
        <v>0</v>
      </c>
      <c r="N76" s="64">
        <v>0</v>
      </c>
      <c r="O76" s="64">
        <v>0</v>
      </c>
      <c r="P76" s="64">
        <v>0</v>
      </c>
      <c r="Q76" s="60">
        <v>0</v>
      </c>
      <c r="R76" s="64">
        <v>0</v>
      </c>
      <c r="S76" s="60">
        <v>0</v>
      </c>
      <c r="T76" s="61"/>
      <c r="U76" s="61"/>
      <c r="V76" s="61"/>
      <c r="W76" s="61"/>
      <c r="X76" s="61"/>
      <c r="Y76" s="61"/>
      <c r="Z76" s="61"/>
      <c r="AA76" s="61"/>
      <c r="AB76" s="164"/>
      <c r="AC76" s="61"/>
      <c r="AD76" s="61"/>
      <c r="AE76" s="61"/>
    </row>
    <row r="77" spans="1:31" x14ac:dyDescent="0.2">
      <c r="A77" s="60">
        <v>77</v>
      </c>
      <c r="B77" s="62" t="s">
        <v>74</v>
      </c>
      <c r="C77" s="63" t="s">
        <v>541</v>
      </c>
      <c r="D77" s="63" t="s">
        <v>537</v>
      </c>
      <c r="E77" s="63" t="s">
        <v>527</v>
      </c>
      <c r="F77" s="63" t="s">
        <v>536</v>
      </c>
      <c r="G77" s="63" t="s">
        <v>931</v>
      </c>
      <c r="H77" s="63" t="s">
        <v>990</v>
      </c>
      <c r="I77" s="63" t="s">
        <v>550</v>
      </c>
      <c r="J77" s="60" t="s">
        <v>599</v>
      </c>
      <c r="K77" s="63">
        <v>0</v>
      </c>
      <c r="L77" s="64">
        <v>0</v>
      </c>
      <c r="M77" s="64">
        <v>0</v>
      </c>
      <c r="N77" s="64">
        <v>0</v>
      </c>
      <c r="O77" s="64">
        <v>0</v>
      </c>
      <c r="P77" s="64">
        <v>0</v>
      </c>
      <c r="Q77" s="60">
        <v>0</v>
      </c>
      <c r="R77" s="64">
        <v>0</v>
      </c>
      <c r="S77" s="60">
        <v>0</v>
      </c>
      <c r="T77" s="61"/>
      <c r="U77" s="61"/>
      <c r="V77" s="61"/>
      <c r="W77" s="61"/>
      <c r="X77" s="61"/>
      <c r="Y77" s="61"/>
      <c r="Z77" s="61"/>
      <c r="AA77" s="61"/>
      <c r="AB77" s="164"/>
      <c r="AC77" s="61"/>
      <c r="AD77" s="61"/>
      <c r="AE77" s="61"/>
    </row>
    <row r="78" spans="1:31" x14ac:dyDescent="0.2">
      <c r="A78" s="60">
        <v>78</v>
      </c>
      <c r="B78" s="63" t="s">
        <v>483</v>
      </c>
      <c r="C78" s="63" t="s">
        <v>533</v>
      </c>
      <c r="D78" s="63" t="s">
        <v>73</v>
      </c>
      <c r="E78" s="63" t="s">
        <v>535</v>
      </c>
      <c r="F78" s="63" t="s">
        <v>600</v>
      </c>
      <c r="G78" s="63" t="s">
        <v>538</v>
      </c>
      <c r="H78" s="63" t="s">
        <v>931</v>
      </c>
      <c r="I78" s="63" t="s">
        <v>531</v>
      </c>
      <c r="J78" s="60" t="s">
        <v>599</v>
      </c>
      <c r="K78" s="63">
        <v>0</v>
      </c>
      <c r="L78" s="64">
        <v>0</v>
      </c>
      <c r="M78" s="64">
        <v>0</v>
      </c>
      <c r="N78" s="64">
        <v>0</v>
      </c>
      <c r="O78" s="64">
        <v>0</v>
      </c>
      <c r="P78" s="64">
        <v>0</v>
      </c>
      <c r="Q78" s="60">
        <v>0</v>
      </c>
      <c r="R78" s="64">
        <v>0</v>
      </c>
      <c r="S78" s="60">
        <v>0</v>
      </c>
      <c r="T78" s="61"/>
      <c r="U78" s="61"/>
      <c r="V78" s="61"/>
      <c r="W78" s="61"/>
      <c r="X78" s="61"/>
      <c r="Y78" s="61"/>
      <c r="Z78" s="61"/>
      <c r="AA78" s="61"/>
      <c r="AB78" s="164"/>
      <c r="AC78" s="61"/>
      <c r="AD78" s="61"/>
      <c r="AE78" s="61"/>
    </row>
    <row r="79" spans="1:31" x14ac:dyDescent="0.2">
      <c r="A79" s="60">
        <v>79</v>
      </c>
      <c r="B79" s="62" t="s">
        <v>991</v>
      </c>
      <c r="C79" s="63" t="s">
        <v>561</v>
      </c>
      <c r="D79" s="63" t="s">
        <v>527</v>
      </c>
      <c r="E79" s="63" t="s">
        <v>532</v>
      </c>
      <c r="F79" s="63" t="s">
        <v>558</v>
      </c>
      <c r="G79" s="63" t="s">
        <v>558</v>
      </c>
      <c r="H79" s="63" t="s">
        <v>558</v>
      </c>
      <c r="I79" s="63" t="s">
        <v>558</v>
      </c>
      <c r="J79" s="60" t="s">
        <v>599</v>
      </c>
      <c r="K79" s="63">
        <v>0</v>
      </c>
      <c r="L79" s="64">
        <v>0</v>
      </c>
      <c r="M79" s="64">
        <v>0</v>
      </c>
      <c r="N79" s="64">
        <v>0</v>
      </c>
      <c r="O79" s="64">
        <v>0</v>
      </c>
      <c r="P79" s="64">
        <v>0</v>
      </c>
      <c r="Q79" s="60">
        <v>0</v>
      </c>
      <c r="R79" s="64">
        <v>0</v>
      </c>
      <c r="S79" s="60">
        <v>0</v>
      </c>
      <c r="T79" s="61"/>
      <c r="U79" s="61"/>
      <c r="V79" s="61"/>
      <c r="W79" s="61"/>
      <c r="X79" s="61"/>
      <c r="Y79" s="61"/>
      <c r="Z79" s="61"/>
      <c r="AA79" s="61"/>
      <c r="AB79" s="164"/>
      <c r="AC79" s="61"/>
      <c r="AD79" s="61"/>
      <c r="AE79" s="61"/>
    </row>
    <row r="80" spans="1:31" x14ac:dyDescent="0.2">
      <c r="A80" s="60">
        <v>80</v>
      </c>
      <c r="B80" s="63" t="s">
        <v>497</v>
      </c>
      <c r="C80" s="63" t="s">
        <v>527</v>
      </c>
      <c r="D80" s="63" t="s">
        <v>553</v>
      </c>
      <c r="E80" s="63" t="s">
        <v>582</v>
      </c>
      <c r="F80" s="63" t="s">
        <v>532</v>
      </c>
      <c r="G80" s="63" t="s">
        <v>925</v>
      </c>
      <c r="H80" s="63" t="s">
        <v>926</v>
      </c>
      <c r="I80" s="63" t="s">
        <v>531</v>
      </c>
      <c r="J80" s="60" t="s">
        <v>599</v>
      </c>
      <c r="K80" s="63">
        <v>0</v>
      </c>
      <c r="L80" s="64">
        <v>0</v>
      </c>
      <c r="M80" s="64">
        <v>0</v>
      </c>
      <c r="N80" s="64">
        <v>0</v>
      </c>
      <c r="O80" s="64">
        <v>0</v>
      </c>
      <c r="P80" s="64">
        <v>0</v>
      </c>
      <c r="Q80" s="60">
        <v>0</v>
      </c>
      <c r="R80" s="64">
        <v>0</v>
      </c>
      <c r="S80" s="60">
        <v>0</v>
      </c>
      <c r="T80" s="61"/>
      <c r="U80" s="61"/>
      <c r="V80" s="61"/>
      <c r="W80" s="61"/>
      <c r="X80" s="61"/>
      <c r="Y80" s="61"/>
      <c r="Z80" s="61"/>
      <c r="AA80" s="61"/>
      <c r="AB80" s="164"/>
      <c r="AC80" s="61"/>
      <c r="AD80" s="61"/>
      <c r="AE80" s="61"/>
    </row>
    <row r="81" spans="1:31" x14ac:dyDescent="0.2">
      <c r="A81" s="60">
        <v>81</v>
      </c>
      <c r="B81" s="62" t="s">
        <v>72</v>
      </c>
      <c r="C81" s="63" t="s">
        <v>535</v>
      </c>
      <c r="D81" s="63" t="s">
        <v>600</v>
      </c>
      <c r="E81" s="63" t="s">
        <v>561</v>
      </c>
      <c r="F81" s="63" t="s">
        <v>538</v>
      </c>
      <c r="G81" s="63" t="s">
        <v>931</v>
      </c>
      <c r="H81" s="63" t="s">
        <v>925</v>
      </c>
      <c r="I81" s="63" t="s">
        <v>571</v>
      </c>
      <c r="J81" s="60" t="s">
        <v>599</v>
      </c>
      <c r="K81" s="63">
        <v>0</v>
      </c>
      <c r="L81" s="64">
        <v>0</v>
      </c>
      <c r="M81" s="64">
        <v>0</v>
      </c>
      <c r="N81" s="64">
        <v>0</v>
      </c>
      <c r="O81" s="64">
        <v>0</v>
      </c>
      <c r="P81" s="64">
        <v>0</v>
      </c>
      <c r="Q81" s="60">
        <v>0</v>
      </c>
      <c r="R81" s="64">
        <v>0</v>
      </c>
      <c r="S81" s="60">
        <v>0</v>
      </c>
      <c r="T81" s="61"/>
      <c r="U81" s="61"/>
      <c r="V81" s="61"/>
      <c r="W81" s="61"/>
      <c r="X81" s="61"/>
      <c r="Y81" s="61"/>
      <c r="Z81" s="61"/>
      <c r="AA81" s="61"/>
      <c r="AB81" s="164"/>
      <c r="AC81" s="61"/>
      <c r="AD81" s="61"/>
      <c r="AE81" s="61"/>
    </row>
    <row r="82" spans="1:31" x14ac:dyDescent="0.2">
      <c r="A82" s="60">
        <v>82</v>
      </c>
      <c r="B82" s="63" t="s">
        <v>973</v>
      </c>
      <c r="C82" s="63" t="s">
        <v>541</v>
      </c>
      <c r="D82" s="63" t="s">
        <v>527</v>
      </c>
      <c r="E82" s="63" t="s">
        <v>937</v>
      </c>
      <c r="F82" s="63" t="s">
        <v>536</v>
      </c>
      <c r="G82" s="63" t="s">
        <v>531</v>
      </c>
      <c r="H82" s="63" t="s">
        <v>950</v>
      </c>
      <c r="I82" s="63" t="s">
        <v>550</v>
      </c>
      <c r="J82" s="60" t="s">
        <v>599</v>
      </c>
      <c r="K82" s="63">
        <v>0</v>
      </c>
      <c r="L82" s="64">
        <v>0</v>
      </c>
      <c r="M82" s="64">
        <v>0</v>
      </c>
      <c r="N82" s="64">
        <v>0</v>
      </c>
      <c r="O82" s="64">
        <v>0</v>
      </c>
      <c r="P82" s="64">
        <v>0</v>
      </c>
      <c r="Q82" s="60">
        <v>0</v>
      </c>
      <c r="R82" s="64">
        <v>0</v>
      </c>
      <c r="S82" s="60">
        <v>0</v>
      </c>
      <c r="T82" s="61"/>
      <c r="U82" s="61"/>
      <c r="V82" s="61"/>
      <c r="W82" s="61"/>
      <c r="X82" s="61"/>
      <c r="Y82" s="61"/>
      <c r="Z82" s="61"/>
      <c r="AA82" s="61"/>
      <c r="AB82" s="164"/>
      <c r="AC82" s="61"/>
      <c r="AD82" s="61"/>
      <c r="AE82" s="61"/>
    </row>
    <row r="83" spans="1:31" x14ac:dyDescent="0.2">
      <c r="A83" s="60">
        <v>83</v>
      </c>
      <c r="B83" s="62" t="s">
        <v>72</v>
      </c>
      <c r="C83" s="63" t="s">
        <v>935</v>
      </c>
      <c r="D83" s="63" t="s">
        <v>535</v>
      </c>
      <c r="E83" s="63" t="s">
        <v>600</v>
      </c>
      <c r="F83" s="63" t="s">
        <v>538</v>
      </c>
      <c r="G83" s="63" t="s">
        <v>931</v>
      </c>
      <c r="H83" s="63" t="s">
        <v>532</v>
      </c>
      <c r="I83" s="63" t="s">
        <v>558</v>
      </c>
      <c r="J83" s="60" t="s">
        <v>599</v>
      </c>
      <c r="K83" s="63">
        <v>0</v>
      </c>
      <c r="L83" s="64">
        <v>0</v>
      </c>
      <c r="M83" s="64">
        <v>0</v>
      </c>
      <c r="N83" s="64">
        <v>0</v>
      </c>
      <c r="O83" s="64">
        <v>0</v>
      </c>
      <c r="P83" s="64">
        <v>0</v>
      </c>
      <c r="Q83" s="60">
        <v>0</v>
      </c>
      <c r="R83" s="64">
        <v>0</v>
      </c>
      <c r="S83" s="60">
        <v>0</v>
      </c>
      <c r="T83" s="61"/>
      <c r="U83" s="61"/>
      <c r="V83" s="61"/>
      <c r="W83" s="61"/>
      <c r="X83" s="61"/>
      <c r="Y83" s="61"/>
      <c r="Z83" s="61"/>
      <c r="AA83" s="61"/>
      <c r="AB83" s="164"/>
      <c r="AC83" s="61"/>
      <c r="AD83" s="61"/>
      <c r="AE83" s="61"/>
    </row>
    <row r="84" spans="1:31" x14ac:dyDescent="0.2">
      <c r="A84" s="60">
        <v>84</v>
      </c>
      <c r="B84" s="63" t="s">
        <v>483</v>
      </c>
      <c r="C84" s="63" t="s">
        <v>541</v>
      </c>
      <c r="D84" s="63" t="s">
        <v>992</v>
      </c>
      <c r="E84" s="63" t="s">
        <v>600</v>
      </c>
      <c r="F84" s="63" t="s">
        <v>561</v>
      </c>
      <c r="G84" s="63" t="s">
        <v>583</v>
      </c>
      <c r="H84" s="63" t="s">
        <v>925</v>
      </c>
      <c r="I84" s="63" t="s">
        <v>956</v>
      </c>
      <c r="J84" s="60" t="s">
        <v>599</v>
      </c>
      <c r="K84" s="63">
        <v>0</v>
      </c>
      <c r="L84" s="64">
        <v>0</v>
      </c>
      <c r="M84" s="64">
        <v>0</v>
      </c>
      <c r="N84" s="64">
        <v>0</v>
      </c>
      <c r="O84" s="64">
        <v>0</v>
      </c>
      <c r="P84" s="64">
        <v>0</v>
      </c>
      <c r="Q84" s="60">
        <v>0</v>
      </c>
      <c r="R84" s="64">
        <v>0</v>
      </c>
      <c r="S84" s="60">
        <v>0</v>
      </c>
      <c r="T84" s="61"/>
      <c r="U84" s="61"/>
      <c r="V84" s="61"/>
      <c r="W84" s="61"/>
      <c r="X84" s="61"/>
      <c r="Y84" s="61"/>
      <c r="Z84" s="61"/>
      <c r="AA84" s="61"/>
      <c r="AB84" s="164"/>
      <c r="AC84" s="61"/>
      <c r="AD84" s="61"/>
      <c r="AE84" s="61"/>
    </row>
    <row r="85" spans="1:31" x14ac:dyDescent="0.2">
      <c r="A85" s="60">
        <v>85</v>
      </c>
      <c r="B85" s="62" t="s">
        <v>954</v>
      </c>
      <c r="C85" s="63" t="s">
        <v>561</v>
      </c>
      <c r="D85" s="63" t="s">
        <v>532</v>
      </c>
      <c r="E85" s="63" t="s">
        <v>957</v>
      </c>
      <c r="F85" s="63" t="s">
        <v>530</v>
      </c>
      <c r="G85" s="63" t="s">
        <v>584</v>
      </c>
      <c r="H85" s="63" t="s">
        <v>558</v>
      </c>
      <c r="I85" s="63" t="s">
        <v>558</v>
      </c>
      <c r="J85" s="60" t="s">
        <v>599</v>
      </c>
      <c r="K85" s="63">
        <v>0</v>
      </c>
      <c r="L85" s="64">
        <v>0</v>
      </c>
      <c r="M85" s="64">
        <v>0</v>
      </c>
      <c r="N85" s="64">
        <v>0</v>
      </c>
      <c r="O85" s="64">
        <v>0</v>
      </c>
      <c r="P85" s="64">
        <v>0</v>
      </c>
      <c r="Q85" s="60">
        <v>0</v>
      </c>
      <c r="R85" s="64">
        <v>0</v>
      </c>
      <c r="S85" s="60">
        <v>0</v>
      </c>
      <c r="T85" s="61"/>
      <c r="U85" s="61"/>
      <c r="V85" s="61"/>
      <c r="W85" s="61"/>
      <c r="X85" s="61"/>
      <c r="Y85" s="61"/>
      <c r="Z85" s="61"/>
      <c r="AA85" s="61"/>
      <c r="AB85" s="164"/>
      <c r="AC85" s="61"/>
      <c r="AD85" s="61"/>
      <c r="AE85" s="61"/>
    </row>
    <row r="86" spans="1:31" x14ac:dyDescent="0.2">
      <c r="A86" s="60">
        <v>86</v>
      </c>
      <c r="B86" s="63" t="s">
        <v>954</v>
      </c>
      <c r="C86" s="63" t="s">
        <v>586</v>
      </c>
      <c r="D86" s="63" t="s">
        <v>582</v>
      </c>
      <c r="E86" s="63" t="s">
        <v>931</v>
      </c>
      <c r="F86" s="63" t="s">
        <v>583</v>
      </c>
      <c r="G86" s="63" t="s">
        <v>975</v>
      </c>
      <c r="H86" s="63" t="s">
        <v>558</v>
      </c>
      <c r="I86" s="63" t="s">
        <v>558</v>
      </c>
      <c r="J86" s="60" t="s">
        <v>599</v>
      </c>
      <c r="K86" s="63">
        <v>0</v>
      </c>
      <c r="L86" s="64">
        <v>0</v>
      </c>
      <c r="M86" s="64">
        <v>0</v>
      </c>
      <c r="N86" s="64">
        <v>0</v>
      </c>
      <c r="O86" s="64">
        <v>0</v>
      </c>
      <c r="P86" s="64">
        <v>0</v>
      </c>
      <c r="Q86" s="60">
        <v>0</v>
      </c>
      <c r="R86" s="64">
        <v>0</v>
      </c>
      <c r="S86" s="60">
        <v>0</v>
      </c>
      <c r="T86" s="61"/>
      <c r="U86" s="61"/>
      <c r="V86" s="61"/>
      <c r="W86" s="61"/>
      <c r="X86" s="61"/>
      <c r="Y86" s="61"/>
      <c r="Z86" s="61"/>
      <c r="AA86" s="61"/>
      <c r="AB86" s="164"/>
      <c r="AC86" s="61"/>
      <c r="AD86" s="61"/>
      <c r="AE86" s="61"/>
    </row>
    <row r="87" spans="1:31" x14ac:dyDescent="0.2">
      <c r="A87" s="60">
        <v>87</v>
      </c>
      <c r="B87" s="62" t="s">
        <v>79</v>
      </c>
      <c r="C87" s="63" t="s">
        <v>539</v>
      </c>
      <c r="D87" s="63" t="s">
        <v>536</v>
      </c>
      <c r="E87" s="63" t="s">
        <v>548</v>
      </c>
      <c r="F87" s="63" t="s">
        <v>958</v>
      </c>
      <c r="G87" s="63" t="s">
        <v>975</v>
      </c>
      <c r="H87" s="63" t="s">
        <v>558</v>
      </c>
      <c r="I87" s="63" t="s">
        <v>558</v>
      </c>
      <c r="J87" s="60" t="s">
        <v>599</v>
      </c>
      <c r="K87" s="63">
        <v>0</v>
      </c>
      <c r="L87" s="64">
        <v>0</v>
      </c>
      <c r="M87" s="64">
        <v>0</v>
      </c>
      <c r="N87" s="64">
        <v>0</v>
      </c>
      <c r="O87" s="64">
        <v>0</v>
      </c>
      <c r="P87" s="64">
        <v>0</v>
      </c>
      <c r="Q87" s="60">
        <v>0</v>
      </c>
      <c r="R87" s="64">
        <v>0</v>
      </c>
      <c r="S87" s="60">
        <v>0</v>
      </c>
      <c r="T87" s="61"/>
      <c r="U87" s="61"/>
      <c r="V87" s="61"/>
      <c r="W87" s="61"/>
      <c r="X87" s="61"/>
      <c r="Y87" s="61"/>
      <c r="Z87" s="61"/>
      <c r="AA87" s="61"/>
      <c r="AB87" s="164"/>
      <c r="AC87" s="61"/>
      <c r="AD87" s="61"/>
      <c r="AE87" s="61"/>
    </row>
    <row r="88" spans="1:31" x14ac:dyDescent="0.2">
      <c r="A88" s="60">
        <v>88</v>
      </c>
      <c r="B88" s="63" t="s">
        <v>483</v>
      </c>
      <c r="C88" s="63" t="s">
        <v>543</v>
      </c>
      <c r="D88" s="63" t="s">
        <v>585</v>
      </c>
      <c r="E88" s="63" t="s">
        <v>539</v>
      </c>
      <c r="F88" s="63" t="s">
        <v>536</v>
      </c>
      <c r="G88" s="63" t="s">
        <v>993</v>
      </c>
      <c r="H88" s="63" t="s">
        <v>531</v>
      </c>
      <c r="I88" s="63" t="s">
        <v>558</v>
      </c>
      <c r="J88" s="60" t="s">
        <v>599</v>
      </c>
      <c r="K88" s="63">
        <v>0</v>
      </c>
      <c r="L88" s="64">
        <v>0</v>
      </c>
      <c r="M88" s="64">
        <v>0</v>
      </c>
      <c r="N88" s="64">
        <v>0</v>
      </c>
      <c r="O88" s="64">
        <v>0</v>
      </c>
      <c r="P88" s="64">
        <v>0</v>
      </c>
      <c r="Q88" s="60">
        <v>0</v>
      </c>
      <c r="R88" s="64">
        <v>0</v>
      </c>
      <c r="S88" s="60">
        <v>0</v>
      </c>
      <c r="T88" s="61"/>
      <c r="U88" s="61"/>
      <c r="V88" s="61"/>
      <c r="W88" s="61"/>
      <c r="X88" s="61"/>
      <c r="Y88" s="61"/>
      <c r="Z88" s="61"/>
      <c r="AA88" s="61"/>
      <c r="AB88" s="164"/>
      <c r="AC88" s="61"/>
      <c r="AD88" s="61"/>
      <c r="AE88" s="61"/>
    </row>
    <row r="89" spans="1:31" x14ac:dyDescent="0.2">
      <c r="A89" s="60">
        <v>89</v>
      </c>
      <c r="B89" s="62"/>
      <c r="C89" s="63" t="s">
        <v>968</v>
      </c>
      <c r="D89" s="63" t="s">
        <v>551</v>
      </c>
      <c r="E89" s="63" t="s">
        <v>527</v>
      </c>
      <c r="F89" s="63" t="s">
        <v>561</v>
      </c>
      <c r="G89" s="63" t="s">
        <v>583</v>
      </c>
      <c r="H89" s="63" t="s">
        <v>531</v>
      </c>
      <c r="I89" s="63" t="s">
        <v>558</v>
      </c>
      <c r="J89" s="60" t="s">
        <v>599</v>
      </c>
      <c r="K89" s="63" t="s">
        <v>1455</v>
      </c>
      <c r="L89" s="64" t="s">
        <v>1456</v>
      </c>
      <c r="M89" s="64">
        <v>0</v>
      </c>
      <c r="N89" s="64">
        <v>0</v>
      </c>
      <c r="O89" s="62">
        <v>0</v>
      </c>
      <c r="P89" s="64">
        <v>0</v>
      </c>
      <c r="Q89" s="60">
        <v>0</v>
      </c>
      <c r="R89" s="64">
        <v>0</v>
      </c>
      <c r="S89" s="60">
        <v>0</v>
      </c>
      <c r="T89" s="61"/>
      <c r="U89" s="61"/>
      <c r="V89" s="61"/>
      <c r="W89" s="61"/>
      <c r="X89" s="61"/>
      <c r="Y89" s="61"/>
      <c r="Z89" s="61"/>
      <c r="AA89" s="61"/>
      <c r="AB89" s="164"/>
      <c r="AC89" s="61"/>
      <c r="AD89" s="61"/>
      <c r="AE89" s="61"/>
    </row>
    <row r="90" spans="1:31" x14ac:dyDescent="0.2">
      <c r="A90" s="60">
        <v>90</v>
      </c>
      <c r="B90" s="63" t="s">
        <v>1030</v>
      </c>
      <c r="C90" s="63" t="s">
        <v>968</v>
      </c>
      <c r="D90" s="63" t="s">
        <v>541</v>
      </c>
      <c r="E90" s="63" t="s">
        <v>561</v>
      </c>
      <c r="F90" s="63" t="s">
        <v>551</v>
      </c>
      <c r="G90" s="63" t="s">
        <v>583</v>
      </c>
      <c r="H90" s="63" t="s">
        <v>231</v>
      </c>
      <c r="I90" s="63"/>
      <c r="J90" s="60" t="s">
        <v>599</v>
      </c>
      <c r="K90" s="63" t="s">
        <v>587</v>
      </c>
      <c r="L90" s="64" t="s">
        <v>588</v>
      </c>
      <c r="M90" s="64">
        <v>0</v>
      </c>
      <c r="N90" s="64">
        <v>0</v>
      </c>
      <c r="O90" s="64">
        <v>0</v>
      </c>
      <c r="P90" s="64">
        <v>0</v>
      </c>
      <c r="Q90" s="60">
        <v>0</v>
      </c>
      <c r="R90" s="64">
        <v>0</v>
      </c>
      <c r="S90" s="60">
        <v>0</v>
      </c>
      <c r="T90" s="61"/>
      <c r="U90" s="61"/>
      <c r="V90" s="61"/>
      <c r="W90" s="61"/>
      <c r="X90" s="61"/>
      <c r="Y90" s="61"/>
      <c r="Z90" s="61"/>
      <c r="AA90" s="61"/>
      <c r="AB90" s="164"/>
      <c r="AC90" s="61"/>
      <c r="AD90" s="61"/>
      <c r="AE90" s="61"/>
    </row>
    <row r="91" spans="1:31" x14ac:dyDescent="0.2">
      <c r="A91" s="60">
        <v>91</v>
      </c>
      <c r="B91" s="62" t="s">
        <v>954</v>
      </c>
      <c r="C91" s="63" t="s">
        <v>549</v>
      </c>
      <c r="D91" s="63" t="s">
        <v>551</v>
      </c>
      <c r="E91" s="63" t="s">
        <v>600</v>
      </c>
      <c r="F91" s="63" t="s">
        <v>561</v>
      </c>
      <c r="G91" s="63" t="s">
        <v>532</v>
      </c>
      <c r="H91" s="63" t="s">
        <v>531</v>
      </c>
      <c r="I91" s="63" t="s">
        <v>558</v>
      </c>
      <c r="J91" s="60" t="s">
        <v>599</v>
      </c>
      <c r="K91" s="63">
        <v>0</v>
      </c>
      <c r="L91" s="64">
        <v>0</v>
      </c>
      <c r="M91" s="64">
        <v>0</v>
      </c>
      <c r="N91" s="64">
        <v>0</v>
      </c>
      <c r="O91" s="64">
        <v>0</v>
      </c>
      <c r="P91" s="64">
        <v>0</v>
      </c>
      <c r="Q91" s="60">
        <v>0</v>
      </c>
      <c r="R91" s="64">
        <v>0</v>
      </c>
      <c r="S91" s="60">
        <v>0</v>
      </c>
      <c r="T91" s="61"/>
      <c r="U91" s="61"/>
      <c r="V91" s="61"/>
      <c r="W91" s="61"/>
      <c r="X91" s="61"/>
      <c r="Y91" s="61"/>
      <c r="Z91" s="61"/>
      <c r="AA91" s="61"/>
      <c r="AB91" s="164"/>
      <c r="AC91" s="61"/>
      <c r="AD91" s="61"/>
      <c r="AE91" s="61"/>
    </row>
    <row r="92" spans="1:31" ht="16.5" x14ac:dyDescent="0.2">
      <c r="A92" s="60">
        <v>92</v>
      </c>
      <c r="B92" s="63" t="s">
        <v>600</v>
      </c>
      <c r="C92" s="63" t="s">
        <v>931</v>
      </c>
      <c r="D92" s="63" t="s">
        <v>545</v>
      </c>
      <c r="E92" s="63" t="s">
        <v>532</v>
      </c>
      <c r="F92" s="63" t="s">
        <v>558</v>
      </c>
      <c r="G92" s="63" t="s">
        <v>558</v>
      </c>
      <c r="H92" s="63" t="s">
        <v>558</v>
      </c>
      <c r="I92" s="63" t="s">
        <v>558</v>
      </c>
      <c r="J92" s="60" t="s">
        <v>599</v>
      </c>
      <c r="K92" s="63">
        <v>0</v>
      </c>
      <c r="L92" s="64">
        <v>0</v>
      </c>
      <c r="M92" s="64">
        <v>0</v>
      </c>
      <c r="N92" s="64">
        <v>0</v>
      </c>
      <c r="O92" s="64">
        <v>0</v>
      </c>
      <c r="P92" s="64">
        <v>0</v>
      </c>
      <c r="Q92" s="60">
        <v>0</v>
      </c>
      <c r="R92" s="64">
        <v>0</v>
      </c>
      <c r="S92" s="74">
        <v>0</v>
      </c>
      <c r="T92" s="77"/>
      <c r="U92" s="61"/>
      <c r="V92" s="61"/>
      <c r="W92" s="61"/>
      <c r="X92" s="61"/>
      <c r="Y92" s="61"/>
      <c r="Z92" s="61"/>
      <c r="AA92" s="61"/>
      <c r="AB92" s="164"/>
      <c r="AC92" s="61"/>
      <c r="AD92" s="61"/>
      <c r="AE92" s="61"/>
    </row>
    <row r="93" spans="1:31" x14ac:dyDescent="0.2">
      <c r="A93" s="60">
        <v>93</v>
      </c>
      <c r="B93" s="62" t="s">
        <v>74</v>
      </c>
      <c r="C93" s="60" t="s">
        <v>497</v>
      </c>
      <c r="D93" s="60" t="s">
        <v>487</v>
      </c>
      <c r="E93" s="63" t="s">
        <v>909</v>
      </c>
      <c r="F93" s="63" t="s">
        <v>910</v>
      </c>
      <c r="G93" s="63" t="s">
        <v>959</v>
      </c>
      <c r="H93" s="63" t="s">
        <v>531</v>
      </c>
      <c r="I93" s="63" t="s">
        <v>558</v>
      </c>
      <c r="J93" s="60" t="s">
        <v>599</v>
      </c>
      <c r="K93" s="63">
        <v>0</v>
      </c>
      <c r="L93" s="62">
        <v>0</v>
      </c>
      <c r="M93" s="64">
        <v>0</v>
      </c>
      <c r="N93" s="64">
        <v>0</v>
      </c>
      <c r="O93" s="64">
        <v>0</v>
      </c>
      <c r="P93" s="64">
        <v>0</v>
      </c>
      <c r="Q93" s="60">
        <v>0</v>
      </c>
      <c r="R93" s="64">
        <v>0</v>
      </c>
      <c r="S93" s="60">
        <v>0</v>
      </c>
      <c r="T93" s="61"/>
      <c r="U93" s="61"/>
      <c r="V93" s="61"/>
      <c r="W93" s="61"/>
      <c r="X93" s="61"/>
      <c r="Y93" s="61"/>
      <c r="Z93" s="61"/>
      <c r="AA93" s="61"/>
      <c r="AB93" s="164"/>
      <c r="AC93" s="61"/>
      <c r="AD93" s="61"/>
      <c r="AE93" s="61"/>
    </row>
    <row r="94" spans="1:31" x14ac:dyDescent="0.2">
      <c r="A94" s="60">
        <v>94</v>
      </c>
      <c r="B94" s="63" t="s">
        <v>920</v>
      </c>
      <c r="C94" s="63" t="s">
        <v>911</v>
      </c>
      <c r="D94" s="63" t="s">
        <v>552</v>
      </c>
      <c r="E94" s="63" t="s">
        <v>532</v>
      </c>
      <c r="F94" s="63" t="s">
        <v>529</v>
      </c>
      <c r="G94" s="63" t="s">
        <v>530</v>
      </c>
      <c r="H94" s="63" t="s">
        <v>558</v>
      </c>
      <c r="I94" s="63" t="s">
        <v>911</v>
      </c>
      <c r="J94" s="60" t="s">
        <v>599</v>
      </c>
      <c r="K94" s="63">
        <v>0</v>
      </c>
      <c r="L94" s="64">
        <v>0</v>
      </c>
      <c r="M94" s="64">
        <v>0</v>
      </c>
      <c r="N94" s="64">
        <v>0</v>
      </c>
      <c r="O94" s="64">
        <v>0</v>
      </c>
      <c r="P94" s="64">
        <v>0</v>
      </c>
      <c r="Q94" s="60">
        <v>0</v>
      </c>
      <c r="R94" s="64">
        <v>0</v>
      </c>
      <c r="S94" s="60">
        <v>0</v>
      </c>
      <c r="T94" s="61"/>
      <c r="U94" s="61"/>
      <c r="V94" s="61"/>
      <c r="W94" s="61"/>
      <c r="X94" s="61"/>
      <c r="Y94" s="61"/>
      <c r="Z94" s="61"/>
      <c r="AA94" s="61"/>
      <c r="AB94" s="164"/>
      <c r="AC94" s="61"/>
      <c r="AD94" s="61"/>
      <c r="AE94" s="61"/>
    </row>
    <row r="95" spans="1:31" x14ac:dyDescent="0.2">
      <c r="A95" s="60">
        <v>95</v>
      </c>
      <c r="B95" s="62" t="s">
        <v>931</v>
      </c>
      <c r="C95" s="63" t="s">
        <v>527</v>
      </c>
      <c r="D95" s="63" t="s">
        <v>553</v>
      </c>
      <c r="E95" s="63" t="s">
        <v>547</v>
      </c>
      <c r="F95" s="63" t="s">
        <v>555</v>
      </c>
      <c r="G95" s="63" t="s">
        <v>532</v>
      </c>
      <c r="H95" s="63" t="s">
        <v>936</v>
      </c>
      <c r="I95" s="63" t="s">
        <v>985</v>
      </c>
      <c r="J95" s="60" t="s">
        <v>599</v>
      </c>
      <c r="K95" s="63">
        <v>0</v>
      </c>
      <c r="L95" s="64">
        <v>0</v>
      </c>
      <c r="M95" s="64">
        <v>0</v>
      </c>
      <c r="N95" s="64">
        <v>0</v>
      </c>
      <c r="O95" s="64">
        <v>0</v>
      </c>
      <c r="P95" s="64">
        <v>0</v>
      </c>
      <c r="Q95" s="60">
        <v>0</v>
      </c>
      <c r="R95" s="64">
        <v>0</v>
      </c>
      <c r="S95" s="60">
        <v>0</v>
      </c>
      <c r="T95" s="61"/>
      <c r="U95" s="61"/>
      <c r="V95" s="61"/>
      <c r="W95" s="61"/>
      <c r="X95" s="61"/>
      <c r="Y95" s="61"/>
      <c r="Z95" s="61"/>
      <c r="AA95" s="61"/>
      <c r="AB95" s="164"/>
      <c r="AC95" s="61"/>
      <c r="AD95" s="61"/>
      <c r="AE95" s="61"/>
    </row>
    <row r="96" spans="1:31" x14ac:dyDescent="0.2">
      <c r="A96" s="60">
        <v>96</v>
      </c>
      <c r="B96" s="63" t="s">
        <v>483</v>
      </c>
      <c r="C96" s="63" t="s">
        <v>600</v>
      </c>
      <c r="D96" s="63" t="s">
        <v>527</v>
      </c>
      <c r="E96" s="63" t="s">
        <v>547</v>
      </c>
      <c r="F96" s="63" t="s">
        <v>555</v>
      </c>
      <c r="G96" s="63" t="s">
        <v>532</v>
      </c>
      <c r="H96" s="63" t="s">
        <v>558</v>
      </c>
      <c r="I96" s="63" t="s">
        <v>558</v>
      </c>
      <c r="J96" s="60" t="s">
        <v>599</v>
      </c>
      <c r="K96" s="63">
        <v>0</v>
      </c>
      <c r="L96" s="64">
        <v>0</v>
      </c>
      <c r="M96" s="64">
        <v>0</v>
      </c>
      <c r="N96" s="64">
        <v>0</v>
      </c>
      <c r="O96" s="64">
        <v>0</v>
      </c>
      <c r="P96" s="64">
        <v>0</v>
      </c>
      <c r="Q96" s="60">
        <v>0</v>
      </c>
      <c r="R96" s="64">
        <v>0</v>
      </c>
      <c r="S96" s="60">
        <v>0</v>
      </c>
      <c r="T96" s="61"/>
      <c r="U96" s="61"/>
      <c r="V96" s="61"/>
      <c r="W96" s="61"/>
      <c r="X96" s="61"/>
      <c r="Y96" s="61"/>
      <c r="Z96" s="61"/>
      <c r="AA96" s="61"/>
      <c r="AB96" s="164"/>
      <c r="AC96" s="61"/>
      <c r="AD96" s="61"/>
      <c r="AE96" s="61"/>
    </row>
    <row r="97" spans="1:31" x14ac:dyDescent="0.2">
      <c r="A97" s="60">
        <v>97</v>
      </c>
      <c r="B97" s="62" t="s">
        <v>487</v>
      </c>
      <c r="C97" s="63" t="s">
        <v>600</v>
      </c>
      <c r="D97" s="63" t="s">
        <v>561</v>
      </c>
      <c r="E97" s="63" t="s">
        <v>931</v>
      </c>
      <c r="F97" s="63" t="s">
        <v>531</v>
      </c>
      <c r="G97" s="63" t="s">
        <v>558</v>
      </c>
      <c r="H97" s="63" t="s">
        <v>558</v>
      </c>
      <c r="I97" s="63" t="s">
        <v>558</v>
      </c>
      <c r="J97" s="60" t="s">
        <v>225</v>
      </c>
      <c r="K97" s="63">
        <v>0</v>
      </c>
      <c r="L97" s="64">
        <v>0</v>
      </c>
      <c r="M97" s="64">
        <v>0</v>
      </c>
      <c r="N97" s="64">
        <v>0</v>
      </c>
      <c r="O97" s="64">
        <v>0</v>
      </c>
      <c r="P97" s="64">
        <v>0</v>
      </c>
      <c r="Q97" s="60">
        <v>0</v>
      </c>
      <c r="R97" s="64">
        <v>0</v>
      </c>
      <c r="S97" s="60">
        <v>0</v>
      </c>
      <c r="T97" s="61"/>
      <c r="U97" s="61"/>
      <c r="V97" s="61"/>
      <c r="W97" s="61"/>
      <c r="X97" s="61"/>
      <c r="Y97" s="61"/>
      <c r="Z97" s="61"/>
      <c r="AA97" s="61"/>
      <c r="AB97" s="164"/>
      <c r="AC97" s="61"/>
      <c r="AD97" s="61"/>
      <c r="AE97" s="61"/>
    </row>
    <row r="98" spans="1:31" x14ac:dyDescent="0.2">
      <c r="A98" s="60">
        <v>98</v>
      </c>
      <c r="B98" s="63"/>
      <c r="C98" s="63" t="s">
        <v>997</v>
      </c>
      <c r="D98" s="63" t="s">
        <v>968</v>
      </c>
      <c r="E98" s="63" t="s">
        <v>541</v>
      </c>
      <c r="F98" s="63" t="s">
        <v>536</v>
      </c>
      <c r="G98" s="63" t="s">
        <v>994</v>
      </c>
      <c r="H98" s="63" t="s">
        <v>955</v>
      </c>
      <c r="I98" s="63" t="s">
        <v>542</v>
      </c>
      <c r="J98" s="60" t="s">
        <v>599</v>
      </c>
      <c r="K98" s="74" t="s">
        <v>913</v>
      </c>
      <c r="L98" s="64" t="s">
        <v>912</v>
      </c>
      <c r="M98" s="64">
        <v>0</v>
      </c>
      <c r="N98" s="64">
        <v>0</v>
      </c>
      <c r="O98" s="64">
        <v>0</v>
      </c>
      <c r="P98" s="64">
        <v>0</v>
      </c>
      <c r="Q98" s="60">
        <v>0</v>
      </c>
      <c r="R98" s="64">
        <v>0</v>
      </c>
      <c r="S98" s="60">
        <v>0</v>
      </c>
      <c r="T98" s="61"/>
      <c r="U98" s="61"/>
      <c r="V98" s="61"/>
      <c r="W98" s="61"/>
      <c r="X98" s="61"/>
      <c r="Y98" s="61"/>
      <c r="Z98" s="61"/>
      <c r="AA98" s="61"/>
      <c r="AB98" s="164"/>
      <c r="AC98" s="61"/>
      <c r="AD98" s="61"/>
      <c r="AE98" s="61"/>
    </row>
    <row r="99" spans="1:31" x14ac:dyDescent="0.2">
      <c r="A99" s="60">
        <v>99</v>
      </c>
      <c r="B99" s="62" t="s">
        <v>497</v>
      </c>
      <c r="C99" s="63" t="s">
        <v>539</v>
      </c>
      <c r="D99" s="63" t="s">
        <v>937</v>
      </c>
      <c r="E99" s="63" t="s">
        <v>536</v>
      </c>
      <c r="F99" s="63" t="s">
        <v>561</v>
      </c>
      <c r="G99" s="63" t="s">
        <v>977</v>
      </c>
      <c r="H99" s="63" t="s">
        <v>531</v>
      </c>
      <c r="I99" s="63" t="s">
        <v>542</v>
      </c>
      <c r="J99" s="60" t="s">
        <v>599</v>
      </c>
      <c r="K99" s="63">
        <v>0</v>
      </c>
      <c r="L99" s="64">
        <v>0</v>
      </c>
      <c r="M99" s="64">
        <v>0</v>
      </c>
      <c r="N99" s="64">
        <v>0</v>
      </c>
      <c r="O99" s="64">
        <v>0</v>
      </c>
      <c r="P99" s="64">
        <v>0</v>
      </c>
      <c r="Q99" s="60">
        <v>0</v>
      </c>
      <c r="R99" s="64">
        <v>0</v>
      </c>
      <c r="S99" s="60">
        <v>0</v>
      </c>
      <c r="T99" s="61"/>
      <c r="U99" s="61"/>
      <c r="V99" s="61"/>
      <c r="W99" s="61"/>
      <c r="X99" s="61"/>
      <c r="Y99" s="61"/>
      <c r="Z99" s="61"/>
      <c r="AA99" s="61"/>
      <c r="AB99" s="164"/>
      <c r="AC99" s="61"/>
      <c r="AD99" s="61"/>
      <c r="AE99" s="61"/>
    </row>
    <row r="100" spans="1:31" x14ac:dyDescent="0.2">
      <c r="A100" s="60">
        <v>100</v>
      </c>
      <c r="B100" s="63" t="s">
        <v>483</v>
      </c>
      <c r="C100" s="63" t="s">
        <v>911</v>
      </c>
      <c r="D100" s="63" t="s">
        <v>534</v>
      </c>
      <c r="E100" s="63" t="s">
        <v>527</v>
      </c>
      <c r="F100" s="63" t="s">
        <v>532</v>
      </c>
      <c r="G100" s="60"/>
      <c r="H100" s="63" t="s">
        <v>558</v>
      </c>
      <c r="I100" s="63" t="s">
        <v>911</v>
      </c>
      <c r="J100" s="60" t="s">
        <v>599</v>
      </c>
      <c r="K100" s="63" t="s">
        <v>92</v>
      </c>
      <c r="L100" s="64" t="s">
        <v>914</v>
      </c>
      <c r="M100" s="64">
        <v>0</v>
      </c>
      <c r="N100" s="64">
        <v>0</v>
      </c>
      <c r="O100" s="64">
        <v>0</v>
      </c>
      <c r="P100" s="64">
        <v>0</v>
      </c>
      <c r="Q100" s="60">
        <v>0</v>
      </c>
      <c r="R100" s="64">
        <v>0</v>
      </c>
      <c r="S100" s="60">
        <v>0</v>
      </c>
      <c r="T100" s="61"/>
      <c r="U100" s="61"/>
      <c r="V100" s="61"/>
      <c r="W100" s="61"/>
      <c r="X100" s="61"/>
      <c r="Y100" s="61"/>
      <c r="Z100" s="61"/>
      <c r="AA100" s="61"/>
      <c r="AB100" s="164"/>
      <c r="AC100" s="61"/>
      <c r="AD100" s="61"/>
      <c r="AE100" s="61"/>
    </row>
    <row r="101" spans="1:31" x14ac:dyDescent="0.2">
      <c r="A101" s="60">
        <v>101</v>
      </c>
      <c r="B101" s="63" t="s">
        <v>558</v>
      </c>
      <c r="C101" s="60"/>
      <c r="D101" s="63" t="s">
        <v>931</v>
      </c>
      <c r="E101" s="63" t="s">
        <v>545</v>
      </c>
      <c r="F101" s="63" t="s">
        <v>561</v>
      </c>
      <c r="G101" s="63" t="s">
        <v>531</v>
      </c>
      <c r="H101" s="63" t="s">
        <v>558</v>
      </c>
      <c r="I101" s="63" t="s">
        <v>558</v>
      </c>
      <c r="J101" s="60" t="s">
        <v>599</v>
      </c>
      <c r="K101" s="74" t="s">
        <v>943</v>
      </c>
      <c r="L101" s="64" t="s">
        <v>915</v>
      </c>
      <c r="M101" s="64">
        <v>0</v>
      </c>
      <c r="N101" s="64">
        <v>0</v>
      </c>
      <c r="O101" s="64">
        <v>0</v>
      </c>
      <c r="P101" s="64">
        <v>0</v>
      </c>
      <c r="Q101" s="60">
        <v>0</v>
      </c>
      <c r="R101" s="74">
        <v>0</v>
      </c>
      <c r="S101" s="74">
        <v>0</v>
      </c>
      <c r="T101" s="61"/>
      <c r="U101" s="61"/>
      <c r="V101" s="61"/>
      <c r="W101" s="61"/>
      <c r="X101" s="61"/>
      <c r="Y101" s="61"/>
      <c r="Z101" s="61"/>
      <c r="AA101" s="61"/>
      <c r="AB101" s="164"/>
      <c r="AC101" s="61"/>
      <c r="AD101" s="61"/>
      <c r="AE101" s="61"/>
    </row>
    <row r="102" spans="1:31" x14ac:dyDescent="0.2">
      <c r="A102" s="60">
        <v>102</v>
      </c>
      <c r="B102" s="63" t="s">
        <v>483</v>
      </c>
      <c r="C102" s="63" t="s">
        <v>935</v>
      </c>
      <c r="D102" s="63" t="s">
        <v>916</v>
      </c>
      <c r="E102" s="63" t="s">
        <v>545</v>
      </c>
      <c r="F102" s="60"/>
      <c r="G102" s="63" t="s">
        <v>532</v>
      </c>
      <c r="H102" s="63" t="s">
        <v>558</v>
      </c>
      <c r="I102" s="63" t="s">
        <v>916</v>
      </c>
      <c r="J102" s="60" t="s">
        <v>599</v>
      </c>
      <c r="K102" s="63" t="s">
        <v>917</v>
      </c>
      <c r="L102" s="74" t="s">
        <v>943</v>
      </c>
      <c r="M102" s="64">
        <v>0</v>
      </c>
      <c r="N102" s="64">
        <v>0</v>
      </c>
      <c r="O102" s="63">
        <v>0</v>
      </c>
      <c r="P102" s="64">
        <v>0</v>
      </c>
      <c r="Q102" s="60">
        <v>0</v>
      </c>
      <c r="R102" s="64">
        <v>0</v>
      </c>
      <c r="S102" s="60">
        <v>0</v>
      </c>
      <c r="T102" s="61"/>
      <c r="U102" s="61"/>
      <c r="V102" s="61"/>
      <c r="W102" s="61"/>
      <c r="X102" s="61"/>
      <c r="Y102" s="61"/>
      <c r="Z102" s="61"/>
      <c r="AA102" s="61"/>
      <c r="AB102" s="164"/>
      <c r="AC102" s="61"/>
      <c r="AD102" s="61"/>
      <c r="AE102" s="61"/>
    </row>
    <row r="103" spans="1:31" x14ac:dyDescent="0.2">
      <c r="A103" s="60">
        <v>103</v>
      </c>
      <c r="B103" s="62" t="s">
        <v>483</v>
      </c>
      <c r="C103" s="63" t="s">
        <v>911</v>
      </c>
      <c r="D103" s="63" t="s">
        <v>543</v>
      </c>
      <c r="E103" s="63" t="s">
        <v>527</v>
      </c>
      <c r="F103" s="63" t="s">
        <v>539</v>
      </c>
      <c r="G103" s="63" t="s">
        <v>532</v>
      </c>
      <c r="H103" s="63" t="s">
        <v>531</v>
      </c>
      <c r="I103" s="63" t="s">
        <v>911</v>
      </c>
      <c r="J103" s="60" t="s">
        <v>599</v>
      </c>
      <c r="K103" s="63">
        <v>0</v>
      </c>
      <c r="L103" s="64">
        <v>0</v>
      </c>
      <c r="M103" s="64">
        <v>0</v>
      </c>
      <c r="N103" s="64">
        <v>0</v>
      </c>
      <c r="O103" s="64">
        <v>0</v>
      </c>
      <c r="P103" s="64">
        <v>0</v>
      </c>
      <c r="Q103" s="60">
        <v>0</v>
      </c>
      <c r="R103" s="64">
        <v>0</v>
      </c>
      <c r="S103" s="60">
        <v>0</v>
      </c>
      <c r="T103" s="61"/>
      <c r="U103" s="61"/>
      <c r="V103" s="61"/>
      <c r="W103" s="61"/>
      <c r="X103" s="61"/>
      <c r="Y103" s="61"/>
      <c r="Z103" s="61"/>
      <c r="AA103" s="61"/>
      <c r="AB103" s="165"/>
      <c r="AC103" s="61"/>
      <c r="AD103" s="61"/>
      <c r="AE103" s="61"/>
    </row>
    <row r="104" spans="1:31" x14ac:dyDescent="0.2">
      <c r="A104" s="60">
        <v>104</v>
      </c>
      <c r="B104" s="60"/>
      <c r="C104" s="63" t="s">
        <v>552</v>
      </c>
      <c r="D104" s="63" t="s">
        <v>997</v>
      </c>
      <c r="E104" s="63" t="s">
        <v>968</v>
      </c>
      <c r="F104" s="63" t="s">
        <v>530</v>
      </c>
      <c r="G104" s="63" t="s">
        <v>950</v>
      </c>
      <c r="H104" s="63"/>
      <c r="I104" s="63"/>
      <c r="J104" s="60" t="s">
        <v>599</v>
      </c>
      <c r="K104" s="63" t="s">
        <v>918</v>
      </c>
      <c r="L104" s="64" t="s">
        <v>919</v>
      </c>
      <c r="M104" s="64">
        <v>0</v>
      </c>
      <c r="N104" s="64">
        <v>0</v>
      </c>
      <c r="O104" s="64">
        <v>0</v>
      </c>
      <c r="P104" s="64">
        <v>0</v>
      </c>
      <c r="Q104" s="60" t="s">
        <v>497</v>
      </c>
      <c r="R104" s="64" t="s">
        <v>909</v>
      </c>
      <c r="S104" s="60" t="s">
        <v>931</v>
      </c>
      <c r="T104" s="61"/>
      <c r="U104" s="61"/>
      <c r="V104" s="61"/>
      <c r="W104" s="61"/>
      <c r="X104" s="61"/>
      <c r="Y104" s="61"/>
      <c r="Z104" s="61"/>
      <c r="AA104" s="61"/>
      <c r="AB104" s="165"/>
      <c r="AC104" s="61"/>
      <c r="AD104" s="61"/>
      <c r="AE104" s="61"/>
    </row>
    <row r="105" spans="1:31" x14ac:dyDescent="0.2">
      <c r="A105" s="60">
        <v>105</v>
      </c>
      <c r="B105" s="62" t="s">
        <v>963</v>
      </c>
      <c r="C105" s="63" t="s">
        <v>968</v>
      </c>
      <c r="D105" s="63" t="s">
        <v>527</v>
      </c>
      <c r="E105" s="63" t="s">
        <v>931</v>
      </c>
      <c r="F105" s="63" t="s">
        <v>561</v>
      </c>
      <c r="G105" s="63" t="s">
        <v>532</v>
      </c>
      <c r="H105" s="63" t="s">
        <v>529</v>
      </c>
      <c r="I105" s="63" t="s">
        <v>530</v>
      </c>
      <c r="J105" s="60" t="s">
        <v>599</v>
      </c>
      <c r="K105" s="63">
        <v>0</v>
      </c>
      <c r="L105" s="64">
        <v>0</v>
      </c>
      <c r="M105" s="64">
        <v>0</v>
      </c>
      <c r="N105" s="64">
        <v>0</v>
      </c>
      <c r="O105" s="64">
        <v>0</v>
      </c>
      <c r="P105" s="64">
        <v>0</v>
      </c>
      <c r="Q105" s="60">
        <v>0</v>
      </c>
      <c r="R105" s="64">
        <v>0</v>
      </c>
      <c r="S105" s="60">
        <v>0</v>
      </c>
      <c r="T105" s="61"/>
      <c r="U105" s="61"/>
      <c r="V105" s="61"/>
      <c r="W105" s="61"/>
      <c r="X105" s="61"/>
      <c r="Y105" s="61"/>
      <c r="Z105" s="61"/>
      <c r="AA105" s="61"/>
      <c r="AB105" s="165"/>
      <c r="AC105" s="61"/>
      <c r="AD105" s="61"/>
      <c r="AE105" s="61"/>
    </row>
    <row r="106" spans="1:31" x14ac:dyDescent="0.2">
      <c r="A106" s="60">
        <v>106</v>
      </c>
      <c r="B106" s="62"/>
      <c r="C106" s="63" t="s">
        <v>600</v>
      </c>
      <c r="D106" s="63" t="s">
        <v>527</v>
      </c>
      <c r="E106" s="63" t="s">
        <v>558</v>
      </c>
      <c r="F106" s="63" t="s">
        <v>558</v>
      </c>
      <c r="G106" s="63" t="s">
        <v>558</v>
      </c>
      <c r="H106" s="63" t="s">
        <v>558</v>
      </c>
      <c r="I106" s="63" t="s">
        <v>558</v>
      </c>
      <c r="J106" s="60" t="s">
        <v>599</v>
      </c>
      <c r="K106" s="63" t="s">
        <v>998</v>
      </c>
      <c r="L106" s="64" t="s">
        <v>999</v>
      </c>
      <c r="M106" s="64">
        <v>0</v>
      </c>
      <c r="N106" s="64">
        <v>0</v>
      </c>
      <c r="O106" s="64">
        <v>0</v>
      </c>
      <c r="P106" s="64">
        <v>0</v>
      </c>
      <c r="Q106" s="60">
        <v>0</v>
      </c>
      <c r="R106" s="64">
        <v>0</v>
      </c>
      <c r="S106" s="60">
        <v>0</v>
      </c>
      <c r="T106" s="61"/>
      <c r="U106" s="61"/>
      <c r="V106" s="61"/>
      <c r="W106" s="61"/>
      <c r="X106" s="61"/>
      <c r="Y106" s="61"/>
      <c r="Z106" s="61"/>
      <c r="AA106" s="61"/>
      <c r="AB106" s="165"/>
      <c r="AC106" s="61"/>
      <c r="AD106" s="61"/>
      <c r="AE106" s="61"/>
    </row>
    <row r="107" spans="1:31" x14ac:dyDescent="0.2">
      <c r="A107" s="60">
        <v>107</v>
      </c>
      <c r="B107" s="62" t="s">
        <v>74</v>
      </c>
      <c r="C107" s="63" t="s">
        <v>552</v>
      </c>
      <c r="D107" s="63"/>
      <c r="E107" s="63" t="s">
        <v>967</v>
      </c>
      <c r="F107" s="63" t="s">
        <v>541</v>
      </c>
      <c r="G107" s="63" t="s">
        <v>537</v>
      </c>
      <c r="H107" s="63" t="s">
        <v>542</v>
      </c>
      <c r="I107" s="63"/>
      <c r="J107" s="63" t="s">
        <v>225</v>
      </c>
      <c r="K107" s="63" t="s">
        <v>995</v>
      </c>
      <c r="L107" s="64" t="s">
        <v>996</v>
      </c>
      <c r="M107" s="64">
        <v>0</v>
      </c>
      <c r="N107" s="64">
        <v>0</v>
      </c>
      <c r="O107" s="64">
        <v>0</v>
      </c>
      <c r="P107" s="64">
        <v>0</v>
      </c>
      <c r="Q107" s="63" t="s">
        <v>498</v>
      </c>
      <c r="R107" s="64" t="s">
        <v>78</v>
      </c>
      <c r="S107" s="60" t="s">
        <v>969</v>
      </c>
      <c r="T107" s="61"/>
      <c r="U107" s="61"/>
      <c r="V107" s="61"/>
      <c r="W107" s="61"/>
      <c r="X107" s="61"/>
      <c r="Y107" s="61"/>
      <c r="Z107" s="61"/>
      <c r="AA107" s="61"/>
      <c r="AB107" s="165"/>
      <c r="AC107" s="61"/>
      <c r="AD107" s="61"/>
      <c r="AE107" s="61"/>
    </row>
    <row r="108" spans="1:31" x14ac:dyDescent="0.2">
      <c r="A108" s="60">
        <v>108</v>
      </c>
      <c r="B108" s="63" t="s">
        <v>74</v>
      </c>
      <c r="C108" s="60"/>
      <c r="D108" s="63" t="s">
        <v>527</v>
      </c>
      <c r="E108" s="63" t="s">
        <v>937</v>
      </c>
      <c r="F108" s="63" t="s">
        <v>538</v>
      </c>
      <c r="G108" s="63" t="s">
        <v>531</v>
      </c>
      <c r="H108" s="63" t="s">
        <v>542</v>
      </c>
      <c r="I108" s="63" t="s">
        <v>1001</v>
      </c>
      <c r="J108" s="60" t="s">
        <v>599</v>
      </c>
      <c r="K108" s="63" t="s">
        <v>967</v>
      </c>
      <c r="L108" s="64" t="s">
        <v>1000</v>
      </c>
      <c r="M108" s="64">
        <v>0</v>
      </c>
      <c r="N108" s="64">
        <v>0</v>
      </c>
      <c r="O108" s="64">
        <v>0</v>
      </c>
      <c r="P108" s="64">
        <v>0</v>
      </c>
      <c r="Q108" s="60">
        <v>0</v>
      </c>
      <c r="R108" s="64">
        <v>0</v>
      </c>
      <c r="S108" s="60">
        <v>0</v>
      </c>
      <c r="T108" s="61"/>
      <c r="U108" s="61"/>
      <c r="V108" s="61"/>
      <c r="W108" s="61"/>
      <c r="X108" s="61"/>
      <c r="Y108" s="61"/>
      <c r="Z108" s="61"/>
      <c r="AA108" s="61"/>
      <c r="AB108" s="165"/>
      <c r="AC108" s="61"/>
      <c r="AD108" s="61"/>
      <c r="AE108" s="61"/>
    </row>
    <row r="109" spans="1:31" x14ac:dyDescent="0.2">
      <c r="A109" s="60">
        <v>109</v>
      </c>
      <c r="B109" s="62" t="s">
        <v>483</v>
      </c>
      <c r="C109" s="63" t="s">
        <v>534</v>
      </c>
      <c r="D109" s="63" t="s">
        <v>561</v>
      </c>
      <c r="E109" s="63" t="s">
        <v>535</v>
      </c>
      <c r="F109" s="63" t="s">
        <v>538</v>
      </c>
      <c r="G109" s="63" t="s">
        <v>532</v>
      </c>
      <c r="H109" s="63" t="s">
        <v>988</v>
      </c>
      <c r="I109" s="63" t="s">
        <v>976</v>
      </c>
      <c r="J109" s="60" t="s">
        <v>599</v>
      </c>
      <c r="K109" s="63">
        <v>0</v>
      </c>
      <c r="L109" s="64">
        <v>0</v>
      </c>
      <c r="M109" s="64">
        <v>0</v>
      </c>
      <c r="N109" s="64">
        <v>0</v>
      </c>
      <c r="O109" s="64">
        <v>0</v>
      </c>
      <c r="P109" s="64">
        <v>0</v>
      </c>
      <c r="Q109" s="60">
        <v>0</v>
      </c>
      <c r="R109" s="64">
        <v>0</v>
      </c>
      <c r="S109" s="60">
        <v>0</v>
      </c>
      <c r="T109" s="61"/>
      <c r="U109" s="61"/>
      <c r="V109" s="61"/>
      <c r="W109" s="61"/>
      <c r="X109" s="61"/>
      <c r="Y109" s="61"/>
      <c r="Z109" s="61"/>
      <c r="AA109" s="61"/>
      <c r="AB109" s="165"/>
      <c r="AC109" s="61"/>
      <c r="AD109" s="61"/>
      <c r="AE109" s="61"/>
    </row>
    <row r="110" spans="1:31" x14ac:dyDescent="0.2">
      <c r="A110" s="60">
        <v>110</v>
      </c>
      <c r="B110" s="63" t="s">
        <v>483</v>
      </c>
      <c r="C110" s="63" t="s">
        <v>562</v>
      </c>
      <c r="D110" s="63" t="s">
        <v>1030</v>
      </c>
      <c r="E110" s="63" t="s">
        <v>551</v>
      </c>
      <c r="F110" s="63" t="s">
        <v>527</v>
      </c>
      <c r="G110" s="63" t="s">
        <v>548</v>
      </c>
      <c r="H110" s="63" t="s">
        <v>532</v>
      </c>
      <c r="I110" s="63" t="s">
        <v>562</v>
      </c>
      <c r="J110" s="60" t="s">
        <v>599</v>
      </c>
      <c r="K110" s="63">
        <v>0</v>
      </c>
      <c r="L110" s="64">
        <v>0</v>
      </c>
      <c r="M110" s="64">
        <v>0</v>
      </c>
      <c r="N110" s="64">
        <v>0</v>
      </c>
      <c r="O110" s="64">
        <v>0</v>
      </c>
      <c r="P110" s="64">
        <v>0</v>
      </c>
      <c r="Q110" s="60">
        <v>0</v>
      </c>
      <c r="R110" s="64">
        <v>0</v>
      </c>
      <c r="S110" s="60">
        <v>0</v>
      </c>
      <c r="T110" s="61"/>
      <c r="U110" s="61"/>
      <c r="V110" s="61"/>
      <c r="W110" s="61"/>
      <c r="X110" s="61"/>
      <c r="Y110" s="61"/>
      <c r="Z110" s="61"/>
      <c r="AA110" s="61"/>
      <c r="AB110" s="165"/>
      <c r="AC110" s="61"/>
      <c r="AD110" s="61"/>
      <c r="AE110" s="61"/>
    </row>
    <row r="111" spans="1:31" x14ac:dyDescent="0.2">
      <c r="A111" s="60">
        <v>111</v>
      </c>
      <c r="B111" s="62" t="s">
        <v>483</v>
      </c>
      <c r="C111" s="63" t="s">
        <v>963</v>
      </c>
      <c r="D111" s="63" t="s">
        <v>552</v>
      </c>
      <c r="E111" s="63" t="s">
        <v>527</v>
      </c>
      <c r="F111" s="63" t="s">
        <v>1002</v>
      </c>
      <c r="G111" s="63" t="s">
        <v>532</v>
      </c>
      <c r="H111" s="63" t="s">
        <v>558</v>
      </c>
      <c r="I111" s="63" t="s">
        <v>1002</v>
      </c>
      <c r="J111" s="60" t="s">
        <v>599</v>
      </c>
      <c r="K111" s="63">
        <v>0</v>
      </c>
      <c r="L111" s="64">
        <v>0</v>
      </c>
      <c r="M111" s="64">
        <v>0</v>
      </c>
      <c r="N111" s="64">
        <v>0</v>
      </c>
      <c r="O111" s="64">
        <v>0</v>
      </c>
      <c r="P111" s="64">
        <v>0</v>
      </c>
      <c r="Q111" s="60">
        <v>0</v>
      </c>
      <c r="R111" s="64">
        <v>0</v>
      </c>
      <c r="S111" s="60">
        <v>0</v>
      </c>
      <c r="T111" s="61"/>
      <c r="U111" s="61"/>
      <c r="V111" s="61"/>
      <c r="W111" s="61"/>
      <c r="X111" s="61"/>
      <c r="Y111" s="61"/>
      <c r="Z111" s="61"/>
      <c r="AA111" s="61"/>
      <c r="AB111" s="165"/>
      <c r="AC111" s="61"/>
      <c r="AD111" s="61"/>
      <c r="AE111" s="61"/>
    </row>
    <row r="112" spans="1:31" x14ac:dyDescent="0.2">
      <c r="A112" s="60">
        <v>112</v>
      </c>
      <c r="B112" s="63" t="s">
        <v>483</v>
      </c>
      <c r="C112" s="63" t="s">
        <v>556</v>
      </c>
      <c r="D112" s="63" t="s">
        <v>551</v>
      </c>
      <c r="E112" s="60"/>
      <c r="F112" s="63" t="s">
        <v>527</v>
      </c>
      <c r="G112" s="63" t="s">
        <v>561</v>
      </c>
      <c r="H112" s="63" t="s">
        <v>558</v>
      </c>
      <c r="I112" s="63" t="s">
        <v>558</v>
      </c>
      <c r="J112" s="60" t="s">
        <v>599</v>
      </c>
      <c r="K112" s="63" t="s">
        <v>971</v>
      </c>
      <c r="L112" s="74" t="s">
        <v>943</v>
      </c>
      <c r="M112" s="64">
        <v>0</v>
      </c>
      <c r="N112" s="64">
        <v>0</v>
      </c>
      <c r="O112" s="64">
        <v>0</v>
      </c>
      <c r="P112" s="64">
        <v>0</v>
      </c>
      <c r="Q112" s="60">
        <v>0</v>
      </c>
      <c r="R112" s="64">
        <v>0</v>
      </c>
      <c r="S112" s="60">
        <v>0</v>
      </c>
      <c r="T112" s="61"/>
      <c r="U112" s="61"/>
      <c r="V112" s="61"/>
      <c r="W112" s="61"/>
      <c r="X112" s="61"/>
      <c r="Y112" s="61"/>
      <c r="Z112" s="61"/>
      <c r="AA112" s="61"/>
      <c r="AB112" s="165"/>
      <c r="AC112" s="61"/>
      <c r="AD112" s="61"/>
      <c r="AE112" s="61"/>
    </row>
    <row r="113" spans="1:31" x14ac:dyDescent="0.2">
      <c r="A113" s="60">
        <v>113</v>
      </c>
      <c r="B113" s="62" t="s">
        <v>483</v>
      </c>
      <c r="C113" s="63" t="s">
        <v>931</v>
      </c>
      <c r="D113" s="63" t="s">
        <v>551</v>
      </c>
      <c r="E113" s="63" t="s">
        <v>562</v>
      </c>
      <c r="F113" s="63" t="s">
        <v>532</v>
      </c>
      <c r="G113" s="63" t="s">
        <v>558</v>
      </c>
      <c r="H113" s="63" t="s">
        <v>558</v>
      </c>
      <c r="I113" s="63" t="s">
        <v>562</v>
      </c>
      <c r="J113" s="60" t="s">
        <v>599</v>
      </c>
      <c r="K113" s="63">
        <v>0</v>
      </c>
      <c r="L113" s="64">
        <v>0</v>
      </c>
      <c r="M113" s="64">
        <v>0</v>
      </c>
      <c r="N113" s="64">
        <v>0</v>
      </c>
      <c r="O113" s="64">
        <v>0</v>
      </c>
      <c r="P113" s="64">
        <v>0</v>
      </c>
      <c r="Q113" s="60">
        <v>0</v>
      </c>
      <c r="R113" s="64">
        <v>0</v>
      </c>
      <c r="S113" s="60">
        <v>0</v>
      </c>
      <c r="T113" s="61"/>
      <c r="U113" s="61"/>
      <c r="V113" s="61"/>
      <c r="W113" s="61"/>
      <c r="X113" s="61"/>
      <c r="Y113" s="61"/>
      <c r="Z113" s="61"/>
      <c r="AA113" s="61"/>
      <c r="AB113" s="165"/>
      <c r="AC113" s="61"/>
      <c r="AD113" s="61"/>
      <c r="AE113" s="61"/>
    </row>
    <row r="114" spans="1:31" x14ac:dyDescent="0.2">
      <c r="A114" s="60">
        <v>114</v>
      </c>
      <c r="B114" s="63" t="s">
        <v>487</v>
      </c>
      <c r="C114" s="63" t="s">
        <v>565</v>
      </c>
      <c r="D114" s="63" t="s">
        <v>532</v>
      </c>
      <c r="E114" s="63" t="s">
        <v>530</v>
      </c>
      <c r="F114" s="63" t="s">
        <v>559</v>
      </c>
      <c r="G114" s="63" t="s">
        <v>565</v>
      </c>
      <c r="H114" s="63" t="s">
        <v>566</v>
      </c>
      <c r="I114" s="63" t="s">
        <v>559</v>
      </c>
      <c r="J114" s="60" t="s">
        <v>599</v>
      </c>
      <c r="K114" s="63">
        <v>0</v>
      </c>
      <c r="L114" s="64">
        <v>0</v>
      </c>
      <c r="M114" s="64">
        <v>0</v>
      </c>
      <c r="N114" s="64">
        <v>0</v>
      </c>
      <c r="O114" s="64">
        <v>0</v>
      </c>
      <c r="P114" s="64">
        <v>0</v>
      </c>
      <c r="Q114" s="60">
        <v>0</v>
      </c>
      <c r="R114" s="64">
        <v>0</v>
      </c>
      <c r="S114" s="60">
        <v>0</v>
      </c>
      <c r="T114" s="61"/>
      <c r="U114" s="61"/>
      <c r="V114" s="61"/>
      <c r="W114" s="61"/>
      <c r="X114" s="61"/>
      <c r="Y114" s="61"/>
      <c r="Z114" s="61"/>
      <c r="AA114" s="61"/>
      <c r="AB114" s="165"/>
      <c r="AC114" s="61"/>
      <c r="AD114" s="61"/>
      <c r="AE114" s="61"/>
    </row>
    <row r="115" spans="1:31" x14ac:dyDescent="0.2">
      <c r="A115" s="60">
        <v>115</v>
      </c>
      <c r="B115" s="63" t="s">
        <v>557</v>
      </c>
      <c r="C115" s="63" t="s">
        <v>552</v>
      </c>
      <c r="D115" s="63" t="s">
        <v>541</v>
      </c>
      <c r="E115" s="63" t="s">
        <v>937</v>
      </c>
      <c r="F115" s="63" t="s">
        <v>553</v>
      </c>
      <c r="G115" s="63" t="s">
        <v>975</v>
      </c>
      <c r="H115" s="63" t="s">
        <v>1003</v>
      </c>
      <c r="I115" s="60" t="s">
        <v>1004</v>
      </c>
      <c r="J115" s="63"/>
      <c r="K115" s="64">
        <v>0</v>
      </c>
      <c r="L115" s="64">
        <v>0</v>
      </c>
      <c r="M115" s="64">
        <v>0</v>
      </c>
      <c r="N115" s="64">
        <v>0</v>
      </c>
      <c r="O115" s="64">
        <v>0</v>
      </c>
      <c r="P115" s="64">
        <v>0</v>
      </c>
      <c r="Q115" s="64">
        <v>0</v>
      </c>
      <c r="R115" s="60">
        <v>0</v>
      </c>
      <c r="S115" s="60">
        <v>0</v>
      </c>
      <c r="T115" s="61"/>
      <c r="U115" s="61"/>
      <c r="V115" s="61"/>
      <c r="W115" s="61"/>
      <c r="X115" s="61"/>
      <c r="Y115" s="61"/>
      <c r="Z115" s="61"/>
      <c r="AA115" s="61"/>
      <c r="AB115" s="165"/>
      <c r="AC115" s="61"/>
      <c r="AD115" s="61"/>
      <c r="AE115" s="61"/>
    </row>
    <row r="116" spans="1:31" x14ac:dyDescent="0.2">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165"/>
      <c r="AC116" s="61"/>
      <c r="AD116" s="61"/>
      <c r="AE116" s="61"/>
    </row>
    <row r="117" spans="1:31" x14ac:dyDescent="0.2">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165"/>
      <c r="AC117" s="61"/>
      <c r="AD117" s="61"/>
      <c r="AE117" s="61"/>
    </row>
    <row r="118" spans="1:31" x14ac:dyDescent="0.2">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165"/>
      <c r="AC118" s="61"/>
      <c r="AD118" s="61"/>
      <c r="AE118" s="61"/>
    </row>
    <row r="119" spans="1:31" x14ac:dyDescent="0.2">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165"/>
      <c r="AC119" s="61"/>
      <c r="AD119" s="61"/>
      <c r="AE119" s="61"/>
    </row>
    <row r="120" spans="1:31" x14ac:dyDescent="0.2">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165"/>
      <c r="AC120" s="61"/>
      <c r="AD120" s="61"/>
      <c r="AE120" s="61"/>
    </row>
    <row r="121" spans="1:31" x14ac:dyDescent="0.2">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165"/>
      <c r="AC121" s="61"/>
      <c r="AD121" s="61"/>
      <c r="AE121" s="61"/>
    </row>
    <row r="122" spans="1:31" x14ac:dyDescent="0.2">
      <c r="AB122" s="165"/>
      <c r="AC122" s="61"/>
      <c r="AD122" s="61"/>
    </row>
  </sheetData>
  <customSheetViews>
    <customSheetView guid="{111A6EAC-FF6E-44AB-B5F5-6EDFAC2B64B3}" scale="115" state="hidden" topLeftCell="A85">
      <selection activeCell="G107" sqref="G107"/>
      <pageMargins left="0.7" right="0.7" top="0.75" bottom="0.75" header="0.3" footer="0.3"/>
      <pageSetup paperSize="9" orientation="portrait" r:id="rId1"/>
    </customSheetView>
  </customSheetViews>
  <mergeCells count="3">
    <mergeCell ref="Y8:AA8"/>
    <mergeCell ref="Y6:Z6"/>
    <mergeCell ref="Y4:Z4"/>
  </mergeCells>
  <phoneticPr fontId="2"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D24:D25 S92 K98"/>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B24:B25 K41 L112 R101 K101 L102 K68"/>
  </dataValidation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69"/>
  <sheetViews>
    <sheetView zoomScaleNormal="100" workbookViewId="0">
      <selection activeCell="F14" sqref="F14"/>
    </sheetView>
  </sheetViews>
  <sheetFormatPr defaultRowHeight="14.25" x14ac:dyDescent="0.2"/>
  <cols>
    <col min="1" max="1" width="12.625" customWidth="1"/>
    <col min="6" max="6" width="51.75" customWidth="1"/>
    <col min="7" max="7" width="16.5" customWidth="1"/>
    <col min="10" max="10" width="9" style="166"/>
  </cols>
  <sheetData>
    <row r="1" spans="1:13" x14ac:dyDescent="0.2">
      <c r="A1" t="s">
        <v>1444</v>
      </c>
      <c r="B1" t="str">
        <f>IF(人物卡!C3=0,"",人物卡!C3)</f>
        <v/>
      </c>
      <c r="F1" s="27" t="str">
        <f>F14</f>
        <v xml:space="preserve">.st                                                 </v>
      </c>
      <c r="G1" s="27"/>
    </row>
    <row r="2" spans="1:13" x14ac:dyDescent="0.2">
      <c r="A2" t="s">
        <v>457</v>
      </c>
      <c r="B2" t="str">
        <f>IF(人物卡!C4=0,"",人物卡!C4)</f>
        <v/>
      </c>
      <c r="J2" s="165" t="str">
        <f>人物卡!D15</f>
        <v>会计</v>
      </c>
      <c r="K2" s="61">
        <f>IF(SUM(人物卡!G15:I15)=0,0,1)</f>
        <v>0</v>
      </c>
      <c r="L2" s="61">
        <f>人物卡!J15</f>
        <v>5</v>
      </c>
      <c r="M2" s="61">
        <f>K2</f>
        <v>0</v>
      </c>
    </row>
    <row r="3" spans="1:13" x14ac:dyDescent="0.2">
      <c r="A3" t="str">
        <f>IF(B3="","","力量")</f>
        <v/>
      </c>
      <c r="B3" t="str">
        <f>IF(STR=0,"",STR)</f>
        <v/>
      </c>
      <c r="J3" s="165" t="str">
        <f>人物卡!D16</f>
        <v>人类学</v>
      </c>
      <c r="K3" s="61">
        <f>IF(SUM(人物卡!G16:I16)=0,0,1)</f>
        <v>0</v>
      </c>
      <c r="L3" s="61">
        <f>人物卡!J16</f>
        <v>1</v>
      </c>
      <c r="M3" s="61">
        <f t="shared" ref="M3:M66" si="0">K3</f>
        <v>0</v>
      </c>
    </row>
    <row r="4" spans="1:13" x14ac:dyDescent="0.2">
      <c r="A4" t="str">
        <f>IF(B4="","","敏捷")</f>
        <v/>
      </c>
      <c r="B4" t="str">
        <f>IF(DEX=0,"",DEX)</f>
        <v/>
      </c>
      <c r="J4" s="165" t="str">
        <f>人物卡!D17</f>
        <v>估价</v>
      </c>
      <c r="K4" s="61">
        <f>IF(SUM(人物卡!G17:I17)=0,0,1)</f>
        <v>0</v>
      </c>
      <c r="L4" s="61">
        <f>人物卡!J17</f>
        <v>5</v>
      </c>
      <c r="M4" s="61">
        <f t="shared" si="0"/>
        <v>0</v>
      </c>
    </row>
    <row r="5" spans="1:13" x14ac:dyDescent="0.2">
      <c r="A5" t="str">
        <f>IF(B5="","","意志")</f>
        <v/>
      </c>
      <c r="B5" t="str">
        <f>IF(POW=0,"",POW)</f>
        <v/>
      </c>
      <c r="J5" s="165" t="str">
        <f>人物卡!D18</f>
        <v>考古学</v>
      </c>
      <c r="K5" s="61">
        <f>IF(SUM(人物卡!G18:I18)=0,0,1)</f>
        <v>0</v>
      </c>
      <c r="L5" s="61">
        <f>人物卡!J18</f>
        <v>1</v>
      </c>
      <c r="M5" s="61">
        <f t="shared" si="0"/>
        <v>0</v>
      </c>
    </row>
    <row r="6" spans="1:13" x14ac:dyDescent="0.2">
      <c r="A6" t="str">
        <f>IF(B6="","","体质")</f>
        <v/>
      </c>
      <c r="B6" t="str">
        <f>IF(CON=0,"",CON)</f>
        <v/>
      </c>
      <c r="J6" s="165" t="str">
        <f>人物卡!E19</f>
        <v>伪造</v>
      </c>
      <c r="K6" s="61">
        <f>IF(SUM(人物卡!G19:I19)=0,0,1)</f>
        <v>0</v>
      </c>
      <c r="L6" s="61">
        <f>人物卡!J19</f>
        <v>5</v>
      </c>
      <c r="M6" s="61">
        <f t="shared" si="0"/>
        <v>0</v>
      </c>
    </row>
    <row r="7" spans="1:13" x14ac:dyDescent="0.2">
      <c r="A7" t="str">
        <f>IF(B7="","","外貌")</f>
        <v/>
      </c>
      <c r="B7" t="str">
        <f>IF(APP=0,"",APP)</f>
        <v/>
      </c>
      <c r="J7" s="165">
        <f>人物卡!E20</f>
        <v>0</v>
      </c>
      <c r="K7" s="61">
        <f>IF(SUM(人物卡!G20:I20)=0,0,1)</f>
        <v>0</v>
      </c>
      <c r="L7" s="61">
        <f>人物卡!J20</f>
        <v>5</v>
      </c>
      <c r="M7" s="61">
        <f t="shared" si="0"/>
        <v>0</v>
      </c>
    </row>
    <row r="8" spans="1:13" x14ac:dyDescent="0.2">
      <c r="A8" t="str">
        <f>IF(B8="","","教育")</f>
        <v/>
      </c>
      <c r="B8" t="str">
        <f>IF(EDU=0,"",EDU)</f>
        <v/>
      </c>
      <c r="J8" s="165">
        <f>人物卡!E21</f>
        <v>0</v>
      </c>
      <c r="K8" s="61">
        <f>IF(SUM(人物卡!G21:I21)=0,0,1)</f>
        <v>0</v>
      </c>
      <c r="L8" s="61">
        <f>人物卡!J21</f>
        <v>5</v>
      </c>
      <c r="M8" s="61">
        <f t="shared" si="0"/>
        <v>0</v>
      </c>
    </row>
    <row r="9" spans="1:13" x14ac:dyDescent="0.2">
      <c r="A9" t="str">
        <f>IF(B9="","","体型")</f>
        <v/>
      </c>
      <c r="B9" t="str">
        <f>IF(SIZ=0,"",SIZ)</f>
        <v/>
      </c>
      <c r="J9" s="165" t="str">
        <f>人物卡!D22</f>
        <v>魅惑</v>
      </c>
      <c r="K9" s="61">
        <f>IF(SUM(人物卡!G22:I22)=0,0,1)</f>
        <v>0</v>
      </c>
      <c r="L9" s="61">
        <f>人物卡!J22</f>
        <v>15</v>
      </c>
      <c r="M9" s="61">
        <f t="shared" si="0"/>
        <v>0</v>
      </c>
    </row>
    <row r="10" spans="1:13" x14ac:dyDescent="0.2">
      <c r="A10" t="str">
        <f>IF(B10="","","智力")</f>
        <v/>
      </c>
      <c r="B10" t="str">
        <f>IF(INT=0,"",INT)</f>
        <v/>
      </c>
      <c r="J10" s="165" t="str">
        <f>人物卡!D23</f>
        <v>攀爬</v>
      </c>
      <c r="K10" s="61">
        <f>IF(SUM(人物卡!G23:I23)=0,0,1)</f>
        <v>0</v>
      </c>
      <c r="L10" s="61">
        <f>人物卡!J23</f>
        <v>20</v>
      </c>
      <c r="M10" s="61">
        <f t="shared" si="0"/>
        <v>0</v>
      </c>
    </row>
    <row r="11" spans="1:13" x14ac:dyDescent="0.2">
      <c r="A11" t="s">
        <v>1445</v>
      </c>
      <c r="B11">
        <f>MOV</f>
        <v>8</v>
      </c>
      <c r="J11" s="165" t="str">
        <f>人物卡!D24</f>
        <v>计算机使用 Ω</v>
      </c>
      <c r="K11" s="61">
        <f>IF(SUM(人物卡!G24:I24)=0,0,1)</f>
        <v>0</v>
      </c>
      <c r="L11" s="61">
        <f>人物卡!J24</f>
        <v>5</v>
      </c>
      <c r="M11" s="61">
        <f t="shared" si="0"/>
        <v>0</v>
      </c>
    </row>
    <row r="12" spans="1:13" x14ac:dyDescent="0.2">
      <c r="A12" t="s">
        <v>1446</v>
      </c>
      <c r="B12" s="163">
        <f>人物卡!D10</f>
        <v>0</v>
      </c>
      <c r="C12">
        <f>人物卡!E10</f>
        <v>0</v>
      </c>
      <c r="J12" s="165" t="str">
        <f>人物卡!D25</f>
        <v>信用评级</v>
      </c>
      <c r="K12" s="61">
        <f>IF(SUM(人物卡!G25:I25)=0,0,1)</f>
        <v>0</v>
      </c>
      <c r="L12" s="61">
        <f>人物卡!J25</f>
        <v>0</v>
      </c>
      <c r="M12" s="61">
        <f t="shared" si="0"/>
        <v>0</v>
      </c>
    </row>
    <row r="13" spans="1:13" x14ac:dyDescent="0.2">
      <c r="A13" t="str">
        <f>IF(B13="","","理智")</f>
        <v/>
      </c>
      <c r="B13" t="str">
        <f>IF(人物卡!H10=0,"",人物卡!H10)</f>
        <v/>
      </c>
      <c r="C13">
        <f>SAN</f>
        <v>99</v>
      </c>
      <c r="J13" s="165" t="str">
        <f>人物卡!D26</f>
        <v>克苏鲁神话</v>
      </c>
      <c r="K13" s="61">
        <f>IF(SUM(人物卡!G26:I26)=0,0,1)</f>
        <v>0</v>
      </c>
      <c r="L13" s="61">
        <f>人物卡!J26</f>
        <v>0</v>
      </c>
      <c r="M13" s="61">
        <f t="shared" si="0"/>
        <v>0</v>
      </c>
    </row>
    <row r="14" spans="1:13" x14ac:dyDescent="0.2">
      <c r="A14" t="str">
        <f>IF(B14="","","幸运")</f>
        <v/>
      </c>
      <c r="B14" t="str">
        <f>IF(Luck=0,"",Luck)</f>
        <v/>
      </c>
      <c r="C14">
        <f>人物卡!N10</f>
        <v>99</v>
      </c>
      <c r="F14" s="27"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                                                 </v>
      </c>
      <c r="J14" s="165" t="str">
        <f>人物卡!D27</f>
        <v>乔装</v>
      </c>
      <c r="K14" s="61">
        <f>IF(SUM(人物卡!G27:I27)=0,0,1)</f>
        <v>0</v>
      </c>
      <c r="L14" s="61">
        <f>人物卡!J27</f>
        <v>5</v>
      </c>
      <c r="M14" s="61">
        <f t="shared" si="0"/>
        <v>0</v>
      </c>
    </row>
    <row r="15" spans="1:13" x14ac:dyDescent="0.2">
      <c r="A15" t="s">
        <v>1447</v>
      </c>
      <c r="B15">
        <f>人物卡!Q10</f>
        <v>0</v>
      </c>
      <c r="C15">
        <f>MP</f>
        <v>0</v>
      </c>
      <c r="J15" s="165" t="str">
        <f>人物卡!D28</f>
        <v>闪避</v>
      </c>
      <c r="K15" s="61">
        <f>IF(SUM(人物卡!G28:I28)=0,0,1)</f>
        <v>0</v>
      </c>
      <c r="L15" s="61">
        <f>人物卡!J28</f>
        <v>0</v>
      </c>
      <c r="M15" s="61">
        <f t="shared" si="0"/>
        <v>0</v>
      </c>
    </row>
    <row r="16" spans="1:13" x14ac:dyDescent="0.2">
      <c r="A16" s="167" t="s">
        <v>1448</v>
      </c>
      <c r="B16" s="167"/>
      <c r="J16" s="165" t="str">
        <f>人物卡!D29</f>
        <v>汽车驾驶</v>
      </c>
      <c r="K16" s="61">
        <f>IF(SUM(人物卡!G29:I29)=0,0,1)</f>
        <v>0</v>
      </c>
      <c r="L16" s="61">
        <f>人物卡!J29</f>
        <v>20</v>
      </c>
      <c r="M16" s="61">
        <f t="shared" si="0"/>
        <v>0</v>
      </c>
    </row>
    <row r="17" spans="1:13" x14ac:dyDescent="0.2">
      <c r="A17" s="166" t="str">
        <f t="array" ref="A17">IFERROR(INDEX($J$2:$J$69,SMALL(IF($K$2:$K$69=1,ROW($J$2:$J$69),99999),ROW(J1))-1,1),"")</f>
        <v/>
      </c>
      <c r="B17" s="166" t="str">
        <f t="array" ref="B17">IFERROR(INDEX($L$2:$L$69,SMALL(IF($K$2:$K$69=1,ROW($J$2:$J$69),99999),ROW(K1))-1,1),"")</f>
        <v/>
      </c>
      <c r="J17" s="165" t="str">
        <f>人物卡!D30</f>
        <v>电气维修</v>
      </c>
      <c r="K17" s="61">
        <f>IF(SUM(人物卡!G30:I30)=0,0,1)</f>
        <v>0</v>
      </c>
      <c r="L17" s="61">
        <f>人物卡!J30</f>
        <v>10</v>
      </c>
      <c r="M17" s="61">
        <f t="shared" si="0"/>
        <v>0</v>
      </c>
    </row>
    <row r="18" spans="1:13" x14ac:dyDescent="0.2">
      <c r="A18" s="166" t="str">
        <f t="array" ref="A18">IFERROR(INDEX($J$2:$J$69,SMALL(IF($K$2:$K$69=1,ROW($J$2:$J$69),99999),ROW(J2))-1,1),"")</f>
        <v/>
      </c>
      <c r="B18" s="166" t="str">
        <f t="array" ref="B18">IFERROR(INDEX($L$2:$L$69,SMALL(IF($K$2:$K$69=1,ROW($J$2:$J$69),99999),ROW(K2))-1,1),"")</f>
        <v/>
      </c>
      <c r="J18" s="165" t="str">
        <f>人物卡!D31</f>
        <v>电子学 Ω</v>
      </c>
      <c r="K18" s="61">
        <f>IF(SUM(人物卡!G31:I31)=0,0,1)</f>
        <v>0</v>
      </c>
      <c r="L18" s="61">
        <f>人物卡!J31</f>
        <v>1</v>
      </c>
      <c r="M18" s="61">
        <f t="shared" si="0"/>
        <v>0</v>
      </c>
    </row>
    <row r="19" spans="1:13" x14ac:dyDescent="0.2">
      <c r="A19" s="166" t="str">
        <f t="array" ref="A19">IFERROR(INDEX($J$2:$J$69,SMALL(IF($K$2:$K$69=1,ROW($J$2:$J$69),99999),ROW(J3))-1,1),"")</f>
        <v/>
      </c>
      <c r="B19" s="166" t="str">
        <f t="array" ref="B19">IFERROR(INDEX($L$2:$L$69,SMALL(IF($K$2:$K$69=1,ROW($J$2:$J$69),99999),ROW(K3))-1,1),"")</f>
        <v/>
      </c>
      <c r="J19" s="165" t="str">
        <f>人物卡!D32</f>
        <v>话术</v>
      </c>
      <c r="K19" s="61">
        <f>IF(SUM(人物卡!G32:I32)=0,0,1)</f>
        <v>0</v>
      </c>
      <c r="L19" s="61">
        <f>人物卡!J32</f>
        <v>5</v>
      </c>
      <c r="M19" s="61">
        <f t="shared" si="0"/>
        <v>0</v>
      </c>
    </row>
    <row r="20" spans="1:13" x14ac:dyDescent="0.2">
      <c r="A20" s="166" t="str">
        <f t="array" ref="A20">IFERROR(INDEX($J$2:$J$69,SMALL(IF($K$2:$K$69=1,ROW($J$2:$J$69),99999),ROW(J4))-1,1),"")</f>
        <v/>
      </c>
      <c r="B20" s="166" t="str">
        <f t="array" ref="B20">IFERROR(INDEX($L$2:$L$69,SMALL(IF($K$2:$K$69=1,ROW($J$2:$J$69),99999),ROW(K4))-1,1),"")</f>
        <v/>
      </c>
      <c r="J20" s="165" t="str">
        <f>人物卡!E33</f>
        <v>斗殴</v>
      </c>
      <c r="K20" s="61">
        <f>IF(SUM(人物卡!G33:I33)=0,0,1)</f>
        <v>0</v>
      </c>
      <c r="L20" s="61">
        <f>人物卡!J33</f>
        <v>25</v>
      </c>
      <c r="M20" s="61">
        <f t="shared" si="0"/>
        <v>0</v>
      </c>
    </row>
    <row r="21" spans="1:13" x14ac:dyDescent="0.2">
      <c r="A21" s="166" t="str">
        <f t="array" ref="A21">IFERROR(INDEX($J$2:$J$69,SMALL(IF($K$2:$K$69=1,ROW($J$2:$J$69),99999),ROW(J5))-1,1),"")</f>
        <v/>
      </c>
      <c r="B21" s="166" t="str">
        <f t="array" ref="B21">IFERROR(INDEX($L$2:$L$69,SMALL(IF($K$2:$K$69=1,ROW($J$2:$J$69),99999),ROW(K5))-1,1),"")</f>
        <v/>
      </c>
      <c r="J21" s="165">
        <f>人物卡!E34</f>
        <v>0</v>
      </c>
      <c r="K21" s="61">
        <f>IF(SUM(人物卡!G34:I34)=0,0,1)</f>
        <v>0</v>
      </c>
      <c r="L21" s="61">
        <f>人物卡!J34</f>
        <v>0</v>
      </c>
      <c r="M21" s="61">
        <f t="shared" si="0"/>
        <v>0</v>
      </c>
    </row>
    <row r="22" spans="1:13" x14ac:dyDescent="0.2">
      <c r="A22" s="166" t="str">
        <f t="array" ref="A22">IFERROR(INDEX($J$2:$J$69,SMALL(IF($K$2:$K$69=1,ROW($J$2:$J$69),99999),ROW(J6))-1,1),"")</f>
        <v/>
      </c>
      <c r="B22" s="166" t="str">
        <f t="array" ref="B22">IFERROR(INDEX($L$2:$L$69,SMALL(IF($K$2:$K$69=1,ROW($J$2:$J$69),99999),ROW(K6))-1,1),"")</f>
        <v/>
      </c>
      <c r="J22" s="165">
        <f>人物卡!E35</f>
        <v>0</v>
      </c>
      <c r="K22" s="61">
        <f>IF(SUM(人物卡!G35:I35)=0,0,1)</f>
        <v>0</v>
      </c>
      <c r="L22" s="61">
        <f>人物卡!J35</f>
        <v>0</v>
      </c>
      <c r="M22" s="61">
        <f t="shared" si="0"/>
        <v>0</v>
      </c>
    </row>
    <row r="23" spans="1:13" x14ac:dyDescent="0.2">
      <c r="A23" s="166" t="str">
        <f t="array" ref="A23">IFERROR(INDEX($J$2:$J$69,SMALL(IF($K$2:$K$69=1,ROW($J$2:$J$69),99999),ROW(J7))-1,1),"")</f>
        <v/>
      </c>
      <c r="B23" s="166" t="str">
        <f t="array" ref="B23">IFERROR(INDEX($L$2:$L$69,SMALL(IF($K$2:$K$69=1,ROW($J$2:$J$69),99999),ROW(K7))-1,1),"")</f>
        <v/>
      </c>
      <c r="J23" s="165" t="str">
        <f>人物卡!E36</f>
        <v>手枪</v>
      </c>
      <c r="K23" s="61">
        <f>IF(SUM(人物卡!G36:I36)=0,0,1)</f>
        <v>0</v>
      </c>
      <c r="L23" s="61">
        <f>人物卡!J36</f>
        <v>20</v>
      </c>
      <c r="M23" s="61">
        <f t="shared" si="0"/>
        <v>0</v>
      </c>
    </row>
    <row r="24" spans="1:13" x14ac:dyDescent="0.2">
      <c r="A24" s="166" t="str">
        <f t="array" ref="A24">IFERROR(INDEX($J$2:$J$69,SMALL(IF($K$2:$K$69=1,ROW($J$2:$J$69),99999),ROW(J8))-1,1),"")</f>
        <v/>
      </c>
      <c r="B24" s="166" t="str">
        <f t="array" ref="B24">IFERROR(INDEX($L$2:$L$69,SMALL(IF($K$2:$K$69=1,ROW($J$2:$J$69),99999),ROW(K8))-1,1),"")</f>
        <v/>
      </c>
      <c r="J24" s="165" t="str">
        <f>人物卡!E37</f>
        <v>弓术</v>
      </c>
      <c r="K24" s="61">
        <f>IF(SUM(人物卡!G37:I37)=0,0,1)</f>
        <v>0</v>
      </c>
      <c r="L24" s="61">
        <f>人物卡!J37</f>
        <v>15</v>
      </c>
      <c r="M24" s="61">
        <f t="shared" si="0"/>
        <v>0</v>
      </c>
    </row>
    <row r="25" spans="1:13" x14ac:dyDescent="0.2">
      <c r="A25" s="166" t="str">
        <f t="array" ref="A25">IFERROR(INDEX($J$2:$J$69,SMALL(IF($K$2:$K$69=1,ROW($J$2:$J$69),99999),ROW(J9))-1,1),"")</f>
        <v/>
      </c>
      <c r="B25" s="166" t="str">
        <f t="array" ref="B25">IFERROR(INDEX($L$2:$L$69,SMALL(IF($K$2:$K$69=1,ROW($J$2:$J$69),99999),ROW(K9))-1,1),"")</f>
        <v/>
      </c>
      <c r="J25" s="165">
        <f>人物卡!E38</f>
        <v>0</v>
      </c>
      <c r="K25" s="61">
        <f>IF(SUM(人物卡!G38:I38)=0,0,1)</f>
        <v>0</v>
      </c>
      <c r="L25" s="61">
        <f>人物卡!J38</f>
        <v>0</v>
      </c>
      <c r="M25" s="61">
        <f t="shared" si="0"/>
        <v>0</v>
      </c>
    </row>
    <row r="26" spans="1:13" x14ac:dyDescent="0.2">
      <c r="A26" s="166" t="str">
        <f t="array" ref="A26">IFERROR(INDEX($J$2:$J$69,SMALL(IF($K$2:$K$69=1,ROW($J$2:$J$69),99999),ROW(J10))-1,1),"")</f>
        <v/>
      </c>
      <c r="B26" s="166" t="str">
        <f t="array" ref="B26">IFERROR(INDEX($L$2:$L$69,SMALL(IF($K$2:$K$69=1,ROW($J$2:$J$69),99999),ROW(K10))-1,1),"")</f>
        <v/>
      </c>
      <c r="J26" s="165" t="str">
        <f>人物卡!D39</f>
        <v>急救</v>
      </c>
      <c r="K26" s="61">
        <f>IF(SUM(人物卡!G39:I39)=0,0,1)</f>
        <v>0</v>
      </c>
      <c r="L26" s="61">
        <f>人物卡!J39</f>
        <v>30</v>
      </c>
      <c r="M26" s="61">
        <f t="shared" si="0"/>
        <v>0</v>
      </c>
    </row>
    <row r="27" spans="1:13" x14ac:dyDescent="0.2">
      <c r="A27" s="166" t="str">
        <f t="array" ref="A27">IFERROR(INDEX($J$2:$J$69,SMALL(IF($K$2:$K$69=1,ROW($J$2:$J$69),99999),ROW(J11))-1,1),"")</f>
        <v/>
      </c>
      <c r="B27" s="166" t="str">
        <f t="array" ref="B27">IFERROR(INDEX($L$2:$L$69,SMALL(IF($K$2:$K$69=1,ROW($J$2:$J$69),99999),ROW(K11))-1,1),"")</f>
        <v/>
      </c>
      <c r="J27" s="165" t="str">
        <f>人物卡!D40</f>
        <v>历史</v>
      </c>
      <c r="K27" s="61">
        <f>IF(SUM(人物卡!G40:I40)=0,0,1)</f>
        <v>0</v>
      </c>
      <c r="L27" s="61">
        <f>人物卡!J40</f>
        <v>5</v>
      </c>
      <c r="M27" s="61">
        <f t="shared" si="0"/>
        <v>0</v>
      </c>
    </row>
    <row r="28" spans="1:13" x14ac:dyDescent="0.2">
      <c r="A28" s="166" t="str">
        <f t="array" ref="A28">IFERROR(INDEX($J$2:$J$69,SMALL(IF($K$2:$K$69=1,ROW($J$2:$J$69),99999),ROW(J12))-1,1),"")</f>
        <v/>
      </c>
      <c r="B28" s="166" t="str">
        <f t="array" ref="B28">IFERROR(INDEX($L$2:$L$69,SMALL(IF($K$2:$K$69=1,ROW($J$2:$J$69),99999),ROW(K12))-1,1),"")</f>
        <v/>
      </c>
      <c r="J28" s="165" t="str">
        <f>人物卡!D41</f>
        <v>恐吓</v>
      </c>
      <c r="K28" s="61">
        <f>IF(SUM(人物卡!G41:I41)=0,0,1)</f>
        <v>0</v>
      </c>
      <c r="L28" s="61">
        <f>人物卡!J41</f>
        <v>15</v>
      </c>
      <c r="M28" s="61">
        <f t="shared" si="0"/>
        <v>0</v>
      </c>
    </row>
    <row r="29" spans="1:13" x14ac:dyDescent="0.2">
      <c r="A29" s="166" t="str">
        <f t="array" ref="A29">IFERROR(INDEX($J$2:$J$69,SMALL(IF($K$2:$K$69=1,ROW($J$2:$J$69),99999),ROW(J13))-1,1),"")</f>
        <v/>
      </c>
      <c r="B29" s="166" t="str">
        <f t="array" ref="B29">IFERROR(INDEX($L$2:$L$69,SMALL(IF($K$2:$K$69=1,ROW($J$2:$J$69),99999),ROW(K13))-1,1),"")</f>
        <v/>
      </c>
      <c r="J29" s="165" t="str">
        <f>人物卡!D42</f>
        <v>跳跃</v>
      </c>
      <c r="K29" s="61">
        <f>IF(SUM(人物卡!G42:I42)=0,0,1)</f>
        <v>0</v>
      </c>
      <c r="L29" s="61">
        <f>人物卡!J42</f>
        <v>20</v>
      </c>
      <c r="M29" s="61">
        <f t="shared" si="0"/>
        <v>0</v>
      </c>
    </row>
    <row r="30" spans="1:13" x14ac:dyDescent="0.2">
      <c r="A30" s="166" t="str">
        <f t="array" ref="A30">IFERROR(INDEX($J$2:$J$69,SMALL(IF($K$2:$K$69=1,ROW($J$2:$J$69),99999),ROW(J14))-1,1),"")</f>
        <v/>
      </c>
      <c r="B30" s="166" t="str">
        <f t="array" ref="B30">IFERROR(INDEX($L$2:$L$69,SMALL(IF($K$2:$K$69=1,ROW($J$2:$J$69),99999),ROW(K14))-1,1),"")</f>
        <v/>
      </c>
      <c r="J30" s="165">
        <f>人物卡!E43</f>
        <v>0</v>
      </c>
      <c r="K30" s="61">
        <f>IF(SUM(人物卡!G43:I43)=0,0,1)</f>
        <v>0</v>
      </c>
      <c r="L30" s="61">
        <f>人物卡!J43</f>
        <v>1</v>
      </c>
      <c r="M30" s="61">
        <f t="shared" si="0"/>
        <v>0</v>
      </c>
    </row>
    <row r="31" spans="1:13" x14ac:dyDescent="0.2">
      <c r="A31" s="166" t="str">
        <f t="array" ref="A31">IFERROR(INDEX($J$2:$J$69,SMALL(IF($K$2:$K$69=1,ROW($J$2:$J$69),99999),ROW(J15))-1,1),"")</f>
        <v/>
      </c>
      <c r="B31" s="166" t="str">
        <f t="array" ref="B31">IFERROR(INDEX($L$2:$L$69,SMALL(IF($K$2:$K$69=1,ROW($J$2:$J$69),99999),ROW(K15))-1,1),"")</f>
        <v/>
      </c>
      <c r="J31" s="165">
        <f>人物卡!E44</f>
        <v>0</v>
      </c>
      <c r="K31" s="61">
        <f>IF(SUM(人物卡!G44:I44)=0,0,1)</f>
        <v>0</v>
      </c>
      <c r="L31" s="61">
        <f>人物卡!J44</f>
        <v>1</v>
      </c>
      <c r="M31" s="61">
        <f t="shared" si="0"/>
        <v>0</v>
      </c>
    </row>
    <row r="32" spans="1:13" x14ac:dyDescent="0.2">
      <c r="A32" s="166" t="str">
        <f t="array" ref="A32">IFERROR(INDEX($J$2:$J$69,SMALL(IF($K$2:$K$69=1,ROW($J$2:$J$69),99999),ROW(J16))-1,1),"")</f>
        <v/>
      </c>
      <c r="B32" s="166" t="str">
        <f t="array" ref="B32">IFERROR(INDEX($L$2:$L$69,SMALL(IF($K$2:$K$69=1,ROW($J$2:$J$69),99999),ROW(K16))-1,1),"")</f>
        <v/>
      </c>
      <c r="J32" s="165">
        <f>人物卡!E45</f>
        <v>0</v>
      </c>
      <c r="K32" s="61">
        <f>IF(SUM(人物卡!G45:I45)=0,0,1)</f>
        <v>0</v>
      </c>
      <c r="L32" s="61">
        <f>人物卡!J45</f>
        <v>1</v>
      </c>
      <c r="M32" s="61">
        <f t="shared" si="0"/>
        <v>0</v>
      </c>
    </row>
    <row r="33" spans="1:13" x14ac:dyDescent="0.2">
      <c r="A33" s="166" t="str">
        <f t="array" ref="A33">IFERROR(INDEX($J$2:$J$69,SMALL(IF($K$2:$K$69=1,ROW($J$2:$J$69),99999),ROW(J17))-1,1),"")</f>
        <v/>
      </c>
      <c r="B33" s="166" t="str">
        <f t="array" ref="B33">IFERROR(INDEX($L$2:$L$69,SMALL(IF($K$2:$K$69=1,ROW($J$2:$J$69),99999),ROW(K17))-1,1),"")</f>
        <v/>
      </c>
      <c r="J33" s="165" t="str">
        <f>人物卡!D46</f>
        <v>母语</v>
      </c>
      <c r="K33" s="61">
        <f>IF(SUM(人物卡!G46:I46)=0,0,1)</f>
        <v>0</v>
      </c>
      <c r="L33" s="61">
        <f>人物卡!J46</f>
        <v>0</v>
      </c>
      <c r="M33" s="61">
        <f t="shared" si="0"/>
        <v>0</v>
      </c>
    </row>
    <row r="34" spans="1:13" x14ac:dyDescent="0.2">
      <c r="A34" s="166" t="str">
        <f t="array" ref="A34">IFERROR(INDEX($J$2:$J$69,SMALL(IF($K$2:$K$69=1,ROW($J$2:$J$69),99999),ROW(J18))-1,1),"")</f>
        <v/>
      </c>
      <c r="B34" s="166" t="str">
        <f t="array" ref="B34">IFERROR(INDEX($L$2:$L$69,SMALL(IF($K$2:$K$69=1,ROW($J$2:$J$69),99999),ROW(K18))-1,1),"")</f>
        <v/>
      </c>
      <c r="J34" s="165" t="str">
        <f>人物卡!D47</f>
        <v>投掷</v>
      </c>
      <c r="K34" s="61">
        <f>IF(SUM(人物卡!G47:I47)=0,0,1)</f>
        <v>0</v>
      </c>
      <c r="L34" s="61">
        <f>人物卡!J47</f>
        <v>20</v>
      </c>
      <c r="M34" s="61">
        <f t="shared" si="0"/>
        <v>0</v>
      </c>
    </row>
    <row r="35" spans="1:13" x14ac:dyDescent="0.2">
      <c r="A35" s="166" t="str">
        <f t="array" ref="A35">IFERROR(INDEX($J$2:$J$69,SMALL(IF($K$2:$K$69=1,ROW($J$2:$J$69),99999),ROW(J19))-1,1),"")</f>
        <v/>
      </c>
      <c r="B35" s="166" t="str">
        <f t="array" ref="B35">IFERROR(INDEX($L$2:$L$69,SMALL(IF($K$2:$K$69=1,ROW($J$2:$J$69),99999),ROW(K19))-1,1),"")</f>
        <v/>
      </c>
      <c r="J35" s="165" t="str">
        <f>人物卡!D48</f>
        <v>追踪</v>
      </c>
      <c r="K35" s="61">
        <f>IF(SUM(人物卡!G48:I48)=0,0,1)</f>
        <v>0</v>
      </c>
      <c r="L35" s="61">
        <f>人物卡!J48</f>
        <v>10</v>
      </c>
      <c r="M35" s="61">
        <f t="shared" si="0"/>
        <v>0</v>
      </c>
    </row>
    <row r="36" spans="1:13" x14ac:dyDescent="0.2">
      <c r="A36" s="166" t="str">
        <f t="array" ref="A36">IFERROR(INDEX($J$2:$J$69,SMALL(IF($K$2:$K$69=1,ROW($J$2:$J$69),99999),ROW(J20))-1,1),"")</f>
        <v/>
      </c>
      <c r="B36" s="166" t="str">
        <f t="array" ref="B36">IFERROR(INDEX($L$2:$L$69,SMALL(IF($K$2:$K$69=1,ROW($J$2:$J$69),99999),ROW(K20))-1,1),"")</f>
        <v/>
      </c>
      <c r="J36" s="165" t="str">
        <f>人物卡!O15</f>
        <v>法律</v>
      </c>
      <c r="K36" s="61">
        <f>IF(SUM(人物卡!R15:T15)=0,0,1)</f>
        <v>0</v>
      </c>
      <c r="L36" s="61">
        <f>人物卡!U15</f>
        <v>5</v>
      </c>
      <c r="M36" s="61">
        <f t="shared" si="0"/>
        <v>0</v>
      </c>
    </row>
    <row r="37" spans="1:13" x14ac:dyDescent="0.2">
      <c r="A37" s="167" t="s">
        <v>1449</v>
      </c>
      <c r="B37" s="167"/>
      <c r="J37" s="165" t="str">
        <f>人物卡!O16</f>
        <v>图书馆使用</v>
      </c>
      <c r="K37" s="61">
        <f>IF(SUM(人物卡!R16:T16)=0,0,1)</f>
        <v>0</v>
      </c>
      <c r="L37" s="61">
        <f>人物卡!U16</f>
        <v>20</v>
      </c>
      <c r="M37" s="61">
        <f t="shared" si="0"/>
        <v>0</v>
      </c>
    </row>
    <row r="38" spans="1:13" x14ac:dyDescent="0.2">
      <c r="A38" t="str">
        <f>IF(人物卡!B71=0,"",人物卡!B71)</f>
        <v/>
      </c>
      <c r="J38" s="165" t="str">
        <f>人物卡!O17</f>
        <v>聆听</v>
      </c>
      <c r="K38" s="61">
        <f>IF(SUM(人物卡!R17:T17)=0,0,1)</f>
        <v>0</v>
      </c>
      <c r="L38" s="61">
        <f>人物卡!U17</f>
        <v>20</v>
      </c>
      <c r="M38" s="61">
        <f t="shared" si="0"/>
        <v>0</v>
      </c>
    </row>
    <row r="39" spans="1:13" x14ac:dyDescent="0.2">
      <c r="A39" t="str">
        <f>IF(人物卡!B72=0,"",人物卡!B72)</f>
        <v/>
      </c>
      <c r="J39" s="165" t="str">
        <f>人物卡!O18</f>
        <v>锁匠</v>
      </c>
      <c r="K39" s="61">
        <f>IF(SUM(人物卡!R18:T18)=0,0,1)</f>
        <v>0</v>
      </c>
      <c r="L39" s="61">
        <f>人物卡!U18</f>
        <v>1</v>
      </c>
      <c r="M39" s="61">
        <f t="shared" si="0"/>
        <v>0</v>
      </c>
    </row>
    <row r="40" spans="1:13" x14ac:dyDescent="0.2">
      <c r="A40" t="str">
        <f>IF(人物卡!B73=0,"",人物卡!B73)</f>
        <v/>
      </c>
      <c r="J40" s="165" t="str">
        <f>人物卡!O19</f>
        <v>机械维修</v>
      </c>
      <c r="K40" s="61">
        <f>IF(SUM(人物卡!R19:T19)=0,0,1)</f>
        <v>0</v>
      </c>
      <c r="L40" s="61">
        <f>人物卡!U19</f>
        <v>10</v>
      </c>
      <c r="M40" s="61">
        <f t="shared" si="0"/>
        <v>0</v>
      </c>
    </row>
    <row r="41" spans="1:13" x14ac:dyDescent="0.2">
      <c r="A41" t="str">
        <f>IF(人物卡!B74=0,"",人物卡!B74)</f>
        <v/>
      </c>
      <c r="J41" s="165" t="str">
        <f>人物卡!O20</f>
        <v>医学</v>
      </c>
      <c r="K41" s="61">
        <f>IF(SUM(人物卡!R20:T20)=0,0,1)</f>
        <v>0</v>
      </c>
      <c r="L41" s="61">
        <f>人物卡!U20</f>
        <v>1</v>
      </c>
      <c r="M41" s="61">
        <f t="shared" si="0"/>
        <v>0</v>
      </c>
    </row>
    <row r="42" spans="1:13" x14ac:dyDescent="0.2">
      <c r="A42" t="str">
        <f>IF(人物卡!B75=0,"",人物卡!B75)</f>
        <v/>
      </c>
      <c r="J42" s="165" t="str">
        <f>人物卡!O21</f>
        <v>自然学</v>
      </c>
      <c r="K42" s="61">
        <f>IF(SUM(人物卡!R21:T21)=0,0,1)</f>
        <v>0</v>
      </c>
      <c r="L42" s="61">
        <f>人物卡!U21</f>
        <v>10</v>
      </c>
      <c r="M42" s="61">
        <f t="shared" si="0"/>
        <v>0</v>
      </c>
    </row>
    <row r="43" spans="1:13" x14ac:dyDescent="0.2">
      <c r="A43" t="str">
        <f>IF(人物卡!B76=0,"",人物卡!B76)</f>
        <v/>
      </c>
      <c r="J43" s="165" t="str">
        <f>人物卡!O22</f>
        <v>导航</v>
      </c>
      <c r="K43" s="61">
        <f>IF(SUM(人物卡!R22:T22)=0,0,1)</f>
        <v>0</v>
      </c>
      <c r="L43" s="61">
        <f>人物卡!U22</f>
        <v>10</v>
      </c>
      <c r="M43" s="61">
        <f t="shared" si="0"/>
        <v>0</v>
      </c>
    </row>
    <row r="44" spans="1:13" x14ac:dyDescent="0.2">
      <c r="A44" t="str">
        <f>IF(人物卡!B77=0,"",人物卡!B77)</f>
        <v/>
      </c>
      <c r="J44" s="165" t="str">
        <f>人物卡!O23</f>
        <v>神秘学</v>
      </c>
      <c r="K44" s="61">
        <f>IF(SUM(人物卡!R23:T23)=0,0,1)</f>
        <v>0</v>
      </c>
      <c r="L44" s="61">
        <f>人物卡!U23</f>
        <v>5</v>
      </c>
      <c r="M44" s="61">
        <f t="shared" si="0"/>
        <v>0</v>
      </c>
    </row>
    <row r="45" spans="1:13" x14ac:dyDescent="0.2">
      <c r="A45" t="str">
        <f>IF(人物卡!B78=0,"",人物卡!B78)</f>
        <v/>
      </c>
      <c r="J45" s="165" t="str">
        <f>人物卡!O24</f>
        <v>操作重型机械</v>
      </c>
      <c r="K45" s="61">
        <f>IF(SUM(人物卡!R24:T24)=0,0,1)</f>
        <v>0</v>
      </c>
      <c r="L45" s="61">
        <f>人物卡!U24</f>
        <v>1</v>
      </c>
      <c r="M45" s="61">
        <f t="shared" si="0"/>
        <v>0</v>
      </c>
    </row>
    <row r="46" spans="1:13" x14ac:dyDescent="0.2">
      <c r="A46" t="str">
        <f>IF(人物卡!B79=0,"",人物卡!B79)</f>
        <v/>
      </c>
      <c r="J46" s="165" t="str">
        <f>人物卡!O25</f>
        <v>说服</v>
      </c>
      <c r="K46" s="61">
        <f>IF(SUM(人物卡!R25:T25)=0,0,1)</f>
        <v>0</v>
      </c>
      <c r="L46" s="61">
        <f>人物卡!U25</f>
        <v>10</v>
      </c>
      <c r="M46" s="61">
        <f t="shared" si="0"/>
        <v>0</v>
      </c>
    </row>
    <row r="47" spans="1:13" x14ac:dyDescent="0.2">
      <c r="A47" t="str">
        <f>IF(人物卡!B80=0,"",人物卡!B80)</f>
        <v/>
      </c>
      <c r="J47" s="165" t="str">
        <f>人物卡!O26&amp;人物卡!P26</f>
        <v>驾驶：</v>
      </c>
      <c r="K47" s="61">
        <f>IF(SUM(人物卡!R26:T26)=0,0,1)</f>
        <v>0</v>
      </c>
      <c r="L47" s="61">
        <f>人物卡!U26</f>
        <v>1</v>
      </c>
      <c r="M47" s="61">
        <f t="shared" si="0"/>
        <v>0</v>
      </c>
    </row>
    <row r="48" spans="1:13" x14ac:dyDescent="0.2">
      <c r="A48" s="167" t="s">
        <v>1450</v>
      </c>
      <c r="B48" s="167" t="s">
        <v>187</v>
      </c>
      <c r="C48" s="167" t="s">
        <v>1451</v>
      </c>
      <c r="D48" s="167" t="s">
        <v>1452</v>
      </c>
      <c r="J48" s="165" t="str">
        <f>人物卡!O27</f>
        <v>精神分析</v>
      </c>
      <c r="K48" s="61">
        <f>IF(SUM(人物卡!R27:T27)=0,0,1)</f>
        <v>0</v>
      </c>
      <c r="L48" s="61">
        <f>人物卡!U27</f>
        <v>1</v>
      </c>
      <c r="M48" s="61">
        <f t="shared" si="0"/>
        <v>0</v>
      </c>
    </row>
    <row r="49" spans="1:13" x14ac:dyDescent="0.2">
      <c r="A49" t="str">
        <f>IF(人物卡!B52=0,"",人物卡!B52)</f>
        <v>无</v>
      </c>
      <c r="B49" t="str">
        <f>人物卡!I52</f>
        <v>1D3+DB</v>
      </c>
      <c r="C49" t="str">
        <f>IF(人物卡!M52=武器列表!F7,"穿","钝")</f>
        <v>钝</v>
      </c>
      <c r="D49" t="str">
        <f>IF(人物卡!R52&lt;&gt;武器列表!I30,人物卡!R52,"无")</f>
        <v>无</v>
      </c>
      <c r="J49" s="165" t="str">
        <f>人物卡!O28</f>
        <v>心理学</v>
      </c>
      <c r="K49" s="61">
        <f>IF(SUM(人物卡!R28:T28)=0,0,1)</f>
        <v>0</v>
      </c>
      <c r="L49" s="61">
        <f>人物卡!U28</f>
        <v>10</v>
      </c>
      <c r="M49" s="61">
        <f t="shared" si="0"/>
        <v>0</v>
      </c>
    </row>
    <row r="50" spans="1:13" x14ac:dyDescent="0.2">
      <c r="A50" t="str">
        <f>IF(人物卡!B53=0,"",人物卡!B53)</f>
        <v/>
      </c>
      <c r="B50" t="str">
        <f>人物卡!I53</f>
        <v/>
      </c>
      <c r="C50" t="str">
        <f>IF(人物卡!M53=武器列表!F8,"穿",IF(人物卡!M53="",人物卡!M53,"钝"))</f>
        <v/>
      </c>
      <c r="D50" t="str">
        <f>IF(人物卡!R53&lt;&gt;武器列表!I31,人物卡!R53,"无")</f>
        <v/>
      </c>
      <c r="J50" s="165" t="str">
        <f>人物卡!O29</f>
        <v>骑乘</v>
      </c>
      <c r="K50" s="61">
        <f>IF(SUM(人物卡!R29:T29)=0,0,1)</f>
        <v>0</v>
      </c>
      <c r="L50" s="61">
        <f>人物卡!U29</f>
        <v>5</v>
      </c>
      <c r="M50" s="61">
        <f t="shared" si="0"/>
        <v>0</v>
      </c>
    </row>
    <row r="51" spans="1:13" x14ac:dyDescent="0.2">
      <c r="A51" t="str">
        <f>IF(人物卡!B54=0,"",人物卡!B54)</f>
        <v/>
      </c>
      <c r="B51" t="str">
        <f>人物卡!I54</f>
        <v/>
      </c>
      <c r="C51" t="str">
        <f>IF(人物卡!M54=武器列表!F9,"穿",IF(人物卡!M54="",人物卡!M54,"钝"))</f>
        <v/>
      </c>
      <c r="D51" t="str">
        <f>IF(人物卡!R54&lt;&gt;武器列表!I32,人物卡!R54,"无")</f>
        <v/>
      </c>
      <c r="J51" s="164" t="str">
        <f>人物卡!P30</f>
        <v>生物学</v>
      </c>
      <c r="K51" s="61">
        <f>IF(SUM(人物卡!R30:T30)=0,0,1)</f>
        <v>0</v>
      </c>
      <c r="L51" s="61">
        <f>人物卡!U30</f>
        <v>1</v>
      </c>
      <c r="M51" s="61">
        <f t="shared" si="0"/>
        <v>0</v>
      </c>
    </row>
    <row r="52" spans="1:13" x14ac:dyDescent="0.2">
      <c r="A52" t="str">
        <f>IF(人物卡!B55=0,"",人物卡!B55)</f>
        <v/>
      </c>
      <c r="B52" t="str">
        <f>人物卡!I55</f>
        <v/>
      </c>
      <c r="C52" t="str">
        <f>IF(人物卡!M55=武器列表!F10,"穿",IF(人物卡!M55="",人物卡!M55,"钝"))</f>
        <v/>
      </c>
      <c r="D52" t="str">
        <f>IF(人物卡!R55&lt;&gt;武器列表!I33,人物卡!R55,"无")</f>
        <v/>
      </c>
      <c r="J52" s="164">
        <f>人物卡!P31</f>
        <v>0</v>
      </c>
      <c r="K52" s="61">
        <f>IF(SUM(人物卡!R31:T31)=0,0,1)</f>
        <v>0</v>
      </c>
      <c r="L52" s="61">
        <f>人物卡!U31</f>
        <v>1</v>
      </c>
      <c r="M52" s="61">
        <f t="shared" si="0"/>
        <v>0</v>
      </c>
    </row>
    <row r="53" spans="1:13" x14ac:dyDescent="0.2">
      <c r="A53" t="str">
        <f>IF(人物卡!B56=0,"",人物卡!B56)</f>
        <v/>
      </c>
      <c r="B53" t="str">
        <f>IF(人物卡!I56=0,"",人物卡!I56)</f>
        <v/>
      </c>
      <c r="C53" t="str">
        <f>IF(人物卡!J56=0,"",人物卡!J56)</f>
        <v/>
      </c>
      <c r="D53" t="str">
        <f>IF(人物卡!K56=0,"",人物卡!K56)</f>
        <v/>
      </c>
      <c r="J53" s="164">
        <f>人物卡!P32</f>
        <v>0</v>
      </c>
      <c r="K53" s="61">
        <f>IF(SUM(人物卡!R32:T32)=0,0,1)</f>
        <v>0</v>
      </c>
      <c r="L53" s="61">
        <f>人物卡!U32</f>
        <v>1</v>
      </c>
      <c r="M53" s="61">
        <f t="shared" si="0"/>
        <v>0</v>
      </c>
    </row>
    <row r="54" spans="1:13" x14ac:dyDescent="0.2">
      <c r="A54" t="str">
        <f>IF(人物卡!B57=0,"",人物卡!B57)</f>
        <v/>
      </c>
      <c r="B54" t="str">
        <f>IF(人物卡!I57=0,"",人物卡!I57)</f>
        <v/>
      </c>
      <c r="C54" t="str">
        <f>IF(人物卡!J57=0,"",人物卡!J57)</f>
        <v/>
      </c>
      <c r="D54" t="str">
        <f>IF(人物卡!K57=0,"",人物卡!K57)</f>
        <v/>
      </c>
      <c r="J54" s="165" t="str">
        <f>人物卡!O33</f>
        <v>妙手</v>
      </c>
      <c r="K54" s="61">
        <f>IF(SUM(人物卡!R33:T33)=0,0,1)</f>
        <v>0</v>
      </c>
      <c r="L54" s="61">
        <f>人物卡!U33</f>
        <v>10</v>
      </c>
      <c r="M54" s="61">
        <f t="shared" si="0"/>
        <v>0</v>
      </c>
    </row>
    <row r="55" spans="1:13" x14ac:dyDescent="0.2">
      <c r="A55" s="167" t="s">
        <v>1063</v>
      </c>
      <c r="B55" s="167"/>
      <c r="J55" s="165" t="str">
        <f>人物卡!O34</f>
        <v>侦查</v>
      </c>
      <c r="K55" s="61">
        <f>IF(SUM(人物卡!R34:T34)=0,0,1)</f>
        <v>0</v>
      </c>
      <c r="L55" s="61">
        <f>人物卡!U34</f>
        <v>25</v>
      </c>
      <c r="M55" s="61">
        <f t="shared" si="0"/>
        <v>0</v>
      </c>
    </row>
    <row r="56" spans="1:13" x14ac:dyDescent="0.2">
      <c r="A56" t="str">
        <f>人物卡!H61</f>
        <v>请在此编写背景故事。</v>
      </c>
      <c r="J56" s="165" t="str">
        <f>人物卡!O35</f>
        <v>潜行</v>
      </c>
      <c r="K56" s="61">
        <f>IF(SUM(人物卡!R35:T35)=0,0,1)</f>
        <v>0</v>
      </c>
      <c r="L56" s="61">
        <f>人物卡!U35</f>
        <v>20</v>
      </c>
      <c r="M56" s="61">
        <f t="shared" si="0"/>
        <v>0</v>
      </c>
    </row>
    <row r="57" spans="1:13" x14ac:dyDescent="0.2">
      <c r="J57" s="164" t="str">
        <f>人物卡!O36&amp;人物卡!P36</f>
        <v>生存：</v>
      </c>
      <c r="K57" s="61">
        <f>IF(SUM(人物卡!R36:T36)=0,0,1)</f>
        <v>0</v>
      </c>
      <c r="L57" s="61">
        <f>人物卡!U36</f>
        <v>10</v>
      </c>
      <c r="M57" s="61">
        <f t="shared" si="0"/>
        <v>0</v>
      </c>
    </row>
    <row r="58" spans="1:13" x14ac:dyDescent="0.2">
      <c r="J58" s="165" t="str">
        <f>人物卡!O37</f>
        <v>游泳</v>
      </c>
      <c r="K58" s="61">
        <f>IF(SUM(人物卡!R37:T37)=0,0,1)</f>
        <v>0</v>
      </c>
      <c r="L58" s="61">
        <f>人物卡!U37</f>
        <v>20</v>
      </c>
      <c r="M58" s="61">
        <f t="shared" si="0"/>
        <v>0</v>
      </c>
    </row>
    <row r="59" spans="1:13" x14ac:dyDescent="0.2">
      <c r="J59" s="165" t="str">
        <f>人物卡!O38</f>
        <v>驯兽</v>
      </c>
      <c r="K59" s="61">
        <f>IF(SUM(人物卡!R38:T38)=0,0,1)</f>
        <v>0</v>
      </c>
      <c r="L59" s="61">
        <f>人物卡!U38</f>
        <v>5</v>
      </c>
      <c r="M59" s="61">
        <f t="shared" si="0"/>
        <v>0</v>
      </c>
    </row>
    <row r="60" spans="1:13" x14ac:dyDescent="0.2">
      <c r="J60" s="165" t="str">
        <f>人物卡!O39</f>
        <v>潜水</v>
      </c>
      <c r="K60" s="61">
        <f>IF(SUM(人物卡!R39:T39)=0,0,1)</f>
        <v>0</v>
      </c>
      <c r="L60" s="61">
        <f>人物卡!U39</f>
        <v>1</v>
      </c>
      <c r="M60" s="61">
        <f t="shared" si="0"/>
        <v>0</v>
      </c>
    </row>
    <row r="61" spans="1:13" x14ac:dyDescent="0.2">
      <c r="J61" s="165" t="str">
        <f>人物卡!O40</f>
        <v>爆破</v>
      </c>
      <c r="K61" s="61">
        <f>IF(SUM(人物卡!R40:T40)=0,0,1)</f>
        <v>0</v>
      </c>
      <c r="L61" s="61">
        <f>人物卡!U40</f>
        <v>1</v>
      </c>
      <c r="M61" s="61">
        <f t="shared" si="0"/>
        <v>0</v>
      </c>
    </row>
    <row r="62" spans="1:13" x14ac:dyDescent="0.2">
      <c r="J62" s="165" t="str">
        <f>人物卡!O41</f>
        <v>读唇</v>
      </c>
      <c r="K62" s="61">
        <f>IF(SUM(人物卡!R41:T41)=0,0,1)</f>
        <v>0</v>
      </c>
      <c r="L62" s="61">
        <f>人物卡!U41</f>
        <v>1</v>
      </c>
      <c r="M62" s="61">
        <f t="shared" si="0"/>
        <v>0</v>
      </c>
    </row>
    <row r="63" spans="1:13" x14ac:dyDescent="0.2">
      <c r="J63" s="165" t="str">
        <f>人物卡!O42</f>
        <v>催眠</v>
      </c>
      <c r="K63" s="61">
        <f>IF(SUM(人物卡!R42:T42)=0,0,1)</f>
        <v>0</v>
      </c>
      <c r="L63" s="61">
        <f>人物卡!U42</f>
        <v>1</v>
      </c>
      <c r="M63" s="61">
        <f t="shared" si="0"/>
        <v>0</v>
      </c>
    </row>
    <row r="64" spans="1:13" x14ac:dyDescent="0.2">
      <c r="J64" s="165" t="str">
        <f>人物卡!O43</f>
        <v>炮术</v>
      </c>
      <c r="K64" s="61">
        <f>IF(SUM(人物卡!R43:T43)=0,0,1)</f>
        <v>0</v>
      </c>
      <c r="L64" s="61">
        <f>人物卡!U43</f>
        <v>1</v>
      </c>
      <c r="M64" s="61">
        <f t="shared" si="0"/>
        <v>0</v>
      </c>
    </row>
    <row r="65" spans="10:13" x14ac:dyDescent="0.2">
      <c r="J65" s="165" t="str">
        <f>人物卡!O44</f>
        <v>学问：</v>
      </c>
      <c r="K65" s="61">
        <f>IF(SUM(人物卡!R44:T44)=0,0,1)</f>
        <v>0</v>
      </c>
      <c r="L65" s="61">
        <f>人物卡!U44</f>
        <v>1</v>
      </c>
      <c r="M65" s="61">
        <f t="shared" si="0"/>
        <v>0</v>
      </c>
    </row>
    <row r="66" spans="10:13" x14ac:dyDescent="0.2">
      <c r="J66" s="165" t="str">
        <f>人物卡!O45</f>
        <v>可自设</v>
      </c>
      <c r="K66" s="61">
        <f>IF(SUM(人物卡!R45:T45)=0,0,1)</f>
        <v>0</v>
      </c>
      <c r="L66" s="61" t="str">
        <f>人物卡!U45</f>
        <v/>
      </c>
      <c r="M66" s="61">
        <f t="shared" si="0"/>
        <v>0</v>
      </c>
    </row>
    <row r="67" spans="10:13" x14ac:dyDescent="0.2">
      <c r="J67" s="165" t="str">
        <f>人物卡!O46</f>
        <v/>
      </c>
      <c r="K67" s="61">
        <f>IF(SUM(人物卡!R46:T46)=0,0,1)</f>
        <v>0</v>
      </c>
      <c r="L67" s="61" t="str">
        <f>人物卡!U46</f>
        <v/>
      </c>
      <c r="M67" s="61">
        <f>K67</f>
        <v>0</v>
      </c>
    </row>
    <row r="68" spans="10:13" x14ac:dyDescent="0.2">
      <c r="J68" s="165" t="str">
        <f>人物卡!O47</f>
        <v/>
      </c>
      <c r="K68" s="61">
        <f>IF(SUM(人物卡!R47:T47)=0,0,1)</f>
        <v>0</v>
      </c>
      <c r="L68" s="61" t="str">
        <f>人物卡!U47</f>
        <v/>
      </c>
      <c r="M68" s="61">
        <f>K68</f>
        <v>0</v>
      </c>
    </row>
    <row r="69" spans="10:13" x14ac:dyDescent="0.2">
      <c r="J69" s="165" t="str">
        <f>人物卡!O48</f>
        <v/>
      </c>
      <c r="K69" s="61">
        <f>IF(SUM(人物卡!R48:T48)=0,0,1)</f>
        <v>0</v>
      </c>
      <c r="L69" s="61" t="str">
        <f>人物卡!U48</f>
        <v/>
      </c>
      <c r="M69" s="61">
        <f>K69</f>
        <v>0</v>
      </c>
    </row>
  </sheetData>
  <customSheetViews>
    <customSheetView guid="{111A6EAC-FF6E-44AB-B5F5-6EDFAC2B64B3}" topLeftCell="A7">
      <selection activeCell="F14" sqref="F14"/>
      <pageMargins left="0.7" right="0.7" top="0.75" bottom="0.75" header="0.3" footer="0.3"/>
      <pageSetup paperSize="0" orientation="portrait" horizontalDpi="0" verticalDpi="0" copies="0" r:id="rId1"/>
    </customSheetView>
  </customSheetViews>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26</vt:i4>
      </vt:variant>
    </vt:vector>
  </HeadingPairs>
  <TitlesOfParts>
    <vt:vector size="38" baseType="lpstr">
      <vt:lpstr>人物卡</vt:lpstr>
      <vt:lpstr>分支技能</vt:lpstr>
      <vt:lpstr>职业及经历包</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CR</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COC7版半自动人物卡</dc:title>
  <dc:subject>咕咕版</dc:subject>
  <dc:creator>咕咕;秋叶EXODUS</dc:creator>
  <cp:keywords>1.9.5</cp:keywords>
  <dc:description>最终版</dc:description>
  <cp:lastModifiedBy>Starfire</cp:lastModifiedBy>
  <cp:lastPrinted>2017-10-23T13:31:47Z</cp:lastPrinted>
  <dcterms:created xsi:type="dcterms:W3CDTF">2015-07-06T01:28:16Z</dcterms:created>
  <dcterms:modified xsi:type="dcterms:W3CDTF">2019-05-02T08:02:49Z</dcterms:modified>
  <cp:category>模板</cp:category>
</cp:coreProperties>
</file>