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d.docs.live.net/9ea84f827c584cef/TRPG/Call of Cthulhu/"/>
    </mc:Choice>
  </mc:AlternateContent>
  <xr:revisionPtr revIDLastSave="1" documentId="8_{77A9608B-EDFF-4121-B380-8FFDA120B9A3}" xr6:coauthVersionLast="46" xr6:coauthVersionMax="46" xr10:uidLastSave="{B51466DD-A1B2-417A-9B89-5FD46C0B34F2}"/>
  <bookViews>
    <workbookView xWindow="2088" yWindow="2544" windowWidth="17328" windowHeight="12204" tabRatio="601" xr2:uid="{00000000-000D-0000-FFFF-FFFF00000000}"/>
  </bookViews>
  <sheets>
    <sheet name="创建调查员" sheetId="13" r:id="rId1"/>
    <sheet name="角色卡" sheetId="1" r:id="rId2"/>
    <sheet name="角色卡模板" sheetId="15" state="hidden" r:id="rId3"/>
    <sheet name="技能专攻" sheetId="2" state="hidden" r:id="rId4"/>
    <sheet name="职业列表" sheetId="7" r:id="rId5"/>
    <sheet name="扩展资源" sheetId="17" r:id="rId6"/>
    <sheet name="资产对照表" sheetId="12" state="hidden" r:id="rId7"/>
    <sheet name="掷骰" sheetId="14" r:id="rId8"/>
    <sheet name="txt输出" sheetId="10" r:id="rId9"/>
    <sheet name="附表" sheetId="8" state="hidden" r:id="rId10"/>
  </sheets>
  <definedNames>
    <definedName name="_xlnm._FilterDatabase" localSheetId="8" hidden="1">txt输出!$B$1:$B$107</definedName>
    <definedName name="_xlnm._FilterDatabase" localSheetId="4" hidden="1">职业列表!$A$1:$G$116</definedName>
    <definedName name="Age">角色卡!$D$6</definedName>
    <definedName name="APP">角色卡!$X$5</definedName>
    <definedName name="Assets">角色卡!$B$63</definedName>
    <definedName name="Build">角色卡!$AN$41</definedName>
    <definedName name="CON">角色卡!$R$5</definedName>
    <definedName name="CR">角色卡!$H$26+角色卡!$J$26</definedName>
    <definedName name="CthulhuMythos">附表!$I$9</definedName>
    <definedName name="DB">角色卡!$AN$39</definedName>
    <definedName name="DEX">角色卡!$X$3</definedName>
    <definedName name="Dodge">附表!$I$4</definedName>
    <definedName name="EDU">角色卡!$X$7</definedName>
    <definedName name="Gear">角色卡!$B$50</definedName>
    <definedName name="HP">角色卡!$E$10</definedName>
    <definedName name="HPmax">角色卡!$H$10</definedName>
    <definedName name="INT">角色卡!$AD$3</definedName>
    <definedName name="Luck">角色卡!$W$10</definedName>
    <definedName name="MOV">角色卡!$AD$7</definedName>
    <definedName name="MOV_main">附表!$F$23</definedName>
    <definedName name="MP">角色卡!$AD$10</definedName>
    <definedName name="MPmax">角色卡!$AF$10</definedName>
    <definedName name="OccNo">创建调查员!$B$50</definedName>
    <definedName name="POW">角色卡!$AD$5</definedName>
    <definedName name="Pulp_Switch">创建调查员!$H$8</definedName>
    <definedName name="SAN">角色卡!$N$10</definedName>
    <definedName name="SANmax">99-CthulhuMythos</definedName>
    <definedName name="SIZ">角色卡!$R$7</definedName>
    <definedName name="STR">角色卡!$R$3</definedName>
    <definedName name="weapon">角色卡!$B$41</definedName>
    <definedName name="常规技能">角色卡模板!$A$99:$B$152</definedName>
    <definedName name="格斗技能">角色卡模板!$A$154:$B$167</definedName>
    <definedName name="格斗选单">OFFSET(角色卡模板!$B$67,,,15-COUNTBLANK(角色卡模板!$B$67:$B$81))</definedName>
    <definedName name="角色卡模板">角色卡模板!$D$1:$AA$45</definedName>
    <definedName name="模板名称" localSheetId="2">角色卡模板!$C$1:$AC$1</definedName>
    <definedName name="模板选择">创建调查员!$B$5</definedName>
    <definedName name="射击技能">角色卡模板!$A$169:$B$182</definedName>
    <definedName name="射击选单">OFFSET(角色卡模板!$B$82,,,15-COUNTBLANK(角色卡模板!$B$82:$B$96))</definedName>
    <definedName name="天赋">扩展资源!$D$30:$I$79</definedName>
    <definedName name="英雄类型">扩展资源!$B$5:$G$26</definedName>
    <definedName name="职业列表">职业列表!$A$2:$G$400</definedName>
    <definedName name="总括技能">角色卡模板!$A$184:$B$195</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10" l="1"/>
  <c r="L14" i="8"/>
  <c r="L15" i="8" s="1"/>
  <c r="K14" i="8"/>
  <c r="B91" i="10"/>
  <c r="K4" i="8"/>
  <c r="L4" i="8"/>
  <c r="K5" i="8"/>
  <c r="L5" i="8"/>
  <c r="K6" i="8"/>
  <c r="L6" i="8"/>
  <c r="K7" i="8"/>
  <c r="L7" i="8"/>
  <c r="K8" i="8"/>
  <c r="L8" i="8"/>
  <c r="K9" i="8"/>
  <c r="L9" i="8"/>
  <c r="K10" i="8"/>
  <c r="L10" i="8"/>
  <c r="K11" i="8"/>
  <c r="L11" i="8"/>
  <c r="K12" i="8"/>
  <c r="L12" i="8"/>
  <c r="K13" i="8"/>
  <c r="L13" i="8"/>
  <c r="L3" i="8"/>
  <c r="L2" i="8"/>
  <c r="K3" i="8"/>
  <c r="K2" i="8"/>
  <c r="B16" i="10"/>
  <c r="B89" i="10"/>
  <c r="J98" i="1"/>
  <c r="B98" i="1"/>
  <c r="K15" i="8" l="1"/>
  <c r="B90" i="10" s="1"/>
  <c r="J93" i="1"/>
  <c r="B93" i="1"/>
  <c r="B106" i="10"/>
  <c r="B105" i="10"/>
  <c r="B104" i="10"/>
  <c r="B2" i="1"/>
  <c r="B14" i="1"/>
  <c r="B95" i="13"/>
  <c r="F23" i="13"/>
  <c r="F22" i="13"/>
  <c r="F21" i="13"/>
  <c r="F20" i="13"/>
  <c r="F19" i="13"/>
  <c r="F18" i="13"/>
  <c r="F17" i="13"/>
  <c r="F16" i="13"/>
  <c r="B3" i="10"/>
  <c r="B65" i="10"/>
  <c r="B68" i="10"/>
  <c r="B78" i="10"/>
  <c r="B79" i="10"/>
  <c r="B58" i="10"/>
  <c r="B94" i="10"/>
  <c r="B92" i="10"/>
  <c r="B2" i="10"/>
  <c r="B1" i="10"/>
  <c r="W10" i="1"/>
  <c r="B96" i="1"/>
  <c r="B95" i="1"/>
  <c r="B94" i="1"/>
  <c r="F12" i="1"/>
  <c r="E27" i="13"/>
  <c r="B51" i="13"/>
  <c r="AE50" i="13"/>
  <c r="R50" i="13"/>
  <c r="M50" i="13"/>
  <c r="E50" i="13"/>
  <c r="S68" i="1" l="1"/>
  <c r="B31" i="13"/>
  <c r="B41" i="13"/>
  <c r="T37" i="13"/>
  <c r="T36" i="13"/>
  <c r="T35" i="13"/>
  <c r="T34" i="13"/>
  <c r="L9" i="13"/>
  <c r="B68" i="1" l="1"/>
  <c r="B27" i="13" l="1"/>
  <c r="AK25" i="13" l="1"/>
  <c r="AK24" i="13"/>
  <c r="AK23" i="13"/>
  <c r="AK22" i="13"/>
  <c r="AK21" i="13"/>
  <c r="AK20" i="13"/>
  <c r="AK19" i="13"/>
  <c r="AK18" i="13"/>
  <c r="AK17" i="13"/>
  <c r="AK16" i="13"/>
  <c r="P23" i="13"/>
  <c r="AD5" i="1" s="1"/>
  <c r="P22" i="13"/>
  <c r="AD3" i="1" s="1"/>
  <c r="Z50" i="13" s="1"/>
  <c r="P21" i="13"/>
  <c r="X7" i="1" s="1"/>
  <c r="P20" i="13"/>
  <c r="X5" i="1" s="1"/>
  <c r="P19" i="13"/>
  <c r="X3" i="1" s="1"/>
  <c r="P18" i="13"/>
  <c r="R7" i="1" s="1"/>
  <c r="P17" i="13"/>
  <c r="R5" i="1" s="1"/>
  <c r="P16" i="13"/>
  <c r="R3" i="1" s="1"/>
  <c r="L11" i="13"/>
  <c r="L10" i="13"/>
  <c r="L8" i="13"/>
  <c r="I4" i="13"/>
  <c r="U43" i="13" l="1"/>
  <c r="F134" i="7"/>
  <c r="F128" i="7"/>
  <c r="AD43" i="13"/>
  <c r="AD45" i="13" s="1"/>
  <c r="N10" i="1" s="1"/>
  <c r="F126" i="7"/>
  <c r="F120" i="7"/>
  <c r="F123" i="7"/>
  <c r="F124" i="7"/>
  <c r="F129" i="7"/>
  <c r="F136" i="7"/>
  <c r="F135" i="7"/>
  <c r="F127" i="7"/>
  <c r="F138" i="7"/>
  <c r="F133" i="7"/>
  <c r="F131" i="7"/>
  <c r="F122" i="7"/>
  <c r="F132" i="7"/>
  <c r="F121" i="7"/>
  <c r="F137" i="7"/>
  <c r="F130" i="7"/>
  <c r="F125" i="7"/>
  <c r="AA43" i="13"/>
  <c r="AA45" i="13" s="1"/>
  <c r="H10" i="1" s="1"/>
  <c r="R43" i="13"/>
  <c r="R45" i="13" s="1"/>
  <c r="AG18" i="13"/>
  <c r="AG19" i="13"/>
  <c r="AG17" i="13"/>
  <c r="Q35" i="1"/>
  <c r="E10" i="1" l="1"/>
  <c r="B7" i="10" s="1"/>
  <c r="B81" i="15"/>
  <c r="B80" i="15"/>
  <c r="B79" i="15"/>
  <c r="B78" i="15"/>
  <c r="B77" i="15"/>
  <c r="O44" i="1" l="1"/>
  <c r="M44" i="1"/>
  <c r="O43" i="1"/>
  <c r="M43" i="1"/>
  <c r="B178" i="15" l="1"/>
  <c r="B177" i="15"/>
  <c r="B55" i="13"/>
  <c r="B193" i="15"/>
  <c r="B192" i="15"/>
  <c r="B191" i="15"/>
  <c r="B190" i="15"/>
  <c r="B189" i="15"/>
  <c r="B188" i="15"/>
  <c r="B187" i="15"/>
  <c r="B186" i="15"/>
  <c r="B184" i="15"/>
  <c r="B181" i="15"/>
  <c r="B172" i="15"/>
  <c r="B179" i="15"/>
  <c r="B175" i="15"/>
  <c r="B170" i="15"/>
  <c r="B169" i="15"/>
  <c r="B174" i="15"/>
  <c r="B173" i="15"/>
  <c r="B180" i="15"/>
  <c r="B176" i="15"/>
  <c r="B171" i="15"/>
  <c r="B166" i="15"/>
  <c r="B165" i="15"/>
  <c r="B164" i="15"/>
  <c r="B163" i="15"/>
  <c r="B162" i="15"/>
  <c r="B161" i="15"/>
  <c r="B160" i="15"/>
  <c r="B159" i="15"/>
  <c r="B158" i="15"/>
  <c r="B157" i="15"/>
  <c r="B156" i="15"/>
  <c r="Y70" i="13" s="1"/>
  <c r="B155" i="15"/>
  <c r="Y71" i="13" s="1"/>
  <c r="B154" i="15"/>
  <c r="B151" i="15"/>
  <c r="B150" i="15"/>
  <c r="B149" i="15"/>
  <c r="B148" i="15"/>
  <c r="B147" i="15"/>
  <c r="B146" i="15"/>
  <c r="B145" i="15"/>
  <c r="B144" i="15"/>
  <c r="B143" i="15"/>
  <c r="B142" i="15"/>
  <c r="B141" i="15"/>
  <c r="B140" i="15"/>
  <c r="B139" i="15"/>
  <c r="B138" i="15"/>
  <c r="B137"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0" i="15"/>
  <c r="B89" i="15"/>
  <c r="B88" i="15"/>
  <c r="B87" i="15"/>
  <c r="B86" i="15"/>
  <c r="B85" i="15"/>
  <c r="B84" i="15"/>
  <c r="B83" i="15"/>
  <c r="B82"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AG87" i="13"/>
  <c r="AJ36" i="1" s="1"/>
  <c r="AG86" i="13"/>
  <c r="AJ35" i="1" s="1"/>
  <c r="AG85" i="13"/>
  <c r="AJ34" i="1" s="1"/>
  <c r="AG75" i="13"/>
  <c r="AJ24" i="1" s="1"/>
  <c r="AG72" i="13"/>
  <c r="AJ21" i="1" s="1"/>
  <c r="AG66" i="13"/>
  <c r="V36" i="1" s="1"/>
  <c r="AG65" i="13"/>
  <c r="V35" i="1" s="1"/>
  <c r="Y74" i="13" l="1"/>
  <c r="Y73" i="13"/>
  <c r="AG71" i="13"/>
  <c r="AJ20" i="1" s="1"/>
  <c r="AG70" i="13"/>
  <c r="AJ19" i="1" s="1"/>
  <c r="B64" i="10" l="1"/>
  <c r="AG73" i="13"/>
  <c r="AJ22" i="1" s="1"/>
  <c r="AG74" i="13"/>
  <c r="AJ23" i="1" s="1"/>
  <c r="AN23" i="1" s="1"/>
  <c r="B63" i="10"/>
  <c r="Z35" i="1"/>
  <c r="AN36" i="1"/>
  <c r="B80" i="10" s="1"/>
  <c r="AN35" i="1"/>
  <c r="AN34" i="1"/>
  <c r="AN24" i="1"/>
  <c r="AN22" i="1"/>
  <c r="AN21" i="1"/>
  <c r="AN20" i="1"/>
  <c r="AN19" i="1"/>
  <c r="B60" i="13" l="1"/>
  <c r="B61" i="13"/>
  <c r="B62" i="13"/>
  <c r="B63" i="13"/>
  <c r="B64" i="13"/>
  <c r="B65" i="13"/>
  <c r="B66" i="13"/>
  <c r="B70" i="13"/>
  <c r="B71" i="13"/>
  <c r="B72" i="13"/>
  <c r="B73" i="13"/>
  <c r="B74" i="13"/>
  <c r="C33" i="1" s="1"/>
  <c r="B75" i="13"/>
  <c r="B76" i="13"/>
  <c r="B77" i="13"/>
  <c r="B81" i="13"/>
  <c r="Q19" i="1" s="1"/>
  <c r="B82" i="13"/>
  <c r="Q20" i="1" s="1"/>
  <c r="B83" i="13"/>
  <c r="B87" i="13"/>
  <c r="B88" i="13"/>
  <c r="S57" i="13"/>
  <c r="S58" i="13"/>
  <c r="S59" i="13"/>
  <c r="S60" i="13"/>
  <c r="S61" i="13"/>
  <c r="S62" i="13"/>
  <c r="S63" i="13"/>
  <c r="S64" i="13"/>
  <c r="Q34" i="1" s="1"/>
  <c r="S67" i="13"/>
  <c r="Y67" i="13" s="1"/>
  <c r="S68" i="13"/>
  <c r="S69" i="13"/>
  <c r="S70" i="13"/>
  <c r="AE19" i="1" s="1"/>
  <c r="S71" i="13"/>
  <c r="AE20" i="1" s="1"/>
  <c r="S74" i="13"/>
  <c r="AE23" i="1" s="1"/>
  <c r="B67" i="10" s="1"/>
  <c r="S75" i="13"/>
  <c r="AE24" i="1" s="1"/>
  <c r="S77" i="13"/>
  <c r="S78" i="13"/>
  <c r="S79" i="13"/>
  <c r="S80" i="13"/>
  <c r="S81" i="13"/>
  <c r="S82" i="13"/>
  <c r="S83" i="13"/>
  <c r="S84" i="13"/>
  <c r="S85" i="13"/>
  <c r="AE34" i="1" s="1"/>
  <c r="S86" i="13"/>
  <c r="AE35" i="1" s="1"/>
  <c r="S87" i="13"/>
  <c r="B58" i="13"/>
  <c r="Y80" i="13" l="1"/>
  <c r="AE29" i="1"/>
  <c r="H70" i="13"/>
  <c r="C29" i="1"/>
  <c r="H63" i="13"/>
  <c r="C22" i="1"/>
  <c r="H58" i="13"/>
  <c r="C17" i="1"/>
  <c r="Y63" i="13"/>
  <c r="Q33" i="1"/>
  <c r="Y59" i="13"/>
  <c r="Q29" i="1"/>
  <c r="H87" i="13"/>
  <c r="Q25" i="1"/>
  <c r="H77" i="13"/>
  <c r="C36" i="1"/>
  <c r="H73" i="13"/>
  <c r="C32" i="1"/>
  <c r="H66" i="13"/>
  <c r="C25" i="1"/>
  <c r="H62" i="13"/>
  <c r="C21" i="1"/>
  <c r="Y60" i="13"/>
  <c r="AG60" i="13" s="1"/>
  <c r="Q30" i="1"/>
  <c r="Y62" i="13"/>
  <c r="Q32" i="1"/>
  <c r="Y58" i="13"/>
  <c r="Q28" i="1"/>
  <c r="H83" i="13"/>
  <c r="Q21" i="1"/>
  <c r="H76" i="13"/>
  <c r="C35" i="1"/>
  <c r="H72" i="13"/>
  <c r="C31" i="1"/>
  <c r="H65" i="13"/>
  <c r="C24" i="1"/>
  <c r="H61" i="13"/>
  <c r="C20" i="1"/>
  <c r="H88" i="13"/>
  <c r="Q26" i="1"/>
  <c r="Y61" i="13"/>
  <c r="Q31" i="1"/>
  <c r="Y57" i="13"/>
  <c r="Q27" i="1"/>
  <c r="H75" i="13"/>
  <c r="C34" i="1"/>
  <c r="H71" i="13"/>
  <c r="C30" i="1"/>
  <c r="H64" i="13"/>
  <c r="C23" i="1"/>
  <c r="H60" i="13"/>
  <c r="C19" i="1"/>
  <c r="Y64" i="13"/>
  <c r="AE32" i="1"/>
  <c r="Y83" i="13"/>
  <c r="AE28" i="1"/>
  <c r="AE27" i="1"/>
  <c r="Y78" i="13"/>
  <c r="AE18" i="1"/>
  <c r="Y69" i="13"/>
  <c r="AE30" i="1"/>
  <c r="Y81" i="13"/>
  <c r="AE26" i="1"/>
  <c r="Y77" i="13"/>
  <c r="AE17" i="1"/>
  <c r="Y68" i="13"/>
  <c r="AE31" i="1"/>
  <c r="Y82" i="13"/>
  <c r="AE33" i="1"/>
  <c r="Y84" i="13"/>
  <c r="AG80" i="13"/>
  <c r="AJ29" i="1" s="1"/>
  <c r="AN29" i="1" s="1"/>
  <c r="AE16" i="1"/>
  <c r="AG67" i="13"/>
  <c r="AJ16" i="1" s="1"/>
  <c r="B86" i="13"/>
  <c r="B78" i="13"/>
  <c r="S73" i="13"/>
  <c r="AE22" i="1" s="1"/>
  <c r="B66" i="10" s="1"/>
  <c r="B85" i="13"/>
  <c r="B69" i="13"/>
  <c r="S76" i="13"/>
  <c r="S72" i="13"/>
  <c r="AE21" i="1" s="1"/>
  <c r="B84" i="13"/>
  <c r="Q22" i="1" s="1"/>
  <c r="B80" i="13"/>
  <c r="Q18" i="1" s="1"/>
  <c r="B68" i="13"/>
  <c r="B79" i="13"/>
  <c r="B67" i="13"/>
  <c r="B59" i="13"/>
  <c r="B57" i="13"/>
  <c r="AG62" i="13" l="1"/>
  <c r="V32" i="1" s="1"/>
  <c r="Z32" i="1" s="1"/>
  <c r="P62" i="13"/>
  <c r="H21" i="1" s="1"/>
  <c r="L21" i="1" s="1"/>
  <c r="P73" i="13"/>
  <c r="H32" i="1" s="1"/>
  <c r="L32" i="1" s="1"/>
  <c r="P87" i="13"/>
  <c r="V25" i="1" s="1"/>
  <c r="Z25" i="1" s="1"/>
  <c r="AG82" i="13"/>
  <c r="AJ31" i="1" s="1"/>
  <c r="AG77" i="13"/>
  <c r="AJ26" i="1" s="1"/>
  <c r="AN26" i="1" s="1"/>
  <c r="AG69" i="13"/>
  <c r="AJ18" i="1" s="1"/>
  <c r="AN18" i="1" s="1"/>
  <c r="AG61" i="13"/>
  <c r="V31" i="1" s="1"/>
  <c r="Z31" i="1" s="1"/>
  <c r="P83" i="13"/>
  <c r="V21" i="1" s="1"/>
  <c r="Z21" i="1" s="1"/>
  <c r="AG83" i="13"/>
  <c r="AJ32" i="1" s="1"/>
  <c r="AN32" i="1" s="1"/>
  <c r="P60" i="13"/>
  <c r="H19" i="1" s="1"/>
  <c r="P88" i="13"/>
  <c r="V26" i="1" s="1"/>
  <c r="Z26" i="1" s="1"/>
  <c r="AG58" i="13"/>
  <c r="V28" i="1" s="1"/>
  <c r="Z28" i="1" s="1"/>
  <c r="P66" i="13"/>
  <c r="H25" i="1" s="1"/>
  <c r="L25" i="1" s="1"/>
  <c r="AG59" i="13"/>
  <c r="V29" i="1" s="1"/>
  <c r="Z29" i="1" s="1"/>
  <c r="P58" i="13"/>
  <c r="H17" i="1" s="1"/>
  <c r="P70" i="13"/>
  <c r="H29" i="1" s="1"/>
  <c r="L29" i="1" s="1"/>
  <c r="P75" i="13"/>
  <c r="H34" i="1" s="1"/>
  <c r="L34" i="1" s="1"/>
  <c r="P72" i="13"/>
  <c r="H31" i="1" s="1"/>
  <c r="L31" i="1" s="1"/>
  <c r="P71" i="13"/>
  <c r="H30" i="1" s="1"/>
  <c r="L30" i="1" s="1"/>
  <c r="AG57" i="13"/>
  <c r="V27" i="1" s="1"/>
  <c r="P65" i="13"/>
  <c r="H24" i="1" s="1"/>
  <c r="L24" i="1" s="1"/>
  <c r="P77" i="13"/>
  <c r="H36" i="1" s="1"/>
  <c r="P76" i="13"/>
  <c r="H35" i="1" s="1"/>
  <c r="L35" i="1" s="1"/>
  <c r="AG84" i="13"/>
  <c r="AJ33" i="1" s="1"/>
  <c r="AN33" i="1" s="1"/>
  <c r="AG68" i="13"/>
  <c r="AJ17" i="1" s="1"/>
  <c r="AG81" i="13"/>
  <c r="AJ30" i="1" s="1"/>
  <c r="AN30" i="1" s="1"/>
  <c r="AG78" i="13"/>
  <c r="AJ27" i="1" s="1"/>
  <c r="AN27" i="1" s="1"/>
  <c r="B60" i="10"/>
  <c r="AG64" i="13"/>
  <c r="V34" i="1" s="1"/>
  <c r="Z34" i="1" s="1"/>
  <c r="P64" i="13"/>
  <c r="H23" i="1" s="1"/>
  <c r="L23" i="1" s="1"/>
  <c r="P61" i="13"/>
  <c r="H20" i="1" s="1"/>
  <c r="L20" i="1" s="1"/>
  <c r="AG63" i="13"/>
  <c r="V33" i="1" s="1"/>
  <c r="Z33" i="1" s="1"/>
  <c r="P63" i="13"/>
  <c r="H22" i="1" s="1"/>
  <c r="L22" i="1" s="1"/>
  <c r="B73" i="10"/>
  <c r="V30" i="1"/>
  <c r="Z30" i="1" s="1"/>
  <c r="B53" i="10" s="1"/>
  <c r="K40" i="1"/>
  <c r="H78" i="13"/>
  <c r="P78" i="13" s="1"/>
  <c r="V16" i="1" s="1"/>
  <c r="Q16" i="1"/>
  <c r="H79" i="13"/>
  <c r="Q17" i="1"/>
  <c r="H68" i="13"/>
  <c r="C27" i="1"/>
  <c r="H59" i="13"/>
  <c r="C18" i="1"/>
  <c r="H69" i="13"/>
  <c r="C28" i="1"/>
  <c r="H86" i="13"/>
  <c r="Q24" i="1"/>
  <c r="H57" i="13"/>
  <c r="C16" i="1"/>
  <c r="H67" i="13"/>
  <c r="C26" i="1"/>
  <c r="H85" i="13"/>
  <c r="Q23" i="1"/>
  <c r="AE25" i="1"/>
  <c r="B14" i="10"/>
  <c r="B13" i="10"/>
  <c r="B12" i="10"/>
  <c r="B23" i="10" l="1"/>
  <c r="B71" i="10"/>
  <c r="B75" i="10"/>
  <c r="B62" i="10"/>
  <c r="B49" i="10"/>
  <c r="B48" i="10"/>
  <c r="B61" i="10"/>
  <c r="B54" i="10"/>
  <c r="B74" i="10"/>
  <c r="B77" i="10"/>
  <c r="B70" i="10"/>
  <c r="B76" i="10"/>
  <c r="B55" i="10"/>
  <c r="B21" i="10"/>
  <c r="B44" i="10"/>
  <c r="P85" i="13"/>
  <c r="V23" i="1" s="1"/>
  <c r="Z23" i="1" s="1"/>
  <c r="P57" i="13"/>
  <c r="H16" i="1" s="1"/>
  <c r="P69" i="13"/>
  <c r="H28" i="1" s="1"/>
  <c r="L28" i="1" s="1"/>
  <c r="P68" i="13"/>
  <c r="H27" i="1" s="1"/>
  <c r="B24" i="10"/>
  <c r="B22" i="10"/>
  <c r="B57" i="10"/>
  <c r="B38" i="10"/>
  <c r="B50" i="10"/>
  <c r="B33" i="10"/>
  <c r="B31" i="10"/>
  <c r="B52" i="10"/>
  <c r="B51" i="10"/>
  <c r="B34" i="10"/>
  <c r="P67" i="13"/>
  <c r="H26" i="1" s="1"/>
  <c r="P86" i="13"/>
  <c r="V24" i="1" s="1"/>
  <c r="Z24" i="1" s="1"/>
  <c r="P59" i="13"/>
  <c r="H18" i="1" s="1"/>
  <c r="L18" i="1" s="1"/>
  <c r="P79" i="13"/>
  <c r="V17" i="1" s="1"/>
  <c r="B56" i="10"/>
  <c r="B25" i="10"/>
  <c r="B26" i="10"/>
  <c r="B32" i="10"/>
  <c r="B36" i="10"/>
  <c r="B19" i="10"/>
  <c r="B27" i="10"/>
  <c r="B37" i="10"/>
  <c r="I8" i="8"/>
  <c r="T4" i="14"/>
  <c r="Q4" i="14"/>
  <c r="N4" i="14"/>
  <c r="K4" i="14"/>
  <c r="H4" i="14"/>
  <c r="E4" i="14"/>
  <c r="B4" i="14"/>
  <c r="B18" i="10" l="1"/>
  <c r="B28" i="10"/>
  <c r="B29" i="10"/>
  <c r="B20" i="10"/>
  <c r="I7" i="8"/>
  <c r="I9" i="8" s="1"/>
  <c r="Q10" i="1" s="1" a="1"/>
  <c r="Q10" i="1" s="1"/>
  <c r="B40" i="10"/>
  <c r="B47" i="10"/>
  <c r="B30" i="10"/>
  <c r="B46" i="10"/>
  <c r="AK37" i="13"/>
  <c r="AK36" i="13"/>
  <c r="AK35" i="13"/>
  <c r="AK34" i="13"/>
  <c r="AK33" i="13"/>
  <c r="AK15" i="13"/>
  <c r="AK26" i="13"/>
  <c r="AK27" i="13"/>
  <c r="AK28" i="13"/>
  <c r="AK29" i="13"/>
  <c r="AK30" i="13"/>
  <c r="AK31" i="13"/>
  <c r="AK32" i="13"/>
  <c r="AK14" i="13"/>
  <c r="E45" i="13" l="1"/>
  <c r="AG16" i="13"/>
  <c r="AG23" i="13"/>
  <c r="AG21" i="13"/>
  <c r="AG22" i="13"/>
  <c r="AG20" i="13"/>
  <c r="B11" i="10" l="1"/>
  <c r="AN16" i="1" l="1"/>
  <c r="L27" i="1"/>
  <c r="F136" i="15"/>
  <c r="F12" i="8"/>
  <c r="I46" i="13"/>
  <c r="H46" i="13"/>
  <c r="G46" i="13"/>
  <c r="L16" i="1"/>
  <c r="AN31" i="1"/>
  <c r="Z17" i="1"/>
  <c r="B88" i="10"/>
  <c r="B87" i="10"/>
  <c r="B86" i="10"/>
  <c r="B85" i="10"/>
  <c r="B84" i="10"/>
  <c r="B83" i="10"/>
  <c r="B82" i="10"/>
  <c r="B95" i="10"/>
  <c r="B96" i="10"/>
  <c r="B97" i="10"/>
  <c r="B98" i="10"/>
  <c r="B99" i="10"/>
  <c r="B100" i="10"/>
  <c r="B101" i="10"/>
  <c r="B102" i="10"/>
  <c r="M41" i="1"/>
  <c r="O41" i="1"/>
  <c r="M42" i="1"/>
  <c r="O42" i="1"/>
  <c r="M45" i="1"/>
  <c r="O45" i="1"/>
  <c r="M46" i="1"/>
  <c r="O46" i="1"/>
  <c r="F119" i="7" l="1"/>
  <c r="F117" i="7"/>
  <c r="F118" i="7"/>
  <c r="F100" i="7"/>
  <c r="F99" i="7"/>
  <c r="D185" i="15"/>
  <c r="H185" i="15"/>
  <c r="C185" i="15"/>
  <c r="F185" i="15"/>
  <c r="E185" i="15"/>
  <c r="G185" i="15"/>
  <c r="E136" i="15"/>
  <c r="G136" i="15"/>
  <c r="C136" i="15"/>
  <c r="H136" i="15"/>
  <c r="D136" i="15"/>
  <c r="L19" i="1"/>
  <c r="L26" i="1"/>
  <c r="Z27" i="1"/>
  <c r="Z36" i="1"/>
  <c r="B59" i="10" s="1"/>
  <c r="F30" i="8"/>
  <c r="F88" i="7"/>
  <c r="F32" i="7"/>
  <c r="F106" i="7"/>
  <c r="F60" i="7"/>
  <c r="F14" i="7"/>
  <c r="F63" i="7"/>
  <c r="F43" i="7"/>
  <c r="F18" i="7"/>
  <c r="F4" i="7"/>
  <c r="F53" i="7"/>
  <c r="F6" i="7"/>
  <c r="F112" i="7"/>
  <c r="F80" i="7"/>
  <c r="F33" i="7"/>
  <c r="F49" i="7"/>
  <c r="F28" i="7"/>
  <c r="F104" i="7"/>
  <c r="F38" i="7"/>
  <c r="F101" i="7"/>
  <c r="F61" i="7"/>
  <c r="F36" i="7"/>
  <c r="F5" i="7"/>
  <c r="F47" i="7"/>
  <c r="F103" i="7"/>
  <c r="F34" i="7"/>
  <c r="F95" i="7"/>
  <c r="F35" i="7"/>
  <c r="F44" i="7"/>
  <c r="F64" i="7"/>
  <c r="F77" i="7"/>
  <c r="F51" i="7"/>
  <c r="F65" i="7"/>
  <c r="F108" i="7"/>
  <c r="F91" i="7"/>
  <c r="F76" i="7"/>
  <c r="F62" i="7"/>
  <c r="F39" i="7"/>
  <c r="F21" i="7"/>
  <c r="F7" i="7"/>
  <c r="F31" i="7"/>
  <c r="F105" i="7"/>
  <c r="F90" i="7"/>
  <c r="F72" i="7"/>
  <c r="F57" i="7"/>
  <c r="F30" i="7"/>
  <c r="F19" i="7"/>
  <c r="F22" i="7"/>
  <c r="F94" i="7"/>
  <c r="F83" i="7"/>
  <c r="F71" i="7"/>
  <c r="F55" i="7"/>
  <c r="F29" i="7"/>
  <c r="F16" i="7"/>
  <c r="F109" i="7"/>
  <c r="F92" i="7"/>
  <c r="F78" i="7"/>
  <c r="F70" i="7"/>
  <c r="F48" i="7"/>
  <c r="F27" i="7"/>
  <c r="F15" i="7"/>
  <c r="F27" i="8"/>
  <c r="F26" i="7"/>
  <c r="F9" i="7"/>
  <c r="F111" i="7"/>
  <c r="F96" i="7"/>
  <c r="F86" i="7"/>
  <c r="F81" i="7"/>
  <c r="F73" i="7"/>
  <c r="F66" i="7"/>
  <c r="F52" i="7"/>
  <c r="F41" i="7"/>
  <c r="F25" i="7"/>
  <c r="F17" i="7"/>
  <c r="F10" i="7"/>
  <c r="F54" i="7"/>
  <c r="F116" i="7"/>
  <c r="F110" i="7"/>
  <c r="F93" i="7"/>
  <c r="F85" i="7"/>
  <c r="F79" i="7"/>
  <c r="F69" i="7"/>
  <c r="F59" i="7"/>
  <c r="F50" i="7"/>
  <c r="F40" i="7"/>
  <c r="F24" i="7"/>
  <c r="F13" i="7"/>
  <c r="F8" i="7"/>
  <c r="F46" i="7"/>
  <c r="F114" i="7"/>
  <c r="F107" i="7"/>
  <c r="F98" i="7"/>
  <c r="F89" i="7"/>
  <c r="F84" i="7"/>
  <c r="F75" i="7"/>
  <c r="F68" i="7"/>
  <c r="F58" i="7"/>
  <c r="F45" i="7"/>
  <c r="F37" i="7"/>
  <c r="F23" i="7"/>
  <c r="F12" i="7"/>
  <c r="F3" i="7"/>
  <c r="F115" i="7"/>
  <c r="F113" i="7"/>
  <c r="F102" i="7"/>
  <c r="F97" i="7"/>
  <c r="F87" i="7"/>
  <c r="F82" i="7"/>
  <c r="F74" i="7"/>
  <c r="F67" i="7"/>
  <c r="F56" i="7"/>
  <c r="F42" i="7"/>
  <c r="F20" i="7"/>
  <c r="F11" i="7"/>
  <c r="AG43" i="13"/>
  <c r="Z4" i="1"/>
  <c r="AF5" i="1"/>
  <c r="AN17" i="1"/>
  <c r="F26" i="8"/>
  <c r="AF6" i="1"/>
  <c r="B5" i="10"/>
  <c r="Z5" i="1"/>
  <c r="L17" i="1"/>
  <c r="T8" i="1"/>
  <c r="AF4" i="1"/>
  <c r="AF3" i="1"/>
  <c r="AN39" i="1"/>
  <c r="F11" i="8"/>
  <c r="L36" i="1"/>
  <c r="T6" i="1"/>
  <c r="T3" i="1"/>
  <c r="F15" i="8"/>
  <c r="F28" i="8"/>
  <c r="T5" i="1"/>
  <c r="Z8" i="1"/>
  <c r="B4" i="10"/>
  <c r="T4" i="1"/>
  <c r="Z3" i="1"/>
  <c r="Z7" i="1"/>
  <c r="F16" i="8"/>
  <c r="F31" i="8"/>
  <c r="F29" i="8"/>
  <c r="Z16" i="1"/>
  <c r="B39" i="10" s="1"/>
  <c r="T7" i="1"/>
  <c r="Z6" i="1"/>
  <c r="F13" i="8"/>
  <c r="F10" i="8"/>
  <c r="F14" i="8"/>
  <c r="F2" i="7" l="1"/>
  <c r="S88" i="13"/>
  <c r="U50" i="13"/>
  <c r="AN41" i="1"/>
  <c r="U45" i="13"/>
  <c r="AG45" i="13"/>
  <c r="B185" i="15"/>
  <c r="Y76" i="13" s="1"/>
  <c r="B136" i="15"/>
  <c r="H82" i="13" s="1"/>
  <c r="M40" i="1"/>
  <c r="F18" i="8"/>
  <c r="F21" i="8" s="1"/>
  <c r="F17" i="8"/>
  <c r="P82" i="13" l="1"/>
  <c r="V20" i="1" s="1"/>
  <c r="Z20" i="1" s="1"/>
  <c r="AG76" i="13"/>
  <c r="AJ25" i="1" s="1"/>
  <c r="AN25" i="1" s="1"/>
  <c r="B69" i="10"/>
  <c r="AD10" i="1"/>
  <c r="AF10" i="1"/>
  <c r="H80" i="13"/>
  <c r="Y79" i="13"/>
  <c r="H84" i="13"/>
  <c r="H81" i="13"/>
  <c r="H74" i="13"/>
  <c r="O40" i="1"/>
  <c r="B10" i="10" s="1"/>
  <c r="F19" i="8"/>
  <c r="F22" i="8" s="1"/>
  <c r="F20" i="8"/>
  <c r="B43" i="10" l="1"/>
  <c r="P81" i="13"/>
  <c r="V19" i="1" s="1"/>
  <c r="Z19" i="1" s="1"/>
  <c r="P80" i="13"/>
  <c r="V18" i="1" s="1"/>
  <c r="Z18" i="1" s="1"/>
  <c r="AG79" i="13"/>
  <c r="AJ28" i="1" s="1"/>
  <c r="AN28" i="1" s="1"/>
  <c r="P84" i="13"/>
  <c r="V22" i="1" s="1"/>
  <c r="Z22" i="1" s="1"/>
  <c r="P74" i="13"/>
  <c r="H33" i="1" s="1"/>
  <c r="L33" i="1" s="1"/>
  <c r="I3" i="8"/>
  <c r="I2" i="8"/>
  <c r="F23" i="8"/>
  <c r="B45" i="10" l="1"/>
  <c r="B41" i="10"/>
  <c r="B42" i="10"/>
  <c r="B35" i="10"/>
  <c r="B72" i="10"/>
  <c r="X43" i="13"/>
  <c r="X45" i="13" s="1"/>
  <c r="AD7" i="1" s="1"/>
  <c r="I4" i="8"/>
  <c r="B6" i="10" l="1"/>
  <c r="AN43" i="1"/>
  <c r="AP43" i="1" s="1"/>
  <c r="B15" i="10"/>
  <c r="AP4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<sst xmlns="http://schemas.openxmlformats.org/spreadsheetml/2006/main" count="2399" uniqueCount="1212">
  <si>
    <t>姓名</t>
    <phoneticPr fontId="2" type="noConversion"/>
  </si>
  <si>
    <t>玩家</t>
    <phoneticPr fontId="2" type="noConversion"/>
  </si>
  <si>
    <t>职业</t>
    <phoneticPr fontId="2" type="noConversion"/>
  </si>
  <si>
    <t>年龄</t>
    <phoneticPr fontId="2" type="noConversion"/>
  </si>
  <si>
    <t>性别</t>
    <phoneticPr fontId="2" type="noConversion"/>
  </si>
  <si>
    <r>
      <t xml:space="preserve">体型
</t>
    </r>
    <r>
      <rPr>
        <sz val="8"/>
        <color theme="1"/>
        <rFont val="微软雅黑"/>
        <family val="2"/>
        <charset val="134"/>
      </rPr>
      <t>SIZ</t>
    </r>
    <phoneticPr fontId="2" type="noConversion"/>
  </si>
  <si>
    <t>此处应有头像</t>
    <phoneticPr fontId="2" type="noConversion"/>
  </si>
  <si>
    <t>兴趣</t>
    <phoneticPr fontId="2" type="noConversion"/>
  </si>
  <si>
    <t>成功率</t>
    <phoneticPr fontId="2" type="noConversion"/>
  </si>
  <si>
    <t>法律</t>
    <phoneticPr fontId="2" type="noConversion"/>
  </si>
  <si>
    <t>科学</t>
    <phoneticPr fontId="2" type="noConversion"/>
  </si>
  <si>
    <t>克苏鲁神话</t>
    <phoneticPr fontId="2" type="noConversion"/>
  </si>
  <si>
    <t>武器</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</si>
  <si>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</si>
  <si>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</si>
  <si>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</si>
  <si>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</si>
  <si>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</si>
  <si>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</si>
  <si>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</si>
  <si>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</si>
  <si>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运动员</t>
    <phoneticPr fontId="2" type="noConversion"/>
  </si>
  <si>
    <t>书商</t>
    <phoneticPr fontId="2" type="noConversion"/>
  </si>
  <si>
    <t>赏金猎人</t>
    <phoneticPr fontId="2" type="noConversion"/>
  </si>
  <si>
    <t>本职技能</t>
    <phoneticPr fontId="2" type="noConversion"/>
  </si>
  <si>
    <t>序号</t>
    <phoneticPr fontId="2" type="noConversion"/>
  </si>
  <si>
    <t>技能</t>
    <phoneticPr fontId="2" type="noConversion"/>
  </si>
  <si>
    <t>基础值</t>
    <phoneticPr fontId="2" type="noConversion"/>
  </si>
  <si>
    <t>矛</t>
    <phoneticPr fontId="2" type="noConversion"/>
  </si>
  <si>
    <t>剑</t>
    <phoneticPr fontId="2" type="noConversion"/>
  </si>
  <si>
    <t>技能点</t>
    <phoneticPr fontId="2" type="noConversion"/>
  </si>
  <si>
    <t>自定义职业</t>
    <phoneticPr fontId="2" type="noConversion"/>
  </si>
  <si>
    <t>——</t>
    <phoneticPr fontId="2" type="noConversion"/>
  </si>
  <si>
    <t>资产</t>
    <phoneticPr fontId="2" type="noConversion"/>
  </si>
  <si>
    <t>背景故事</t>
    <phoneticPr fontId="2" type="noConversion"/>
  </si>
  <si>
    <t>大失败</t>
    <phoneticPr fontId="2" type="noConversion"/>
  </si>
  <si>
    <t>失败</t>
    <phoneticPr fontId="2" type="noConversion"/>
  </si>
  <si>
    <t>成功</t>
    <phoneticPr fontId="2" type="noConversion"/>
  </si>
  <si>
    <t>困难</t>
    <phoneticPr fontId="2" type="noConversion"/>
  </si>
  <si>
    <t>大成功</t>
    <phoneticPr fontId="2" type="noConversion"/>
  </si>
  <si>
    <t>≤技能</t>
  </si>
  <si>
    <t>&gt;技能</t>
    <phoneticPr fontId="2" type="noConversion"/>
  </si>
  <si>
    <t>1/2值</t>
    <phoneticPr fontId="2" type="noConversion"/>
  </si>
  <si>
    <t>1/5值</t>
    <phoneticPr fontId="2" type="noConversion"/>
  </si>
  <si>
    <t>濒死</t>
    <phoneticPr fontId="2" type="noConversion"/>
  </si>
  <si>
    <t>牛仔</t>
    <phoneticPr fontId="2" type="noConversion"/>
  </si>
  <si>
    <t>工程师</t>
    <phoneticPr fontId="2" type="noConversion"/>
  </si>
  <si>
    <t>法医</t>
    <phoneticPr fontId="2" type="noConversion"/>
  </si>
  <si>
    <t>赌徒</t>
    <phoneticPr fontId="2" type="noConversion"/>
  </si>
  <si>
    <t>美术</t>
    <phoneticPr fontId="2" type="noConversion"/>
  </si>
  <si>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</si>
  <si>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</si>
  <si>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</si>
  <si>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</si>
  <si>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</si>
  <si>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</si>
  <si>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</si>
  <si>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</si>
  <si>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</si>
  <si>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</si>
  <si>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</si>
  <si>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</si>
  <si>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phoneticPr fontId="2" type="noConversion"/>
  </si>
  <si>
    <t>链枷</t>
    <phoneticPr fontId="2" type="noConversion"/>
  </si>
  <si>
    <t>说服</t>
    <phoneticPr fontId="2" type="noConversion"/>
  </si>
  <si>
    <t>会计师</t>
    <phoneticPr fontId="2" type="noConversion"/>
  </si>
  <si>
    <t>0-99</t>
    <phoneticPr fontId="2" type="noConversion"/>
  </si>
  <si>
    <t>30-70</t>
    <phoneticPr fontId="2" type="noConversion"/>
  </si>
  <si>
    <t>9-20</t>
    <phoneticPr fontId="2" type="noConversion"/>
  </si>
  <si>
    <t>演员-戏剧演员</t>
    <phoneticPr fontId="2" type="noConversion"/>
  </si>
  <si>
    <t>10-40</t>
    <phoneticPr fontId="2" type="noConversion"/>
  </si>
  <si>
    <t>古董商</t>
    <phoneticPr fontId="2" type="noConversion"/>
  </si>
  <si>
    <t>9-50</t>
    <phoneticPr fontId="2" type="noConversion"/>
  </si>
  <si>
    <t>精神病院护工</t>
    <phoneticPr fontId="2" type="noConversion"/>
  </si>
  <si>
    <t>9-70</t>
    <phoneticPr fontId="2" type="noConversion"/>
  </si>
  <si>
    <t>演员-电影演员</t>
    <phoneticPr fontId="2" type="noConversion"/>
  </si>
  <si>
    <t>法律，聆听，医学，外语，精神分析，心理学，科学（生物学，化学）。</t>
    <phoneticPr fontId="2" type="noConversion"/>
  </si>
  <si>
    <t>估价，考古，历史，外语，图书馆，侦查，机械维修，导航或科学（任一：如化学、物理、地理等）。</t>
    <phoneticPr fontId="2" type="noConversion"/>
  </si>
  <si>
    <t>酒保</t>
    <phoneticPr fontId="2" type="noConversion"/>
  </si>
  <si>
    <t>9-30</t>
    <phoneticPr fontId="2" type="noConversion"/>
  </si>
  <si>
    <t>9-40</t>
    <phoneticPr fontId="2" type="noConversion"/>
  </si>
  <si>
    <t>9-60</t>
    <phoneticPr fontId="2" type="noConversion"/>
  </si>
  <si>
    <t>程序员、电子工程师</t>
    <phoneticPr fontId="2" type="noConversion"/>
  </si>
  <si>
    <t>职业属性</t>
    <phoneticPr fontId="2" type="noConversion"/>
  </si>
  <si>
    <t>罪犯-银行劫匪</t>
    <phoneticPr fontId="2" type="noConversion"/>
  </si>
  <si>
    <t>罪犯-欺诈师</t>
    <phoneticPr fontId="2" type="noConversion"/>
  </si>
  <si>
    <t>罪犯-混混</t>
    <phoneticPr fontId="2" type="noConversion"/>
  </si>
  <si>
    <t>3-10</t>
    <phoneticPr fontId="2" type="noConversion"/>
  </si>
  <si>
    <t>20-60</t>
    <phoneticPr fontId="2" type="noConversion"/>
  </si>
  <si>
    <t>30-60</t>
    <phoneticPr fontId="2" type="noConversion"/>
  </si>
  <si>
    <t>攀爬，闪避，跳跃，投掷，侦查，游泳，任意两项其他个人或时代特长。</t>
    <phoneticPr fontId="2" type="noConversion"/>
  </si>
  <si>
    <t>30-50</t>
    <phoneticPr fontId="2" type="noConversion"/>
  </si>
  <si>
    <t>10-70</t>
    <phoneticPr fontId="2" type="noConversion"/>
  </si>
  <si>
    <t>5-30</t>
    <phoneticPr fontId="2" type="noConversion"/>
  </si>
  <si>
    <t>30-80</t>
    <phoneticPr fontId="2" type="noConversion"/>
  </si>
  <si>
    <t>司机-私人司机</t>
    <phoneticPr fontId="2" type="noConversion"/>
  </si>
  <si>
    <t>司机-司机</t>
    <phoneticPr fontId="2" type="noConversion"/>
  </si>
  <si>
    <t>50-90</t>
    <phoneticPr fontId="2" type="noConversion"/>
  </si>
  <si>
    <t>消防员</t>
    <phoneticPr fontId="2" type="noConversion"/>
  </si>
  <si>
    <t>攀爬，闪避，汽车驾驶，急救，跳跃，机械维修，操作重型机械，投掷。</t>
    <phoneticPr fontId="2" type="noConversion"/>
  </si>
  <si>
    <t>黑帮-黑帮老大</t>
    <phoneticPr fontId="2" type="noConversion"/>
  </si>
  <si>
    <t>黑帮-马仔</t>
    <phoneticPr fontId="2" type="noConversion"/>
  </si>
  <si>
    <t>0-5</t>
    <phoneticPr fontId="2" type="noConversion"/>
  </si>
  <si>
    <t>游民</t>
    <phoneticPr fontId="2" type="noConversion"/>
  </si>
  <si>
    <t>外语，聆听，医学，说服，精神分析，心理学，科学（生物学，化学）。</t>
    <phoneticPr fontId="2" type="noConversion"/>
  </si>
  <si>
    <t>杂技演员</t>
    <phoneticPr fontId="2" type="noConversion"/>
  </si>
  <si>
    <t>20-90</t>
    <phoneticPr fontId="2" type="noConversion"/>
  </si>
  <si>
    <t>中介调查员</t>
    <phoneticPr fontId="2" type="noConversion"/>
  </si>
  <si>
    <t>20-45</t>
    <phoneticPr fontId="2" type="noConversion"/>
  </si>
  <si>
    <t>精神病医生（古典）</t>
    <phoneticPr fontId="2" type="noConversion"/>
  </si>
  <si>
    <t>10-60</t>
    <phoneticPr fontId="2" type="noConversion"/>
  </si>
  <si>
    <t>动物训练师</t>
    <phoneticPr fontId="2" type="noConversion"/>
  </si>
  <si>
    <t>建筑师</t>
    <phoneticPr fontId="2" type="noConversion"/>
  </si>
  <si>
    <t>8-20</t>
    <phoneticPr fontId="2" type="noConversion"/>
  </si>
  <si>
    <t>8-25</t>
    <phoneticPr fontId="2" type="noConversion"/>
  </si>
  <si>
    <t>猎人</t>
    <phoneticPr fontId="2" type="noConversion"/>
  </si>
  <si>
    <t>20-50</t>
    <phoneticPr fontId="2" type="noConversion"/>
  </si>
  <si>
    <t>20-40</t>
    <phoneticPr fontId="2" type="noConversion"/>
  </si>
  <si>
    <t>拳击手、摔跤手</t>
    <phoneticPr fontId="2" type="noConversion"/>
  </si>
  <si>
    <t>闪避，格斗（斗殴），恐吓，跳跃，心理学，侦查，任意两项其他个人或时代特长。</t>
    <phoneticPr fontId="2" type="noConversion"/>
  </si>
  <si>
    <t>管家、男仆、女仆</t>
    <phoneticPr fontId="2" type="noConversion"/>
  </si>
  <si>
    <t>神职人员</t>
    <phoneticPr fontId="2" type="noConversion"/>
  </si>
  <si>
    <t>黑客/骇客</t>
    <phoneticPr fontId="2" type="noConversion"/>
  </si>
  <si>
    <t>工匠</t>
    <phoneticPr fontId="2" type="noConversion"/>
  </si>
  <si>
    <t>罪犯-刺客</t>
    <phoneticPr fontId="2" type="noConversion"/>
  </si>
  <si>
    <t>5-75</t>
    <phoneticPr fontId="2" type="noConversion"/>
  </si>
  <si>
    <t>罪犯-打手、暴徒</t>
    <phoneticPr fontId="2" type="noConversion"/>
  </si>
  <si>
    <t>罪犯-窃贼</t>
    <phoneticPr fontId="2" type="noConversion"/>
  </si>
  <si>
    <t>5-40</t>
    <phoneticPr fontId="2" type="noConversion"/>
  </si>
  <si>
    <t>10-65</t>
    <phoneticPr fontId="2" type="noConversion"/>
  </si>
  <si>
    <t>罪犯-独行罪犯</t>
    <phoneticPr fontId="2" type="noConversion"/>
  </si>
  <si>
    <t>5-65</t>
    <phoneticPr fontId="2" type="noConversion"/>
  </si>
  <si>
    <t>罪犯-女飞贼（古典）</t>
    <phoneticPr fontId="2" type="noConversion"/>
  </si>
  <si>
    <t>10-80</t>
    <phoneticPr fontId="2" type="noConversion"/>
  </si>
  <si>
    <t>罪犯-赃物贩子</t>
    <phoneticPr fontId="2" type="noConversion"/>
  </si>
  <si>
    <t>罪犯-走私者</t>
    <phoneticPr fontId="2" type="noConversion"/>
  </si>
  <si>
    <t>教团首领</t>
    <phoneticPr fontId="2" type="noConversion"/>
  </si>
  <si>
    <t>除魅师（现代）</t>
    <phoneticPr fontId="2" type="noConversion"/>
  </si>
  <si>
    <t>设计师</t>
    <phoneticPr fontId="2" type="noConversion"/>
  </si>
  <si>
    <t>50-99</t>
    <phoneticPr fontId="2" type="noConversion"/>
  </si>
  <si>
    <t>潜水员</t>
    <phoneticPr fontId="2" type="noConversion"/>
  </si>
  <si>
    <t>潜水，急救，机械维修，驾驶（船），科学（生物），侦查，游泳，任意一项其他个人或时代特长。</t>
    <phoneticPr fontId="2" type="noConversion"/>
  </si>
  <si>
    <t>流浪者</t>
    <phoneticPr fontId="2" type="noConversion"/>
  </si>
  <si>
    <t>司机-出租车司机</t>
    <phoneticPr fontId="2" type="noConversion"/>
  </si>
  <si>
    <t>编辑</t>
    <phoneticPr fontId="2" type="noConversion"/>
  </si>
  <si>
    <t>10-30</t>
    <phoneticPr fontId="2" type="noConversion"/>
  </si>
  <si>
    <t>政府官员</t>
    <phoneticPr fontId="2" type="noConversion"/>
  </si>
  <si>
    <t>艺人</t>
    <phoneticPr fontId="2" type="noConversion"/>
  </si>
  <si>
    <t>探险家（古典）</t>
    <phoneticPr fontId="2" type="noConversion"/>
  </si>
  <si>
    <t>55-80</t>
    <phoneticPr fontId="2" type="noConversion"/>
  </si>
  <si>
    <t>农民</t>
    <phoneticPr fontId="2" type="noConversion"/>
  </si>
  <si>
    <t>司法人员</t>
    <phoneticPr fontId="2" type="noConversion"/>
  </si>
  <si>
    <t>汽车驾驶，格斗（斗殴），射击，法律，说服，潜行，侦查，任意一项其他个人或时代特长。</t>
    <phoneticPr fontId="2" type="noConversion"/>
  </si>
  <si>
    <t>驻外记者</t>
    <phoneticPr fontId="2" type="noConversion"/>
  </si>
  <si>
    <t>40-60</t>
    <phoneticPr fontId="2" type="noConversion"/>
  </si>
  <si>
    <t>8-50</t>
    <phoneticPr fontId="2" type="noConversion"/>
  </si>
  <si>
    <t>60-95</t>
    <phoneticPr fontId="2" type="noConversion"/>
  </si>
  <si>
    <t>绅士、淑女</t>
    <phoneticPr fontId="2" type="noConversion"/>
  </si>
  <si>
    <t>40-90</t>
    <phoneticPr fontId="2" type="noConversion"/>
  </si>
  <si>
    <t>勤杂护工</t>
    <phoneticPr fontId="2" type="noConversion"/>
  </si>
  <si>
    <t>6-15</t>
    <phoneticPr fontId="2" type="noConversion"/>
  </si>
  <si>
    <t>法官</t>
    <phoneticPr fontId="2" type="noConversion"/>
  </si>
  <si>
    <t>50-80</t>
    <phoneticPr fontId="2" type="noConversion"/>
  </si>
  <si>
    <t>历史，恐吓，法律，图书馆，聆听，母语，说服，心理学。</t>
    <phoneticPr fontId="2" type="noConversion"/>
  </si>
  <si>
    <t>实验室助理</t>
    <phoneticPr fontId="2" type="noConversion"/>
  </si>
  <si>
    <t>工人-伐木工</t>
    <phoneticPr fontId="2" type="noConversion"/>
  </si>
  <si>
    <t>工人-矿工</t>
    <phoneticPr fontId="2" type="noConversion"/>
  </si>
  <si>
    <t>律师</t>
    <phoneticPr fontId="2" type="noConversion"/>
  </si>
  <si>
    <t>9-35</t>
    <phoneticPr fontId="2" type="noConversion"/>
  </si>
  <si>
    <t>技师</t>
    <phoneticPr fontId="2" type="noConversion"/>
  </si>
  <si>
    <t>军官</t>
    <phoneticPr fontId="2" type="noConversion"/>
  </si>
  <si>
    <t>20-70</t>
    <phoneticPr fontId="2" type="noConversion"/>
  </si>
  <si>
    <t>传教士</t>
    <phoneticPr fontId="2" type="noConversion"/>
  </si>
  <si>
    <t>0-30</t>
    <phoneticPr fontId="2" type="noConversion"/>
  </si>
  <si>
    <t>登山家</t>
    <phoneticPr fontId="2" type="noConversion"/>
  </si>
  <si>
    <t>博物馆管理员</t>
    <phoneticPr fontId="2" type="noConversion"/>
  </si>
  <si>
    <t>会计，估价，考古，历史，图书馆，神秘学，外语，侦查。</t>
    <phoneticPr fontId="2" type="noConversion"/>
  </si>
  <si>
    <t>音乐家</t>
    <phoneticPr fontId="2" type="noConversion"/>
  </si>
  <si>
    <t>护士</t>
    <phoneticPr fontId="2" type="noConversion"/>
  </si>
  <si>
    <t>神秘学家</t>
    <phoneticPr fontId="2" type="noConversion"/>
  </si>
  <si>
    <t>9-65</t>
    <phoneticPr fontId="2" type="noConversion"/>
  </si>
  <si>
    <t>旅行家</t>
    <phoneticPr fontId="2" type="noConversion"/>
  </si>
  <si>
    <t>5-20</t>
    <phoneticPr fontId="2" type="noConversion"/>
  </si>
  <si>
    <t>超心理学家</t>
    <phoneticPr fontId="2" type="noConversion"/>
  </si>
  <si>
    <t>药剂师</t>
    <phoneticPr fontId="2" type="noConversion"/>
  </si>
  <si>
    <t>35-75</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</si>
  <si>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</si>
  <si>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</si>
  <si>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</si>
  <si>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</si>
  <si>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私家侦探</t>
    <phoneticPr fontId="2" type="noConversion"/>
  </si>
  <si>
    <t>图书馆，外语，母语，心理学，任意四项其他学术、时代或个人特长。</t>
    <phoneticPr fontId="2" type="noConversion"/>
  </si>
  <si>
    <t>淘金客</t>
    <phoneticPr fontId="2" type="noConversion"/>
  </si>
  <si>
    <t>0-10</t>
    <phoneticPr fontId="2" type="noConversion"/>
  </si>
  <si>
    <t>性工作者</t>
    <phoneticPr fontId="2" type="noConversion"/>
  </si>
  <si>
    <t>5-50</t>
    <phoneticPr fontId="2" type="noConversion"/>
  </si>
  <si>
    <t>精神病学家</t>
    <phoneticPr fontId="2" type="noConversion"/>
  </si>
  <si>
    <t>心理学家、精神分析学家</t>
    <phoneticPr fontId="2" type="noConversion"/>
  </si>
  <si>
    <t>会计，图书馆，聆听，说服，精神分析，心理学，任意两项其他学术、个人或时代特长。</t>
    <phoneticPr fontId="2" type="noConversion"/>
  </si>
  <si>
    <t>研究员</t>
    <phoneticPr fontId="2" type="noConversion"/>
  </si>
  <si>
    <t>海员-军舰海员</t>
    <phoneticPr fontId="2" type="noConversion"/>
  </si>
  <si>
    <t>电工或机械维修，格斗，射击，急救，导航，驾驶（船），生存（海上），游泳。</t>
    <phoneticPr fontId="2" type="noConversion"/>
  </si>
  <si>
    <t>海员-民船海员</t>
    <phoneticPr fontId="2" type="noConversion"/>
  </si>
  <si>
    <t>推销员</t>
    <phoneticPr fontId="2" type="noConversion"/>
  </si>
  <si>
    <t>科学家</t>
    <phoneticPr fontId="2" type="noConversion"/>
  </si>
  <si>
    <t>秘书</t>
    <phoneticPr fontId="2" type="noConversion"/>
  </si>
  <si>
    <t>店老板</t>
    <phoneticPr fontId="2" type="noConversion"/>
  </si>
  <si>
    <t>士兵、海军陆战队士兵</t>
    <phoneticPr fontId="2" type="noConversion"/>
  </si>
  <si>
    <t>攀爬或游泳，闪避，格斗，射击，潜行，生存，下面任选两项：急救、机械维修、外语。</t>
    <phoneticPr fontId="2" type="noConversion"/>
  </si>
  <si>
    <t>间谍</t>
    <phoneticPr fontId="2" type="noConversion"/>
  </si>
  <si>
    <t>学生、实习生</t>
    <phoneticPr fontId="2" type="noConversion"/>
  </si>
  <si>
    <t>5-10</t>
    <phoneticPr fontId="2" type="noConversion"/>
  </si>
  <si>
    <t>语言（母语或外语），图书馆，聆听，三个学习的专业，任意两项其他个人或时代特长。</t>
    <phoneticPr fontId="2" type="noConversion"/>
  </si>
  <si>
    <t>替身演员</t>
    <phoneticPr fontId="2" type="noConversion"/>
  </si>
  <si>
    <t>10-50</t>
    <phoneticPr fontId="2" type="noConversion"/>
  </si>
  <si>
    <t>部落成员</t>
    <phoneticPr fontId="2" type="noConversion"/>
  </si>
  <si>
    <t>殡葬师</t>
    <phoneticPr fontId="2" type="noConversion"/>
  </si>
  <si>
    <t>工会活动家</t>
    <phoneticPr fontId="2" type="noConversion"/>
  </si>
  <si>
    <t>服务生</t>
    <phoneticPr fontId="2" type="noConversion"/>
  </si>
  <si>
    <t>白领工人-职员、主管</t>
    <phoneticPr fontId="2" type="noConversion"/>
  </si>
  <si>
    <t>白领工人-中高层管理人员</t>
    <phoneticPr fontId="2" type="noConversion"/>
  </si>
  <si>
    <t>20-80</t>
    <phoneticPr fontId="2" type="noConversion"/>
  </si>
  <si>
    <t>狂热者</t>
    <phoneticPr fontId="2" type="noConversion"/>
  </si>
  <si>
    <t>饲养员</t>
    <phoneticPr fontId="2" type="noConversion"/>
  </si>
  <si>
    <t>0-15</t>
    <phoneticPr fontId="2" type="noConversion"/>
  </si>
  <si>
    <t>罪犯-赝造者</t>
    <phoneticPr fontId="2" type="noConversion"/>
  </si>
  <si>
    <t>鞭子</t>
    <phoneticPr fontId="2" type="noConversion"/>
  </si>
  <si>
    <t>电锯</t>
    <phoneticPr fontId="2" type="noConversion"/>
  </si>
  <si>
    <t>斧</t>
    <phoneticPr fontId="2" type="noConversion"/>
  </si>
  <si>
    <t>属性</t>
    <phoneticPr fontId="2" type="noConversion"/>
  </si>
  <si>
    <t>住地</t>
    <phoneticPr fontId="2" type="noConversion"/>
  </si>
  <si>
    <t>快速参考规则</t>
    <phoneticPr fontId="2" type="noConversion"/>
  </si>
  <si>
    <t>艺术家</t>
    <phoneticPr fontId="2" type="noConversion"/>
  </si>
  <si>
    <t>会计，法律，图书馆，聆听，说服，侦查，任意其他两项个人或时代特长。</t>
    <phoneticPr fontId="2" type="noConversion"/>
  </si>
  <si>
    <t>0/96+</t>
    <phoneticPr fontId="2" type="noConversion"/>
  </si>
  <si>
    <t>人类学</t>
  </si>
  <si>
    <t>估价</t>
  </si>
  <si>
    <t>考古学</t>
  </si>
  <si>
    <t>攀爬</t>
  </si>
  <si>
    <t>克苏鲁神话</t>
  </si>
  <si>
    <t>乔装</t>
  </si>
  <si>
    <t>闪避</t>
  </si>
  <si>
    <t>电气维修</t>
  </si>
  <si>
    <t>话术</t>
  </si>
  <si>
    <t>急救</t>
  </si>
  <si>
    <t>历史</t>
  </si>
  <si>
    <t>恐吓</t>
  </si>
  <si>
    <t>跳跃</t>
  </si>
  <si>
    <t>聆听</t>
    <phoneticPr fontId="2" type="noConversion"/>
  </si>
  <si>
    <t>锁匠</t>
    <phoneticPr fontId="2" type="noConversion"/>
  </si>
  <si>
    <t>机械维修</t>
    <phoneticPr fontId="2" type="noConversion"/>
  </si>
  <si>
    <t>医学</t>
    <phoneticPr fontId="2" type="noConversion"/>
  </si>
  <si>
    <t>神秘学</t>
    <phoneticPr fontId="2" type="noConversion"/>
  </si>
  <si>
    <t>操作重型机械</t>
    <phoneticPr fontId="2" type="noConversion"/>
  </si>
  <si>
    <t>精神分析</t>
    <phoneticPr fontId="2" type="noConversion"/>
  </si>
  <si>
    <t>心理学</t>
    <phoneticPr fontId="2" type="noConversion"/>
  </si>
  <si>
    <t>骑术</t>
    <phoneticPr fontId="2" type="noConversion"/>
  </si>
  <si>
    <t>追踪</t>
    <phoneticPr fontId="2" type="noConversion"/>
  </si>
  <si>
    <t>妙手</t>
    <phoneticPr fontId="2" type="noConversion"/>
  </si>
  <si>
    <t>潜行</t>
    <phoneticPr fontId="2" type="noConversion"/>
  </si>
  <si>
    <t>游泳</t>
    <phoneticPr fontId="2" type="noConversion"/>
  </si>
  <si>
    <t>投掷</t>
    <phoneticPr fontId="2" type="noConversion"/>
  </si>
  <si>
    <t>次数</t>
    <phoneticPr fontId="2" type="noConversion"/>
  </si>
  <si>
    <t>射程</t>
    <phoneticPr fontId="2" type="noConversion"/>
  </si>
  <si>
    <t>伤害</t>
    <phoneticPr fontId="2" type="noConversion"/>
  </si>
  <si>
    <t>意义非凡之地</t>
    <phoneticPr fontId="2" type="noConversion"/>
  </si>
  <si>
    <t>第三类接触</t>
    <phoneticPr fontId="2" type="noConversion"/>
  </si>
  <si>
    <t>调查员同伴</t>
    <phoneticPr fontId="2" type="noConversion"/>
  </si>
  <si>
    <t>弓</t>
    <phoneticPr fontId="2" type="noConversion"/>
  </si>
  <si>
    <t>步枪/霰弹枪</t>
    <phoneticPr fontId="2" type="noConversion"/>
  </si>
  <si>
    <t>1D3+DB</t>
    <phoneticPr fontId="2" type="noConversion"/>
  </si>
  <si>
    <t>调整值</t>
    <phoneticPr fontId="2" type="noConversion"/>
  </si>
  <si>
    <r>
      <t xml:space="preserve">力量
</t>
    </r>
    <r>
      <rPr>
        <sz val="8"/>
        <color theme="1"/>
        <rFont val="微软雅黑"/>
        <family val="2"/>
        <charset val="134"/>
      </rPr>
      <t>STR</t>
    </r>
    <phoneticPr fontId="2" type="noConversion"/>
  </si>
  <si>
    <r>
      <t xml:space="preserve">体质
</t>
    </r>
    <r>
      <rPr>
        <sz val="8"/>
        <color theme="1"/>
        <rFont val="微软雅黑"/>
        <family val="2"/>
        <charset val="134"/>
      </rPr>
      <t>CON</t>
    </r>
    <phoneticPr fontId="2" type="noConversion"/>
  </si>
  <si>
    <r>
      <t xml:space="preserve">敏捷
</t>
    </r>
    <r>
      <rPr>
        <sz val="8"/>
        <color theme="1"/>
        <rFont val="微软雅黑"/>
        <family val="2"/>
        <charset val="134"/>
      </rPr>
      <t>DEX</t>
    </r>
    <phoneticPr fontId="2" type="noConversion"/>
  </si>
  <si>
    <r>
      <t xml:space="preserve">伤害加值
</t>
    </r>
    <r>
      <rPr>
        <sz val="8"/>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</si>
  <si>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</si>
  <si>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t>宝贵之物</t>
    <phoneticPr fontId="2" type="noConversion"/>
  </si>
  <si>
    <t>思想与信念</t>
    <phoneticPr fontId="2" type="noConversion"/>
  </si>
  <si>
    <t>重要之人</t>
    <phoneticPr fontId="2" type="noConversion"/>
  </si>
  <si>
    <t>特质</t>
    <phoneticPr fontId="2" type="noConversion"/>
  </si>
  <si>
    <t>STR+SIZ</t>
    <phoneticPr fontId="2" type="noConversion"/>
  </si>
  <si>
    <t>DB</t>
    <phoneticPr fontId="2" type="noConversion"/>
  </si>
  <si>
    <t>错误</t>
    <phoneticPr fontId="2" type="noConversion"/>
  </si>
  <si>
    <t>技能名称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</si>
  <si>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</si>
  <si>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</si>
  <si>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</si>
  <si>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</si>
  <si>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</si>
  <si>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</si>
  <si>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</si>
  <si>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</si>
  <si>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</si>
  <si>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</si>
  <si>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</si>
  <si>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</si>
  <si>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</si>
  <si>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</si>
  <si>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</si>
  <si>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</si>
  <si>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</si>
  <si>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</si>
  <si>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</si>
  <si>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</si>
  <si>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</si>
  <si>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</si>
  <si>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</si>
  <si>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</si>
  <si>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</si>
  <si>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</si>
  <si>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</si>
  <si>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</si>
  <si>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</si>
  <si>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</si>
  <si>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</si>
  <si>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</si>
  <si>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</si>
  <si>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</si>
  <si>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</si>
  <si>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</si>
  <si>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</si>
  <si>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</si>
  <si>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</si>
  <si>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判断MOV</t>
    <phoneticPr fontId="2" type="noConversion"/>
  </si>
  <si>
    <t>信用评级</t>
    <phoneticPr fontId="2" type="noConversion"/>
  </si>
  <si>
    <t>会计</t>
    <phoneticPr fontId="2" type="noConversion"/>
  </si>
  <si>
    <t>图书馆使用</t>
    <phoneticPr fontId="2" type="noConversion"/>
  </si>
  <si>
    <t>SIZ</t>
    <phoneticPr fontId="2" type="noConversion"/>
  </si>
  <si>
    <t>STR&gt;SIZ?</t>
    <phoneticPr fontId="2" type="noConversion"/>
  </si>
  <si>
    <t>DEX&gt;SIZ?</t>
    <phoneticPr fontId="2" type="noConversion"/>
  </si>
  <si>
    <t>STR&lt;SIZ?</t>
    <phoneticPr fontId="2" type="noConversion"/>
  </si>
  <si>
    <t>DEX&lt;SIZ?</t>
    <phoneticPr fontId="2" type="noConversion"/>
  </si>
  <si>
    <t>MOV=8？</t>
    <phoneticPr fontId="2" type="noConversion"/>
  </si>
  <si>
    <t>最终结果</t>
    <phoneticPr fontId="2" type="noConversion"/>
  </si>
  <si>
    <t>调查员笔记</t>
    <phoneticPr fontId="2" type="noConversion"/>
  </si>
  <si>
    <t>弹药</t>
    <phoneticPr fontId="2" type="noConversion"/>
  </si>
  <si>
    <r>
      <t xml:space="preserve">闪避
</t>
    </r>
    <r>
      <rPr>
        <sz val="8"/>
        <color theme="1"/>
        <rFont val="微软雅黑"/>
        <family val="2"/>
        <charset val="134"/>
      </rPr>
      <t>Dodge</t>
    </r>
    <phoneticPr fontId="2" type="noConversion"/>
  </si>
  <si>
    <t>贯穿</t>
    <phoneticPr fontId="2" type="noConversion"/>
  </si>
  <si>
    <t>博物学</t>
    <phoneticPr fontId="2" type="noConversion"/>
  </si>
  <si>
    <t>☐</t>
  </si>
  <si>
    <t>音乐</t>
    <phoneticPr fontId="2" type="noConversion"/>
  </si>
  <si>
    <t>厨艺</t>
    <phoneticPr fontId="2" type="noConversion"/>
  </si>
  <si>
    <t>读唇</t>
    <phoneticPr fontId="2" type="noConversion"/>
  </si>
  <si>
    <t>绞索</t>
    <phoneticPr fontId="2" type="noConversion"/>
  </si>
  <si>
    <r>
      <t xml:space="preserve">外貌
</t>
    </r>
    <r>
      <rPr>
        <sz val="8"/>
        <color theme="1"/>
        <rFont val="微软雅黑"/>
        <family val="2"/>
        <charset val="134"/>
      </rPr>
      <t>APP</t>
    </r>
    <phoneticPr fontId="2" type="noConversion"/>
  </si>
  <si>
    <t>药学</t>
    <phoneticPr fontId="2" type="noConversion"/>
  </si>
  <si>
    <t>—————————资产—————————</t>
    <phoneticPr fontId="2" type="noConversion"/>
  </si>
  <si>
    <t>—————————战斗—————————</t>
    <phoneticPr fontId="2" type="noConversion"/>
  </si>
  <si>
    <t>—————————技能—————————</t>
    <phoneticPr fontId="2" type="noConversion"/>
  </si>
  <si>
    <t>————————背景故事————————</t>
    <phoneticPr fontId="2" type="noConversion"/>
  </si>
  <si>
    <t>————————————————————</t>
    <phoneticPr fontId="2" type="noConversion"/>
  </si>
  <si>
    <t>写作</t>
    <phoneticPr fontId="2" type="noConversion"/>
  </si>
  <si>
    <t>表演</t>
    <phoneticPr fontId="2" type="noConversion"/>
  </si>
  <si>
    <t>木匠</t>
    <phoneticPr fontId="2" type="noConversion"/>
  </si>
  <si>
    <t>莫里斯舞蹈</t>
    <phoneticPr fontId="2" type="noConversion"/>
  </si>
  <si>
    <t>粉刷/油漆工</t>
    <phoneticPr fontId="2" type="noConversion"/>
  </si>
  <si>
    <t>雕塑</t>
    <phoneticPr fontId="2" type="noConversion"/>
  </si>
  <si>
    <t>书法</t>
    <phoneticPr fontId="2" type="noConversion"/>
  </si>
  <si>
    <t>理发</t>
    <phoneticPr fontId="2" type="noConversion"/>
  </si>
  <si>
    <t>舞蹈</t>
    <phoneticPr fontId="2" type="noConversion"/>
  </si>
  <si>
    <t>歌剧演唱</t>
    <phoneticPr fontId="2" type="noConversion"/>
  </si>
  <si>
    <t>制陶</t>
    <phoneticPr fontId="2" type="noConversion"/>
  </si>
  <si>
    <t>艺术与手艺</t>
    <phoneticPr fontId="2" type="noConversion"/>
  </si>
  <si>
    <t>司法科学</t>
    <phoneticPr fontId="2" type="noConversion"/>
  </si>
  <si>
    <t>伪造文书</t>
    <phoneticPr fontId="2" type="noConversion"/>
  </si>
  <si>
    <t>爆破</t>
    <phoneticPr fontId="2" type="noConversion"/>
  </si>
  <si>
    <t>炮术</t>
    <phoneticPr fontId="2" type="noConversion"/>
  </si>
  <si>
    <t>潜水</t>
    <phoneticPr fontId="2" type="noConversion"/>
  </si>
  <si>
    <t>徒手格斗</t>
    <phoneticPr fontId="2" type="noConversion"/>
  </si>
  <si>
    <t>Produced by Lost_Akiba   果园ID：秋叶EXODUS    群号：228689392</t>
    <phoneticPr fontId="2" type="noConversion"/>
  </si>
  <si>
    <t>与1</t>
    <phoneticPr fontId="2" type="noConversion"/>
  </si>
  <si>
    <t>与2</t>
    <phoneticPr fontId="2" type="noConversion"/>
  </si>
  <si>
    <t>非3</t>
    <phoneticPr fontId="2" type="noConversion"/>
  </si>
  <si>
    <t>MOV=9？</t>
    <phoneticPr fontId="2" type="noConversion"/>
  </si>
  <si>
    <t>MOV=7？</t>
    <phoneticPr fontId="2" type="noConversion"/>
  </si>
  <si>
    <t>催眠</t>
    <phoneticPr fontId="2" type="noConversion"/>
  </si>
  <si>
    <t>×</t>
  </si>
  <si>
    <t>机枪</t>
    <phoneticPr fontId="2" type="noConversion"/>
  </si>
  <si>
    <t>2</t>
    <phoneticPr fontId="2" type="noConversion"/>
  </si>
  <si>
    <t>生活水平</t>
    <phoneticPr fontId="2" type="noConversion"/>
  </si>
  <si>
    <t>现金</t>
    <phoneticPr fontId="2" type="noConversion"/>
  </si>
  <si>
    <t>其它资产</t>
    <phoneticPr fontId="2" type="noConversion"/>
  </si>
  <si>
    <t>消费水平</t>
    <phoneticPr fontId="2" type="noConversion"/>
  </si>
  <si>
    <t>贫穷</t>
    <phoneticPr fontId="2" type="noConversion"/>
  </si>
  <si>
    <t>标准</t>
    <phoneticPr fontId="2" type="noConversion"/>
  </si>
  <si>
    <t>小康</t>
    <phoneticPr fontId="2" type="noConversion"/>
  </si>
  <si>
    <t>富裕</t>
    <phoneticPr fontId="2" type="noConversion"/>
  </si>
  <si>
    <t>1-9</t>
    <phoneticPr fontId="2" type="noConversion"/>
  </si>
  <si>
    <t>10-49</t>
    <phoneticPr fontId="2" type="noConversion"/>
  </si>
  <si>
    <t>0</t>
    <phoneticPr fontId="2" type="noConversion"/>
  </si>
  <si>
    <t>50-89</t>
    <phoneticPr fontId="2" type="noConversion"/>
  </si>
  <si>
    <t>90-98</t>
    <phoneticPr fontId="2" type="noConversion"/>
  </si>
  <si>
    <t>99</t>
    <phoneticPr fontId="2" type="noConversion"/>
  </si>
  <si>
    <t>CR × 1</t>
    <phoneticPr fontId="2" type="noConversion"/>
  </si>
  <si>
    <t>CR × 10</t>
    <phoneticPr fontId="2" type="noConversion"/>
  </si>
  <si>
    <t>0.5</t>
    <phoneticPr fontId="2" type="noConversion"/>
  </si>
  <si>
    <t>CR × 2</t>
    <phoneticPr fontId="2" type="noConversion"/>
  </si>
  <si>
    <t>CR × 5</t>
    <phoneticPr fontId="2" type="noConversion"/>
  </si>
  <si>
    <t>CR × 20</t>
    <phoneticPr fontId="2" type="noConversion"/>
  </si>
  <si>
    <t>50000</t>
    <phoneticPr fontId="2" type="noConversion"/>
  </si>
  <si>
    <t>CR × 50</t>
    <phoneticPr fontId="2" type="noConversion"/>
  </si>
  <si>
    <t>CR × 500</t>
    <phoneticPr fontId="2" type="noConversion"/>
  </si>
  <si>
    <t>CR × 2000</t>
    <phoneticPr fontId="2" type="noConversion"/>
  </si>
  <si>
    <t>5M+</t>
    <phoneticPr fontId="2" type="noConversion"/>
  </si>
  <si>
    <t>10</t>
    <phoneticPr fontId="2" type="noConversion"/>
  </si>
  <si>
    <t>50</t>
    <phoneticPr fontId="2" type="noConversion"/>
  </si>
  <si>
    <t>250</t>
    <phoneticPr fontId="2" type="noConversion"/>
  </si>
  <si>
    <t>5000</t>
    <phoneticPr fontId="2" type="noConversion"/>
  </si>
  <si>
    <t xml:space="preserve">   1920s 美国($)</t>
    <phoneticPr fontId="2" type="noConversion"/>
  </si>
  <si>
    <t>CR × 40</t>
    <phoneticPr fontId="2" type="noConversion"/>
  </si>
  <si>
    <t>CR × 100</t>
    <phoneticPr fontId="2" type="noConversion"/>
  </si>
  <si>
    <t>CR × 200</t>
    <phoneticPr fontId="2" type="noConversion"/>
  </si>
  <si>
    <t>1M</t>
    <phoneticPr fontId="2" type="noConversion"/>
  </si>
  <si>
    <t>CR × 1000</t>
    <phoneticPr fontId="2" type="noConversion"/>
  </si>
  <si>
    <t>CR × 10000</t>
    <phoneticPr fontId="2" type="noConversion"/>
  </si>
  <si>
    <t>CR × 40000</t>
    <phoneticPr fontId="2" type="noConversion"/>
  </si>
  <si>
    <t>100M+</t>
    <phoneticPr fontId="2" type="noConversion"/>
  </si>
  <si>
    <t>40</t>
    <phoneticPr fontId="2" type="noConversion"/>
  </si>
  <si>
    <t>200</t>
    <phoneticPr fontId="2" type="noConversion"/>
  </si>
  <si>
    <t>1000</t>
    <phoneticPr fontId="2" type="noConversion"/>
  </si>
  <si>
    <t>100000</t>
    <phoneticPr fontId="2" type="noConversion"/>
  </si>
  <si>
    <t xml:space="preserve">   维多利亚时代 英国(￡)</t>
    <phoneticPr fontId="2" type="noConversion"/>
  </si>
  <si>
    <t>5先令</t>
    <phoneticPr fontId="2" type="noConversion"/>
  </si>
  <si>
    <t>5便士</t>
    <phoneticPr fontId="2" type="noConversion"/>
  </si>
  <si>
    <t>CR × 12</t>
    <phoneticPr fontId="2" type="noConversion"/>
  </si>
  <si>
    <t>150000</t>
    <phoneticPr fontId="2" type="noConversion"/>
  </si>
  <si>
    <t>300000+</t>
    <phoneticPr fontId="2" type="noConversion"/>
  </si>
  <si>
    <t>20先令</t>
    <phoneticPr fontId="2" type="noConversion"/>
  </si>
  <si>
    <t>15</t>
    <phoneticPr fontId="2" type="noConversion"/>
  </si>
  <si>
    <r>
      <t>来自泡泡百科的</t>
    </r>
    <r>
      <rPr>
        <b/>
        <sz val="11"/>
        <color rgb="FFFF0000"/>
        <rFont val="微软雅黑"/>
        <family val="2"/>
        <charset val="134"/>
      </rPr>
      <t>房规</t>
    </r>
    <r>
      <rPr>
        <sz val="11"/>
        <rFont val="微软雅黑"/>
        <family val="2"/>
        <charset val="134"/>
      </rPr>
      <t>。</t>
    </r>
    <phoneticPr fontId="2" type="noConversion"/>
  </si>
  <si>
    <t>100</t>
    <phoneticPr fontId="2" type="noConversion"/>
  </si>
  <si>
    <t>CR × 3000</t>
    <phoneticPr fontId="2" type="noConversion"/>
  </si>
  <si>
    <t>100万</t>
    <phoneticPr fontId="2" type="noConversion"/>
  </si>
  <si>
    <t>CR × 5000</t>
    <phoneticPr fontId="2" type="noConversion"/>
  </si>
  <si>
    <t>CR × 4万</t>
    <phoneticPr fontId="2" type="noConversion"/>
  </si>
  <si>
    <t>CR × 25万</t>
    <phoneticPr fontId="2" type="noConversion"/>
  </si>
  <si>
    <t>10亿+</t>
    <phoneticPr fontId="2" type="noConversion"/>
  </si>
  <si>
    <t>2万</t>
    <phoneticPr fontId="2" type="noConversion"/>
  </si>
  <si>
    <t>10万</t>
    <phoneticPr fontId="2" type="noConversion"/>
  </si>
  <si>
    <t>30M</t>
    <phoneticPr fontId="2" type="noConversion"/>
  </si>
  <si>
    <t>CR × 2K</t>
    <phoneticPr fontId="2" type="noConversion"/>
  </si>
  <si>
    <t>CR × 4K</t>
    <phoneticPr fontId="2" type="noConversion"/>
  </si>
  <si>
    <t>CR × 12K</t>
    <phoneticPr fontId="2" type="noConversion"/>
  </si>
  <si>
    <t>CR × 75K</t>
    <phoneticPr fontId="2" type="noConversion"/>
  </si>
  <si>
    <t>CR × 20K</t>
    <phoneticPr fontId="2" type="noConversion"/>
  </si>
  <si>
    <t>CR × 150K</t>
    <phoneticPr fontId="2" type="noConversion"/>
  </si>
  <si>
    <t>CR × 1M</t>
    <phoneticPr fontId="2" type="noConversion"/>
  </si>
  <si>
    <t>CR × 6M</t>
    <phoneticPr fontId="2" type="noConversion"/>
  </si>
  <si>
    <t>30B+</t>
    <phoneticPr fontId="2" type="noConversion"/>
  </si>
  <si>
    <t>500</t>
    <phoneticPr fontId="2" type="noConversion"/>
  </si>
  <si>
    <t>2K</t>
    <phoneticPr fontId="2" type="noConversion"/>
  </si>
  <si>
    <t>25K</t>
    <phoneticPr fontId="2" type="noConversion"/>
  </si>
  <si>
    <t>100K</t>
    <phoneticPr fontId="2" type="noConversion"/>
  </si>
  <si>
    <t>500K</t>
    <phoneticPr fontId="2" type="noConversion"/>
  </si>
  <si>
    <t>2M</t>
    <phoneticPr fontId="2" type="noConversion"/>
  </si>
  <si>
    <t>来自核心规则。</t>
    <phoneticPr fontId="2" type="noConversion"/>
  </si>
  <si>
    <t>来自扩展书克苏鲁煤气灯。
12便士=1先令；20先令=1英镑(￡)</t>
    <phoneticPr fontId="2" type="noConversion"/>
  </si>
  <si>
    <t>2磅10先令</t>
    <phoneticPr fontId="2" type="noConversion"/>
  </si>
  <si>
    <t>01</t>
    <phoneticPr fontId="2" type="noConversion"/>
  </si>
  <si>
    <t>形象描述</t>
    <phoneticPr fontId="2" type="noConversion"/>
  </si>
  <si>
    <t>临时性</t>
    <phoneticPr fontId="2" type="noConversion"/>
  </si>
  <si>
    <t>不定性</t>
    <phoneticPr fontId="2" type="noConversion"/>
  </si>
  <si>
    <t>☐</t>
    <phoneticPr fontId="2" type="noConversion"/>
  </si>
  <si>
    <r>
      <t xml:space="preserve">移动
</t>
    </r>
    <r>
      <rPr>
        <sz val="8"/>
        <color theme="1"/>
        <rFont val="微软雅黑"/>
        <family val="2"/>
        <charset val="134"/>
      </rPr>
      <t>MOV</t>
    </r>
    <phoneticPr fontId="2" type="noConversion"/>
  </si>
  <si>
    <t>成长</t>
    <phoneticPr fontId="2" type="noConversion"/>
  </si>
  <si>
    <r>
      <rPr>
        <sz val="10"/>
        <color theme="1"/>
        <rFont val="微软雅黑"/>
        <family val="2"/>
        <charset val="134"/>
      </rPr>
      <t>教育</t>
    </r>
    <r>
      <rPr>
        <sz val="8"/>
        <color theme="1"/>
        <rFont val="微软雅黑"/>
        <family val="2"/>
        <charset val="134"/>
      </rPr>
      <t xml:space="preserve">
EDU</t>
    </r>
    <phoneticPr fontId="2" type="noConversion"/>
  </si>
  <si>
    <r>
      <t xml:space="preserve">意志
</t>
    </r>
    <r>
      <rPr>
        <sz val="8"/>
        <color theme="1"/>
        <rFont val="微软雅黑"/>
        <family val="2"/>
        <charset val="134"/>
      </rPr>
      <t>POW</t>
    </r>
    <phoneticPr fontId="2" type="noConversion"/>
  </si>
  <si>
    <t>自动属性掷骰</t>
    <phoneticPr fontId="2" type="noConversion"/>
  </si>
  <si>
    <t>在开始之前……</t>
    <phoneticPr fontId="2" type="noConversion"/>
  </si>
  <si>
    <t>出身</t>
    <phoneticPr fontId="2" type="noConversion"/>
  </si>
  <si>
    <r>
      <t xml:space="preserve">幸运
</t>
    </r>
    <r>
      <rPr>
        <sz val="8"/>
        <color theme="1"/>
        <rFont val="微软雅黑"/>
        <family val="2"/>
        <charset val="134"/>
      </rPr>
      <t>Luck</t>
    </r>
    <phoneticPr fontId="2" type="noConversion"/>
  </si>
  <si>
    <t>伤害加值</t>
    <phoneticPr fontId="2" type="noConversion"/>
  </si>
  <si>
    <t>体格</t>
    <phoneticPr fontId="2" type="noConversion"/>
  </si>
  <si>
    <t>移动</t>
    <phoneticPr fontId="2" type="noConversion"/>
  </si>
  <si>
    <t xml:space="preserve">   现代(1990+) 美国($)</t>
    <phoneticPr fontId="2" type="noConversion"/>
  </si>
  <si>
    <t xml:space="preserve">   2010s 日本(￥)</t>
    <phoneticPr fontId="2" type="noConversion"/>
  </si>
  <si>
    <t xml:space="preserve">   2010s 中国(￥)</t>
    <phoneticPr fontId="2" type="noConversion"/>
  </si>
  <si>
    <t>不多于8个本职技能。使用自定义职业前，请先咨询你的守秘人。请在左侧的职业属性中选择你想要的本职技能点计算方式，默认为教育×4。</t>
    <phoneticPr fontId="2" type="noConversion"/>
  </si>
  <si>
    <t>汽车驾驶</t>
    <phoneticPr fontId="2" type="noConversion"/>
  </si>
  <si>
    <t>最后……</t>
    <phoneticPr fontId="2" type="noConversion"/>
  </si>
  <si>
    <t>点击这里返回“建卡”标签。</t>
    <phoneticPr fontId="2" type="noConversion"/>
  </si>
  <si>
    <t>会计，技艺（技术制图），法律，母语，计算机或图书馆，说服，心理学，科学（数学）。</t>
    <phoneticPr fontId="2" type="noConversion"/>
  </si>
  <si>
    <t>技艺（文学），历史，图书馆，博物学或神秘学，外语，母语，心理学，任意一项其他个人或时代特长。</t>
    <phoneticPr fontId="2" type="noConversion"/>
  </si>
  <si>
    <t>射击，聆听或侦查，博物学，导航，外语或生存（任一），科学（生物学或植物学），潜行，追踪。</t>
    <phoneticPr fontId="2" type="noConversion"/>
  </si>
  <si>
    <t>计算机，电气维修，电子学、图书馆，科学（数学），侦查，任意两项其他个人或时代特长。</t>
    <phoneticPr fontId="2" type="noConversion"/>
  </si>
  <si>
    <t>闪避，格斗或射击，急救或博物学，跳跃，骑乘，生存（任一），投掷，追踪。</t>
    <phoneticPr fontId="2" type="noConversion"/>
  </si>
  <si>
    <t>会计，技艺（任二），机械维修，博物学，侦查，任意两项其他个人或时代特长。</t>
    <phoneticPr fontId="2" type="noConversion"/>
  </si>
  <si>
    <t>乔装，电气维修，格斗，射击，锁匠，机械维修，潜行，心理学。</t>
    <phoneticPr fontId="2" type="noConversion"/>
  </si>
  <si>
    <t>汽车驾驶，电气维修或机械维修，格斗，射击，恐吓，锁匠，操作重型机械，任意一项其他个人或时代特长。</t>
    <phoneticPr fontId="2" type="noConversion"/>
  </si>
  <si>
    <t>估价，攀爬，电气维修或机械维修，聆听，锁匠，妙手，潜行，侦查。</t>
    <phoneticPr fontId="2" type="noConversion"/>
  </si>
  <si>
    <t>会计，估价，技艺（伪造），历史，图书馆，侦查，妙手，任意一项其他个人或时代特长（如计算机）。</t>
    <phoneticPr fontId="2" type="noConversion"/>
  </si>
  <si>
    <t>会计，技艺（摄影），技艺（任一），计算机或图书馆，机械维修，心理学，侦查，任意一项其他个人特长。</t>
    <phoneticPr fontId="2" type="noConversion"/>
  </si>
  <si>
    <t>急救、医学、外语（拉丁文）、心理学、科学（生物学，制药），任两种其他学术或个人特长。</t>
    <phoneticPr fontId="2" type="noConversion"/>
  </si>
  <si>
    <t>会计，汽车驾驶，电气维修，话术，机械维修，导航，侦查，任意一项其他个人或时代特长。</t>
    <phoneticPr fontId="2" type="noConversion"/>
  </si>
  <si>
    <t>技艺（技术制图），电气维修，图书馆，机械维修，操作重型机械，科学（工程学，物理），任意一项其他个人或时代特长。</t>
    <phoneticPr fontId="2" type="noConversion"/>
  </si>
  <si>
    <t>攀爬或游泳，射击，历史，跳跃，博物学，导航，外语，生存。</t>
    <phoneticPr fontId="2" type="noConversion"/>
  </si>
  <si>
    <t>外语（拉丁文），图书馆，医学，说服，科学（生物学，鉴证，制药），侦查。</t>
    <phoneticPr fontId="2" type="noConversion"/>
  </si>
  <si>
    <t>技艺（任一），攀爬，跳跃，聆听，锁匠或妙手，导航，潜行，任意一项其他个人或时代特长。</t>
    <phoneticPr fontId="2" type="noConversion"/>
  </si>
  <si>
    <t>计算机或图书馆，电气维修，外语，科学（化学和任意两项），侦查，任意一项其他个人特长。</t>
    <phoneticPr fontId="2" type="noConversion"/>
  </si>
  <si>
    <t>工人-非熟练工人</t>
    <phoneticPr fontId="2" type="noConversion"/>
  </si>
  <si>
    <t>汽车驾驶，电气维修，格斗，急救，机械维修，操作重型机械，投掷，任意一项其他个人或时代特长。</t>
    <phoneticPr fontId="2" type="noConversion"/>
  </si>
  <si>
    <t>攀爬，闪避，格斗（链锯），急救，跳跃，机械维修，博物学或科学（生物学或植物学），投掷。</t>
    <phoneticPr fontId="2" type="noConversion"/>
  </si>
  <si>
    <t>攀爬，科学（地质），跳跃，机械维修，操作重型机械，潜行，侦查，任意一项其他个人或时代特长。</t>
    <phoneticPr fontId="2" type="noConversion"/>
  </si>
  <si>
    <t>会计，图书馆，外语，母语，任意四项其他个人特长或专业书籍主题。</t>
    <phoneticPr fontId="2" type="noConversion"/>
  </si>
  <si>
    <t>技艺（木工、焊接、管道工等），攀爬，汽车驾驶，电气维修，机械维修，操作重型机械，任意两项其他个人或时代或技术特长。</t>
    <phoneticPr fontId="2" type="noConversion"/>
  </si>
  <si>
    <t>攀爬，急救，跳跃，聆听，导航，外语，生存（阿尔卑斯或类似），追踪。</t>
    <phoneticPr fontId="2" type="noConversion"/>
  </si>
  <si>
    <t>射击，急救，聆听，博物学，导航，侦查，生存（任一），追踪。</t>
    <phoneticPr fontId="2" type="noConversion"/>
  </si>
  <si>
    <t>人类学，技艺（摄影），历史，图书馆，神秘学，外语，心理学，任意一项其他个人或时代特长。</t>
    <phoneticPr fontId="2" type="noConversion"/>
  </si>
  <si>
    <t>电气维修，机械维修，导航，操作重型机械，驾驶（飞行器），科学（天文），任意两项其他个人或时代特长。</t>
    <phoneticPr fontId="2" type="noConversion"/>
  </si>
  <si>
    <t>会计，电气维修，聆听，机械维修，导航，驾驶（飞行器），侦查，任意一项其他个人或时代特长。</t>
    <phoneticPr fontId="2" type="noConversion"/>
  </si>
  <si>
    <t>攀爬、急救、历史、机械维修、导航、科学（地质），侦查，任意一项其他个人或时代特长。</t>
    <phoneticPr fontId="2" type="noConversion"/>
  </si>
  <si>
    <t>攀爬，闪避，电气维修或机械维修，格斗，急救，跳跃，游泳，下面任选一项：潜水、汽车驾驶、驾驶（任一），骑乘。</t>
    <phoneticPr fontId="2" type="noConversion"/>
  </si>
  <si>
    <t>攀爬，格斗或投掷，聆听，博物学，神秘学，侦查，游泳，生存（任一）。</t>
    <phoneticPr fontId="2" type="noConversion"/>
  </si>
  <si>
    <r>
      <rPr>
        <b/>
        <sz val="12"/>
        <color theme="1"/>
        <rFont val="微软雅黑"/>
        <family val="2"/>
        <charset val="134"/>
      </rPr>
      <t>←点这个箭头</t>
    </r>
    <r>
      <rPr>
        <sz val="12"/>
        <color theme="1"/>
        <rFont val="微软雅黑"/>
        <family val="2"/>
        <charset val="134"/>
      </rPr>
      <t>，将滚动条拉到最底部，</t>
    </r>
    <r>
      <rPr>
        <b/>
        <sz val="12"/>
        <color rgb="FFC00000"/>
        <rFont val="微软雅黑"/>
        <family val="2"/>
        <charset val="134"/>
      </rPr>
      <t>去掉</t>
    </r>
    <r>
      <rPr>
        <sz val="12"/>
        <color theme="1"/>
        <rFont val="微软雅黑"/>
        <family val="2"/>
        <charset val="134"/>
      </rPr>
      <t>(空白)前的</t>
    </r>
    <r>
      <rPr>
        <b/>
        <sz val="12"/>
        <color rgb="FFC00000"/>
        <rFont val="微软雅黑"/>
        <family val="2"/>
        <charset val="134"/>
      </rPr>
      <t>复选框</t>
    </r>
    <r>
      <rPr>
        <sz val="12"/>
        <color theme="1"/>
        <rFont val="微软雅黑"/>
        <family val="2"/>
        <charset val="134"/>
      </rPr>
      <t>，点确定。</t>
    </r>
    <phoneticPr fontId="2" type="noConversion"/>
  </si>
  <si>
    <t>选中整个B列，复制，粘贴至txt文档中即可。</t>
    <phoneticPr fontId="2" type="noConversion"/>
  </si>
  <si>
    <t>————————装备和道具———————</t>
    <phoneticPr fontId="2" type="noConversion"/>
  </si>
  <si>
    <t>孤注一掷：使用孤注一掷来重掷上一次检定结果，需要合理地解释重掷原因，战斗和理智检定不能执行孤注一掷。</t>
    <phoneticPr fontId="2" type="noConversion"/>
  </si>
  <si>
    <t>非常规技能</t>
    <phoneticPr fontId="2" type="noConversion"/>
  </si>
  <si>
    <t>侦查</t>
    <phoneticPr fontId="2" type="noConversion"/>
  </si>
  <si>
    <t>豪富</t>
    <phoneticPr fontId="2" type="noConversion"/>
  </si>
  <si>
    <t>赤贫</t>
    <phoneticPr fontId="2" type="noConversion"/>
  </si>
  <si>
    <t>取悦</t>
    <phoneticPr fontId="2" type="noConversion"/>
  </si>
  <si>
    <t>导航</t>
    <phoneticPr fontId="2" type="noConversion"/>
  </si>
  <si>
    <t>极限</t>
    <phoneticPr fontId="2" type="noConversion"/>
  </si>
  <si>
    <t>智力INT
灵感idea</t>
    <phoneticPr fontId="2" type="noConversion"/>
  </si>
  <si>
    <t>角色卡模板</t>
    <phoneticPr fontId="2" type="noConversion"/>
  </si>
  <si>
    <t>1920s</t>
    <phoneticPr fontId="2" type="noConversion"/>
  </si>
  <si>
    <t>现代</t>
    <phoneticPr fontId="2" type="noConversion"/>
  </si>
  <si>
    <t>PULP</t>
    <phoneticPr fontId="2" type="noConversion"/>
  </si>
  <si>
    <t>黑暗时代</t>
    <phoneticPr fontId="2" type="noConversion"/>
  </si>
  <si>
    <t>来源</t>
    <phoneticPr fontId="2" type="noConversion"/>
  </si>
  <si>
    <t>守秘人规则书</t>
    <phoneticPr fontId="2" type="noConversion"/>
  </si>
  <si>
    <t>通俗克苏鲁</t>
    <phoneticPr fontId="2" type="noConversion"/>
  </si>
  <si>
    <t>克苏鲁黑暗时代</t>
    <phoneticPr fontId="2" type="noConversion"/>
  </si>
  <si>
    <t>操纵船只</t>
  </si>
  <si>
    <t>察言观色</t>
  </si>
  <si>
    <t>导航</t>
  </si>
  <si>
    <t>动物驯养</t>
  </si>
  <si>
    <t>电子学</t>
    <phoneticPr fontId="2" type="noConversion"/>
  </si>
  <si>
    <t>会计</t>
  </si>
  <si>
    <t>聆听</t>
  </si>
  <si>
    <t>计算机使用</t>
    <phoneticPr fontId="2" type="noConversion"/>
  </si>
  <si>
    <t>马车/牛车驾驶</t>
  </si>
  <si>
    <t>妙手</t>
  </si>
  <si>
    <t>骑术</t>
  </si>
  <si>
    <t>潜行</t>
  </si>
  <si>
    <t>取悦</t>
  </si>
  <si>
    <t>神秘学</t>
  </si>
  <si>
    <t>说服</t>
  </si>
  <si>
    <t>投掷</t>
  </si>
  <si>
    <t>图书馆使用</t>
  </si>
  <si>
    <t>维修/发明</t>
  </si>
  <si>
    <t>医学</t>
  </si>
  <si>
    <t>游泳</t>
  </si>
  <si>
    <t>侦查</t>
  </si>
  <si>
    <t>追踪</t>
  </si>
  <si>
    <t>专攻1</t>
    <phoneticPr fontId="2" type="noConversion"/>
  </si>
  <si>
    <t>技艺</t>
    <phoneticPr fontId="2" type="noConversion"/>
  </si>
  <si>
    <t>专攻2</t>
  </si>
  <si>
    <t>专攻3</t>
  </si>
  <si>
    <t>专攻4</t>
  </si>
  <si>
    <t>专攻5</t>
  </si>
  <si>
    <t>专攻6</t>
  </si>
  <si>
    <t>专攻7</t>
  </si>
  <si>
    <t>专攻8</t>
  </si>
  <si>
    <t>专攻9</t>
  </si>
  <si>
    <t>专攻10</t>
  </si>
  <si>
    <t>语言</t>
    <phoneticPr fontId="2" type="noConversion"/>
  </si>
  <si>
    <t>专攻11</t>
  </si>
  <si>
    <t>专攻12</t>
  </si>
  <si>
    <t>母语</t>
    <phoneticPr fontId="2" type="noConversion"/>
  </si>
  <si>
    <t>专攻13</t>
  </si>
  <si>
    <t>操纵</t>
    <phoneticPr fontId="2" type="noConversion"/>
  </si>
  <si>
    <t>地位</t>
    <phoneticPr fontId="2" type="noConversion"/>
  </si>
  <si>
    <t>专攻14</t>
  </si>
  <si>
    <t>专攻15</t>
  </si>
  <si>
    <t>专攻16</t>
  </si>
  <si>
    <t>专攻17</t>
  </si>
  <si>
    <t>生存</t>
    <phoneticPr fontId="2" type="noConversion"/>
  </si>
  <si>
    <t>专攻18</t>
  </si>
  <si>
    <t>专攻19</t>
  </si>
  <si>
    <t>专攻20</t>
  </si>
  <si>
    <t>专攻21</t>
  </si>
  <si>
    <t>提示信息</t>
    <phoneticPr fontId="2" type="noConversion"/>
  </si>
  <si>
    <t>当前选择</t>
    <phoneticPr fontId="2" type="noConversion"/>
  </si>
  <si>
    <t>本国</t>
    <phoneticPr fontId="2" type="noConversion"/>
  </si>
  <si>
    <t>外邦</t>
    <phoneticPr fontId="2" type="noConversion"/>
  </si>
  <si>
    <t>起始</t>
    <phoneticPr fontId="2" type="noConversion"/>
  </si>
  <si>
    <t>典籍、法术和神话造物</t>
    <phoneticPr fontId="2" type="noConversion"/>
  </si>
  <si>
    <t>1890s</t>
    <phoneticPr fontId="2" type="noConversion"/>
  </si>
  <si>
    <t>未来时代</t>
    <phoneticPr fontId="2" type="noConversion"/>
  </si>
  <si>
    <t>克苏鲁煤气灯</t>
    <phoneticPr fontId="2" type="noConversion"/>
  </si>
  <si>
    <t>克苏鲁伊卡洛斯</t>
    <phoneticPr fontId="2" type="noConversion"/>
  </si>
  <si>
    <t>信用评级</t>
  </si>
  <si>
    <t>马车驾驶</t>
  </si>
  <si>
    <t>法律</t>
  </si>
  <si>
    <t>锁匠</t>
  </si>
  <si>
    <t>机械维修</t>
  </si>
  <si>
    <t>博物学</t>
  </si>
  <si>
    <t>操作重型机械</t>
  </si>
  <si>
    <t>心理学</t>
  </si>
  <si>
    <t>时空穿梭</t>
    <phoneticPr fontId="2" type="noConversion"/>
  </si>
  <si>
    <t>计算机维护</t>
  </si>
  <si>
    <t>爆破</t>
  </si>
  <si>
    <t>电子学</t>
  </si>
  <si>
    <t>精神分析</t>
  </si>
  <si>
    <t>读唇</t>
  </si>
  <si>
    <t>系统操作</t>
  </si>
  <si>
    <t>技术维修</t>
  </si>
  <si>
    <t>零重力</t>
  </si>
  <si>
    <t>驾驶</t>
    <phoneticPr fontId="2" type="noConversion"/>
  </si>
  <si>
    <t>基础</t>
    <phoneticPr fontId="2" type="noConversion"/>
  </si>
  <si>
    <t>本职</t>
    <phoneticPr fontId="2" type="noConversion"/>
  </si>
  <si>
    <t>↙常规技能</t>
    <phoneticPr fontId="2" type="noConversion"/>
  </si>
  <si>
    <t>↙格斗专攻</t>
    <phoneticPr fontId="2" type="noConversion"/>
  </si>
  <si>
    <t>鞭</t>
    <phoneticPr fontId="2" type="noConversion"/>
  </si>
  <si>
    <t>链锯</t>
    <phoneticPr fontId="2" type="noConversion"/>
  </si>
  <si>
    <t>刀剑</t>
    <phoneticPr fontId="2" type="noConversion"/>
  </si>
  <si>
    <t>链枷</t>
  </si>
  <si>
    <t>↙射击专攻</t>
    <phoneticPr fontId="2" type="noConversion"/>
  </si>
  <si>
    <t>↙其他总括技能</t>
    <phoneticPr fontId="2" type="noConversion"/>
  </si>
  <si>
    <t>格斗1</t>
    <phoneticPr fontId="2" type="noConversion"/>
  </si>
  <si>
    <t>格斗2</t>
  </si>
  <si>
    <t>格斗3</t>
  </si>
  <si>
    <t>格斗4</t>
  </si>
  <si>
    <t>格斗5</t>
  </si>
  <si>
    <t>格斗6</t>
  </si>
  <si>
    <t>格斗7</t>
  </si>
  <si>
    <t>格斗8</t>
  </si>
  <si>
    <t>格斗9</t>
  </si>
  <si>
    <t>骑枪</t>
    <phoneticPr fontId="2" type="noConversion"/>
  </si>
  <si>
    <t>权杖</t>
    <phoneticPr fontId="2" type="noConversion"/>
  </si>
  <si>
    <t>盾</t>
    <phoneticPr fontId="2" type="noConversion"/>
  </si>
  <si>
    <t>杖</t>
    <phoneticPr fontId="2" type="noConversion"/>
  </si>
  <si>
    <t>格斗10</t>
  </si>
  <si>
    <t>射击1</t>
    <phoneticPr fontId="2" type="noConversion"/>
  </si>
  <si>
    <t>射击2</t>
  </si>
  <si>
    <t>射击3</t>
  </si>
  <si>
    <t>射击4</t>
  </si>
  <si>
    <t>射击5</t>
  </si>
  <si>
    <t>射击6</t>
  </si>
  <si>
    <t>弩</t>
    <phoneticPr fontId="2" type="noConversion"/>
  </si>
  <si>
    <t>投石索</t>
    <phoneticPr fontId="2" type="noConversion"/>
  </si>
  <si>
    <t>攻城武器</t>
    <phoneticPr fontId="2" type="noConversion"/>
  </si>
  <si>
    <t>调整</t>
    <phoneticPr fontId="2" type="noConversion"/>
  </si>
  <si>
    <t>射击7</t>
    <phoneticPr fontId="2" type="noConversion"/>
  </si>
  <si>
    <t>射击8</t>
  </si>
  <si>
    <t>射击9</t>
  </si>
  <si>
    <t>能量手枪</t>
    <phoneticPr fontId="2" type="noConversion"/>
  </si>
  <si>
    <t>能量步枪</t>
    <phoneticPr fontId="2" type="noConversion"/>
  </si>
  <si>
    <t>斧</t>
  </si>
  <si>
    <t>盾</t>
  </si>
  <si>
    <t>矛</t>
  </si>
  <si>
    <t>刀剑</t>
  </si>
  <si>
    <t>鞭</t>
  </si>
  <si>
    <t>连枷</t>
    <phoneticPr fontId="2" type="noConversion"/>
  </si>
  <si>
    <t>绞索</t>
  </si>
  <si>
    <t>链锯</t>
  </si>
  <si>
    <t>骑枪</t>
  </si>
  <si>
    <t>权杖</t>
  </si>
  <si>
    <t>杖</t>
  </si>
  <si>
    <t>动物驯养</t>
    <phoneticPr fontId="2" type="noConversion"/>
  </si>
  <si>
    <t>闪避</t>
    <phoneticPr fontId="2" type="noConversion"/>
  </si>
  <si>
    <t>列1</t>
    <phoneticPr fontId="2" type="noConversion"/>
  </si>
  <si>
    <t>列2</t>
    <phoneticPr fontId="2" type="noConversion"/>
  </si>
  <si>
    <t>当前值</t>
    <phoneticPr fontId="2" type="noConversion"/>
  </si>
  <si>
    <r>
      <t xml:space="preserve">护甲
</t>
    </r>
    <r>
      <rPr>
        <sz val="8"/>
        <color theme="1"/>
        <rFont val="微软雅黑"/>
        <family val="2"/>
        <charset val="134"/>
      </rPr>
      <t>Armor</t>
    </r>
    <phoneticPr fontId="2" type="noConversion"/>
  </si>
  <si>
    <t>格斗11</t>
  </si>
  <si>
    <t>格斗12</t>
  </si>
  <si>
    <t>格斗13</t>
  </si>
  <si>
    <t>格斗14</t>
  </si>
  <si>
    <t>格斗15</t>
  </si>
  <si>
    <t>射击10</t>
  </si>
  <si>
    <t>射击11</t>
  </si>
  <si>
    <t>射击12</t>
  </si>
  <si>
    <t>射击13</t>
  </si>
  <si>
    <t>射击14</t>
  </si>
  <si>
    <t>射击15</t>
  </si>
  <si>
    <t>手枪</t>
  </si>
  <si>
    <t>步枪/霰弹枪</t>
  </si>
  <si>
    <t>自定义</t>
    <phoneticPr fontId="2" type="noConversion"/>
  </si>
  <si>
    <t>调查员手册</t>
  </si>
  <si>
    <t>调查员手册</t>
    <phoneticPr fontId="2" type="noConversion"/>
  </si>
  <si>
    <t>文物学家（洛式）</t>
  </si>
  <si>
    <t>考古学家（洛式）</t>
  </si>
  <si>
    <t>作家（洛式）</t>
  </si>
  <si>
    <t>业余艺术爱好者（洛式）</t>
  </si>
  <si>
    <t>医生（洛式）</t>
  </si>
  <si>
    <t>记者（洛式）-通讯记者</t>
  </si>
  <si>
    <t>图书馆管理员（洛式）</t>
  </si>
  <si>
    <t>警方（洛式）-警探</t>
  </si>
  <si>
    <t>警方（洛式）-巡警</t>
  </si>
  <si>
    <t>教授（洛式）</t>
  </si>
  <si>
    <t>记者（洛式）-调查记者</t>
    <phoneticPr fontId="2" type="noConversion"/>
  </si>
  <si>
    <t>通俗克苏鲁</t>
  </si>
  <si>
    <t>驱魔师</t>
    <phoneticPr fontId="2" type="noConversion"/>
  </si>
  <si>
    <t>临时工</t>
    <phoneticPr fontId="2" type="noConversion"/>
  </si>
  <si>
    <t>瑜伽修士</t>
    <phoneticPr fontId="2" type="noConversion"/>
  </si>
  <si>
    <t>25-55</t>
  </si>
  <si>
    <t>0-10</t>
  </si>
  <si>
    <t>6-60</t>
  </si>
  <si>
    <t>信用</t>
    <phoneticPr fontId="2" type="noConversion"/>
  </si>
  <si>
    <t>人类学，历史，图书馆使用，聆听，神秘学，语言，心理学，任意一项其他个人或时代特长。</t>
  </si>
  <si>
    <t>技艺（任一），攀爬，妙手，机械维修，博物学，领航，任意两项其他个人或时代特长。</t>
  </si>
  <si>
    <t>Pulp选项</t>
    <phoneticPr fontId="2" type="noConversion"/>
  </si>
  <si>
    <t>英雄类型</t>
    <phoneticPr fontId="2" type="noConversion"/>
  </si>
  <si>
    <t>核心属性</t>
    <phoneticPr fontId="2" type="noConversion"/>
  </si>
  <si>
    <t>生命值计算方式</t>
    <phoneticPr fontId="2" type="noConversion"/>
  </si>
  <si>
    <t>配置</t>
    <phoneticPr fontId="2" type="noConversion"/>
  </si>
  <si>
    <t>蛇蝎美人</t>
    <phoneticPr fontId="2" type="noConversion"/>
  </si>
  <si>
    <t>《通俗克苏鲁》</t>
    <phoneticPr fontId="2" type="noConversion"/>
  </si>
  <si>
    <t>明察秋毫</t>
  </si>
  <si>
    <t>快速愈合</t>
  </si>
  <si>
    <t>昏暗视觉</t>
  </si>
  <si>
    <t>耐力卓绝</t>
  </si>
  <si>
    <t>天生神力</t>
  </si>
  <si>
    <t>千杯不醉</t>
  </si>
  <si>
    <t>强健体魄</t>
  </si>
  <si>
    <t>铁骨铮铮</t>
  </si>
  <si>
    <t>耳听八方</t>
  </si>
  <si>
    <t>魅力四射</t>
  </si>
  <si>
    <t>自然回复增加至每日3HP。</t>
  </si>
  <si>
    <t>降低夜间侦查检定的难度等级，忽略在夜间射击时的惩罚骰。</t>
  </si>
  <si>
    <t>可以花费5点幸运来避免过度饮酒带来的效果（无视技能惩罚）。</t>
  </si>
  <si>
    <t>可以花费10点幸运使疾病和毒药的伤害和效果减半。</t>
  </si>
  <si>
    <t>坚定不移</t>
  </si>
  <si>
    <t>无视攻击人类、目睹惨烈创伤或尸体的理智损失。</t>
  </si>
  <si>
    <t>百折不挠</t>
  </si>
  <si>
    <t>可以花费幸运来避免等量的理智损失。</t>
  </si>
  <si>
    <t>钢铁意志</t>
  </si>
  <si>
    <t>一目十行</t>
  </si>
  <si>
    <t>语言学家</t>
  </si>
  <si>
    <t>魔法亲和</t>
  </si>
  <si>
    <t>过目不忘</t>
  </si>
  <si>
    <t>博学多才</t>
  </si>
  <si>
    <t>灵能觉醒</t>
  </si>
  <si>
    <t>获得一项灵能，如通灵、占卜、灵媒、心灵感应、念动力，见第六章；需要向该技能分配职业或兴趣点数。</t>
  </si>
  <si>
    <t>足智多谋</t>
  </si>
  <si>
    <t>处变不惊</t>
  </si>
  <si>
    <t>不会被突袭。</t>
  </si>
  <si>
    <t>专注打击</t>
  </si>
  <si>
    <t>在格斗中，可以花费10点幸运来获得额外伤害骰，数量取决于所用武器。如徒手攻击+1D3，剑+1D6。</t>
  </si>
  <si>
    <t>快速装填</t>
  </si>
  <si>
    <t>选择一种武器，忽略使用该武器在同一回合装填并击发产生的惩罚骰。</t>
  </si>
  <si>
    <t>身手敏捷</t>
  </si>
  <si>
    <t>目光如炬</t>
  </si>
  <si>
    <t>忽略瞄准体型较小目标(体格-2)时产生的惩罚骰；忽略瞄准近战中的目标时产生的惩罚骰。</t>
  </si>
  <si>
    <t>技巧卓绝</t>
  </si>
  <si>
    <t>使用战技时，角色的体格视为+1。</t>
  </si>
  <si>
    <t>疾风连击</t>
  </si>
  <si>
    <t>在格斗中，可以花费10点幸运再进行一次攻击。</t>
  </si>
  <si>
    <t>动如脱兔</t>
  </si>
  <si>
    <t>在一整场战斗中，可以花费10点幸运来避免寡不敌众。</t>
  </si>
  <si>
    <t>快速瞄准</t>
  </si>
  <si>
    <t>决定回合轮次时，即使未准备好进行射击，亦视为获得+50DEX。</t>
  </si>
  <si>
    <t>手枪专精</t>
  </si>
  <si>
    <t>忽略手枪连射带来的惩罚骰。</t>
  </si>
  <si>
    <t>凶神恶煞</t>
  </si>
  <si>
    <t>奇妙道具</t>
  </si>
  <si>
    <t>游戏开始时获得一个奇妙道具，见怪奇技术，86页。</t>
  </si>
  <si>
    <t>吉人天相</t>
  </si>
  <si>
    <t>回复幸运时，额外投一个1D10。</t>
  </si>
  <si>
    <t>神话知识</t>
  </si>
  <si>
    <t>游戏开始时获得10点克苏鲁神话技能。</t>
  </si>
  <si>
    <t>怪奇技术</t>
  </si>
  <si>
    <t>可以制造和修理怪奇技术制品，见怪奇技术，86页。</t>
  </si>
  <si>
    <t>遁入暗影</t>
  </si>
  <si>
    <t>能工巧匠</t>
  </si>
  <si>
    <t>动物朋友</t>
  </si>
  <si>
    <t>伪装大师</t>
  </si>
  <si>
    <t>早有准备</t>
  </si>
  <si>
    <t>需要的东西似乎总在手边；可以花费10点幸运（而非幸运检定）在附近找到有用的道具，如手电筒、够长的绳索、武器等。</t>
  </si>
  <si>
    <t>冒险家</t>
    <phoneticPr fontId="2" type="noConversion"/>
  </si>
  <si>
    <t>DEX或APP</t>
    <phoneticPr fontId="2" type="noConversion"/>
  </si>
  <si>
    <t>猛士</t>
    <phoneticPr fontId="2" type="noConversion"/>
  </si>
  <si>
    <t>行乐者</t>
    <phoneticPr fontId="2" type="noConversion"/>
  </si>
  <si>
    <t>无情斗士</t>
    <phoneticPr fontId="2" type="noConversion"/>
  </si>
  <si>
    <t>INT</t>
    <phoneticPr fontId="2" type="noConversion"/>
  </si>
  <si>
    <t>技艺(表演)，乔装，格斗(任意)，射击(任意)，急救，历史，恐吓，法律，聆听，机械维修，精神分析，潜行，生存(任意)，追踪。</t>
    <phoneticPr fontId="2" type="noConversion"/>
  </si>
  <si>
    <t>梦想家</t>
    <phoneticPr fontId="2" type="noConversion"/>
  </si>
  <si>
    <t>POW</t>
    <phoneticPr fontId="2" type="noConversion"/>
  </si>
  <si>
    <t>极客</t>
    <phoneticPr fontId="2" type="noConversion"/>
  </si>
  <si>
    <t>INT或EDU</t>
    <phoneticPr fontId="2" type="noConversion"/>
  </si>
  <si>
    <t>人类学，估价，计算机使用，电气维修，语言(任意)，图书馆使用，机械维修，操作重型机械，科学(任意)。</t>
    <phoneticPr fontId="2" type="noConversion"/>
  </si>
  <si>
    <t>探险者</t>
    <phoneticPr fontId="2" type="noConversion"/>
  </si>
  <si>
    <t>DEX或POW</t>
    <phoneticPr fontId="2" type="noConversion"/>
  </si>
  <si>
    <t>APP或INT</t>
    <phoneticPr fontId="2" type="noConversion"/>
  </si>
  <si>
    <t>机械师</t>
    <phoneticPr fontId="2" type="noConversion"/>
  </si>
  <si>
    <t>估价，技艺(任意)，格斗(斗殴)，汽车操纵，电气维修，锁匠，机械维修，操作重型机械，侦查，投掷。</t>
    <phoneticPr fontId="2" type="noConversion"/>
  </si>
  <si>
    <t>反英雄</t>
    <phoneticPr fontId="2" type="noConversion"/>
  </si>
  <si>
    <t>CON</t>
    <phoneticPr fontId="2" type="noConversion"/>
  </si>
  <si>
    <t>技艺(任意)，格斗(斗殴)，射击(任意)，汽车操纵，话术，恐吓，法律，聆听，锁匠，妙手，侦查，潜行，投掷。</t>
    <phoneticPr fontId="2" type="noConversion"/>
  </si>
  <si>
    <t>幕后玩家</t>
    <phoneticPr fontId="2" type="noConversion"/>
  </si>
  <si>
    <t>APP</t>
    <phoneticPr fontId="2" type="noConversion"/>
  </si>
  <si>
    <t>老猎人</t>
    <phoneticPr fontId="2" type="noConversion"/>
  </si>
  <si>
    <t>INT或CON</t>
    <phoneticPr fontId="2" type="noConversion"/>
  </si>
  <si>
    <t>驯兽，格斗(任意)，射击(步枪/霰弹枪 或 手枪)，急救，聆听，博物学，领航，侦查，潜行，生存(任意)，游泳，追踪。</t>
    <phoneticPr fontId="2" type="noConversion"/>
  </si>
  <si>
    <t>寻秘者</t>
    <phoneticPr fontId="2" type="noConversion"/>
  </si>
  <si>
    <t>技艺(任意)，科学(天文学)，乔装，历史，催眠，语言(任意)，博物学，神秘学，精神分析，妙手，潜行；如有“灵能觉醒”天赋，可将点数分配给所选的灵能技能。</t>
    <phoneticPr fontId="2" type="noConversion"/>
  </si>
  <si>
    <t>局外人</t>
    <phoneticPr fontId="2" type="noConversion"/>
  </si>
  <si>
    <t>技艺(任意)，驯兽，格斗(任意)，急救，恐吓，语言(任意)，聆听，医学，领航，潜行，生存(任意)，追踪。</t>
    <phoneticPr fontId="2" type="noConversion"/>
  </si>
  <si>
    <t>叛逆浪人</t>
    <phoneticPr fontId="2" type="noConversion"/>
  </si>
  <si>
    <t>学者</t>
    <phoneticPr fontId="2" type="noConversion"/>
  </si>
  <si>
    <t>EDU</t>
    <phoneticPr fontId="2" type="noConversion"/>
  </si>
  <si>
    <t>会计，人类学，密码学，历史，语言(任意)，图书馆使用，医学，博物学，神秘学，科学(任意)。</t>
    <phoneticPr fontId="2" type="noConversion"/>
  </si>
  <si>
    <t>解谜人</t>
    <phoneticPr fontId="2" type="noConversion"/>
  </si>
  <si>
    <t>会计，估价，乔装，历史，法律，图书馆使用，聆听，神秘学，精神分析，科学(任意)，侦查，潜行。</t>
    <phoneticPr fontId="2" type="noConversion"/>
  </si>
  <si>
    <t>协助者</t>
    <phoneticPr fontId="2" type="noConversion"/>
  </si>
  <si>
    <t>DEX或CON</t>
    <phoneticPr fontId="2" type="noConversion"/>
  </si>
  <si>
    <t>殉道者</t>
    <phoneticPr fontId="2" type="noConversion"/>
  </si>
  <si>
    <t>会计，汽车操纵，格斗(任意)，射击(手枪)，急救，历史，恐吓，法律，博物学，领航，说服，精神分析，骑术，侦查，生存(任意)。</t>
    <phoneticPr fontId="2" type="noConversion"/>
  </si>
  <si>
    <t>侠客</t>
    <phoneticPr fontId="2" type="noConversion"/>
  </si>
  <si>
    <t>刺激寻者</t>
    <phoneticPr fontId="2" type="noConversion"/>
  </si>
  <si>
    <t>硬汉</t>
    <phoneticPr fontId="2" type="noConversion"/>
  </si>
  <si>
    <t>STR或SIZ</t>
    <phoneticPr fontId="2" type="noConversion"/>
  </si>
  <si>
    <t>汽车操纵，格斗(斗殴)，射击(任意)，恐吓，聆听，机械维修，侦查，游泳，投掷。</t>
    <phoneticPr fontId="2" type="noConversion"/>
  </si>
  <si>
    <t>天赋</t>
    <phoneticPr fontId="2" type="noConversion"/>
  </si>
  <si>
    <t xml:space="preserve">  效果</t>
    <phoneticPr fontId="2" type="noConversion"/>
  </si>
  <si>
    <t>天生强运</t>
    <phoneticPr fontId="2" type="noConversion"/>
  </si>
  <si>
    <t>不屈不挠</t>
    <phoneticPr fontId="2" type="noConversion"/>
  </si>
  <si>
    <t>技艺非凡</t>
    <phoneticPr fontId="2" type="noConversion"/>
  </si>
  <si>
    <t>正义之光</t>
    <phoneticPr fontId="2" type="noConversion"/>
  </si>
  <si>
    <t>熟练法师</t>
    <phoneticPr fontId="2" type="noConversion"/>
  </si>
  <si>
    <t>万人之友</t>
    <phoneticPr fontId="2" type="noConversion"/>
  </si>
  <si>
    <t>战争恐惧</t>
    <phoneticPr fontId="2" type="noConversion"/>
  </si>
  <si>
    <t>地狱战士</t>
    <phoneticPr fontId="2" type="noConversion"/>
  </si>
  <si>
    <t>命途多舛</t>
    <phoneticPr fontId="2" type="noConversion"/>
  </si>
  <si>
    <t>永久获得5点额外生命值（加在英雄的最大生命值上）。</t>
    <phoneticPr fontId="2" type="noConversion"/>
  </si>
  <si>
    <t>进行射击（步枪）技能检定时，获得一颗奖励骰。</t>
    <phoneticPr fontId="2" type="noConversion"/>
  </si>
  <si>
    <t>消耗10点幸运值，你可以在1D6轮中无视临时性疯狂。</t>
    <phoneticPr fontId="2" type="noConversion"/>
  </si>
  <si>
    <t>你认识“所有人”，并且可以让联系人来帮个忙；注意，这些帮忙能否实现需要由守秘人裁夺。</t>
    <phoneticPr fontId="2" type="noConversion"/>
  </si>
  <si>
    <t>在开局时，英雄获得三个由守秘人选择的法术。</t>
    <phoneticPr fontId="2" type="noConversion"/>
  </si>
  <si>
    <t>消耗5点幸运值，对超自然或神话生物额外造成1D4点伤害。</t>
    <phoneticPr fontId="2" type="noConversion"/>
  </si>
  <si>
    <t>进行任何艺术/手艺技能检定时，获得一颗奖励骰（或是降低一级检定难度）。</t>
    <phoneticPr fontId="2" type="noConversion"/>
  </si>
  <si>
    <t>所有的理智损失减少1点。</t>
    <phoneticPr fontId="2" type="noConversion"/>
  </si>
  <si>
    <t>远古学识</t>
    <phoneticPr fontId="2" type="noConversion"/>
  </si>
  <si>
    <t>选择一项学识技能的技能专攻，在每次进行该技能检定时，获得一颗奖励骰（或是降低一级检定难度）；这项技能的点数应该从兴趣技能点分配。</t>
    <phoneticPr fontId="2" type="noConversion"/>
  </si>
  <si>
    <t>维修/发明</t>
    <phoneticPr fontId="2" type="noConversion"/>
  </si>
  <si>
    <t>宗教学</t>
    <phoneticPr fontId="2" type="noConversion"/>
  </si>
  <si>
    <t>可以花费10点幸运来吸收在一轮中受到的5点伤害。</t>
    <phoneticPr fontId="2" type="noConversion"/>
  </si>
  <si>
    <t>进行侦查检定时获得一颗奖励骰。</t>
  </si>
  <si>
    <t>进行体质检定时获得一颗奖励骰，包括建立追逐时。</t>
  </si>
  <si>
    <t>进行力量检定时获得一颗奖励骰，比如用来举起某人某物。</t>
  </si>
  <si>
    <t>进行聆听检定时获得一颗奖励骰。</t>
  </si>
  <si>
    <t>进行取悦检定时获得一颗奖励骰。</t>
  </si>
  <si>
    <t>进行意志检定时获得一颗奖励骰。</t>
  </si>
  <si>
    <t>可以了解遇到的是哪种语言或文字；进行语言检定时获得一颗奖励骰。</t>
  </si>
  <si>
    <t>学习法术花费的时间减半；进行施法检定时获得一颗奖励骰。</t>
  </si>
  <si>
    <t>能够记住事件的诸多细节；进行知识(教育)检定时获得一颗奖励骰。</t>
  </si>
  <si>
    <t>进行恐吓检定时降低一级难度等级，或者获得一颗奖励骰，由守秘人判断。</t>
  </si>
  <si>
    <t>进行潜行检定时降低一级难度等级，或者获得一颗奖励骰，由守秘人判断。如果目标未能察觉，在暴露之前可以进行两次突袭。</t>
  </si>
  <si>
    <t>进行操作重型机械、机械维修和电气维修检定时降低一级难度等级，或者获得一颗奖励骰，由守秘人判断。</t>
  </si>
  <si>
    <t>游戏开始时获得一只可靠的动物伙伴，比如猫、狗、鹦鹉；进行驯兽检定时获得一颗奖励骰。</t>
  </si>
  <si>
    <t>进行乔装或技艺(表演)检定时，可以花费10点幸运来获得一颗奖励骰；可以使用腹语，让声音听起来是从别处发出的；如果有人试图看穿伪装，其侦查或心理学检定提升为困难难度。</t>
  </si>
  <si>
    <t xml:space="preserve">  奖励技能</t>
    <phoneticPr fontId="2" type="noConversion"/>
  </si>
  <si>
    <t>英雄天赋</t>
    <phoneticPr fontId="2" type="noConversion"/>
  </si>
  <si>
    <t>类别</t>
    <phoneticPr fontId="2" type="noConversion"/>
  </si>
  <si>
    <t>肉体天赋</t>
  </si>
  <si>
    <t>肉体天赋</t>
    <phoneticPr fontId="2" type="noConversion"/>
  </si>
  <si>
    <t>精神天赋</t>
  </si>
  <si>
    <t>战斗天赋</t>
  </si>
  <si>
    <t>其他天赋</t>
  </si>
  <si>
    <t>哈莱姆天赋</t>
  </si>
  <si>
    <t>哈莱姆天赋</t>
    <phoneticPr fontId="2" type="noConversion"/>
  </si>
  <si>
    <t>获得学识技能的一项技能专攻，如梦境学识、吸血鬼学识、狼人学识；需要向该技能分配职业或兴趣点数。</t>
    <phoneticPr fontId="2" type="noConversion"/>
  </si>
  <si>
    <t>能够迅速整理线索；进行智力（而非灵感）检定时获得一颗奖励骰。</t>
    <phoneticPr fontId="2" type="noConversion"/>
  </si>
  <si>
    <t>※ 通俗克苏鲁</t>
    <phoneticPr fontId="2" type="noConversion"/>
  </si>
  <si>
    <t>英雄天赋表格中的哈莱姆天赋来自《挣脱束缚的哈莱姆》，由999nonaploid翻译。</t>
    <phoneticPr fontId="2" type="noConversion"/>
  </si>
  <si>
    <t>英雄类型表格以及英雄天赋表格中的肉体、精神、战斗及其他天赋来自《通俗克苏鲁》，由秋叶EXODUS翻译。</t>
    <phoneticPr fontId="2" type="noConversion"/>
  </si>
  <si>
    <t>※ 克苏鲁黑暗时代</t>
    <phoneticPr fontId="2" type="noConversion"/>
  </si>
  <si>
    <r>
      <t xml:space="preserve">生命值
</t>
    </r>
    <r>
      <rPr>
        <sz val="8"/>
        <color theme="1"/>
        <rFont val="微软雅黑"/>
        <family val="2"/>
        <charset val="134"/>
      </rPr>
      <t>HP</t>
    </r>
    <phoneticPr fontId="2" type="noConversion"/>
  </si>
  <si>
    <r>
      <t xml:space="preserve">理智值
</t>
    </r>
    <r>
      <rPr>
        <sz val="8"/>
        <color theme="1"/>
        <rFont val="微软雅黑"/>
        <family val="2"/>
        <charset val="134"/>
      </rPr>
      <t>SAN</t>
    </r>
    <phoneticPr fontId="2" type="noConversion"/>
  </si>
  <si>
    <r>
      <t xml:space="preserve">魔法值
</t>
    </r>
    <r>
      <rPr>
        <sz val="8"/>
        <color theme="1"/>
        <rFont val="微软雅黑"/>
        <family val="2"/>
        <charset val="134"/>
      </rPr>
      <t>MP</t>
    </r>
    <phoneticPr fontId="2" type="noConversion"/>
  </si>
  <si>
    <t>装备和物品</t>
    <phoneticPr fontId="2" type="noConversion"/>
  </si>
  <si>
    <t>额外背景</t>
    <phoneticPr fontId="2" type="noConversion"/>
  </si>
  <si>
    <t>表格：人生经历 （投2D20）</t>
    <phoneticPr fontId="2" type="noConversion"/>
  </si>
  <si>
    <t>掷骰结果</t>
    <phoneticPr fontId="2" type="noConversion"/>
  </si>
  <si>
    <t xml:space="preserve">  人生经历</t>
    <phoneticPr fontId="2" type="noConversion"/>
  </si>
  <si>
    <t>再掷骰两次（若这两次掷出40则无效）</t>
    <phoneticPr fontId="2" type="noConversion"/>
  </si>
  <si>
    <r>
      <rPr>
        <b/>
        <sz val="10"/>
        <color theme="1"/>
        <rFont val="微软雅黑"/>
        <family val="2"/>
        <charset val="134"/>
      </rPr>
      <t>坠入冰冷的河水</t>
    </r>
    <r>
      <rPr>
        <sz val="10"/>
        <color theme="1"/>
        <rFont val="微软雅黑"/>
        <family val="2"/>
        <charset val="134"/>
      </rPr>
      <t>：-10聆听，+5游泳</t>
    </r>
    <phoneticPr fontId="2" type="noConversion"/>
  </si>
  <si>
    <r>
      <rPr>
        <b/>
        <sz val="10"/>
        <color theme="1"/>
        <rFont val="微软雅黑"/>
        <family val="2"/>
        <charset val="134"/>
      </rPr>
      <t>曾到阿拉伯旅行</t>
    </r>
    <r>
      <rPr>
        <sz val="10"/>
        <color theme="1"/>
        <rFont val="微软雅黑"/>
        <family val="2"/>
        <charset val="134"/>
      </rPr>
      <t>：+10在科学（任一），-5宗教学</t>
    </r>
    <phoneticPr fontId="2" type="noConversion"/>
  </si>
  <si>
    <r>
      <rPr>
        <b/>
        <sz val="10"/>
        <color theme="1"/>
        <rFont val="微软雅黑"/>
        <family val="2"/>
        <charset val="134"/>
      </rPr>
      <t>出生于圣徒纪念日</t>
    </r>
    <r>
      <rPr>
        <sz val="10"/>
        <color theme="1"/>
        <rFont val="微软雅黑"/>
        <family val="2"/>
        <charset val="134"/>
      </rPr>
      <t>：+5POW</t>
    </r>
    <phoneticPr fontId="2" type="noConversion"/>
  </si>
  <si>
    <r>
      <rPr>
        <b/>
        <sz val="10"/>
        <color theme="1"/>
        <rFont val="微软雅黑"/>
        <family val="2"/>
        <charset val="134"/>
      </rPr>
      <t>童年时被溃军所捕</t>
    </r>
    <r>
      <rPr>
        <sz val="10"/>
        <color theme="1"/>
        <rFont val="微软雅黑"/>
        <family val="2"/>
        <charset val="134"/>
      </rPr>
      <t>：+10骑术，-5马车驾驶</t>
    </r>
    <phoneticPr fontId="2" type="noConversion"/>
  </si>
  <si>
    <r>
      <rPr>
        <b/>
        <sz val="10"/>
        <color theme="1"/>
        <rFont val="微软雅黑"/>
        <family val="2"/>
        <charset val="134"/>
      </rPr>
      <t>目睹父母被杀</t>
    </r>
    <r>
      <rPr>
        <sz val="10"/>
        <color theme="1"/>
        <rFont val="微软雅黑"/>
        <family val="2"/>
        <charset val="134"/>
      </rPr>
      <t>：-10急救，+5潜行</t>
    </r>
    <phoneticPr fontId="2" type="noConversion"/>
  </si>
  <si>
    <r>
      <rPr>
        <b/>
        <sz val="10"/>
        <color theme="1"/>
        <rFont val="微软雅黑"/>
        <family val="2"/>
        <charset val="134"/>
      </rPr>
      <t>幺子</t>
    </r>
    <r>
      <rPr>
        <sz val="10"/>
        <color theme="1"/>
        <rFont val="微软雅黑"/>
        <family val="2"/>
        <charset val="134"/>
      </rPr>
      <t>：+10闪避，-5地位</t>
    </r>
    <phoneticPr fontId="2" type="noConversion"/>
  </si>
  <si>
    <r>
      <rPr>
        <b/>
        <sz val="10"/>
        <color theme="1"/>
        <rFont val="微软雅黑"/>
        <family val="2"/>
        <charset val="134"/>
      </rPr>
      <t>船上当过学徒</t>
    </r>
    <r>
      <rPr>
        <sz val="10"/>
        <color theme="1"/>
        <rFont val="微软雅黑"/>
        <family val="2"/>
        <charset val="134"/>
      </rPr>
      <t>：+10 驾驶（舟），-5取悦</t>
    </r>
    <phoneticPr fontId="2" type="noConversion"/>
  </si>
  <si>
    <r>
      <rPr>
        <b/>
        <sz val="10"/>
        <color theme="1"/>
        <rFont val="微软雅黑"/>
        <family val="2"/>
        <charset val="134"/>
      </rPr>
      <t>狼群袭击过农田</t>
    </r>
    <r>
      <rPr>
        <sz val="10"/>
        <color theme="1"/>
        <rFont val="微软雅黑"/>
        <family val="2"/>
        <charset val="134"/>
      </rPr>
      <t>：+1MOV</t>
    </r>
    <phoneticPr fontId="2" type="noConversion"/>
  </si>
  <si>
    <r>
      <rPr>
        <b/>
        <sz val="10"/>
        <color theme="1"/>
        <rFont val="微软雅黑"/>
        <family val="2"/>
        <charset val="134"/>
      </rPr>
      <t>长子</t>
    </r>
    <r>
      <rPr>
        <sz val="10"/>
        <color theme="1"/>
        <rFont val="微软雅黑"/>
        <family val="2"/>
        <charset val="134"/>
      </rPr>
      <t>：+10地位，-5察言观色</t>
    </r>
    <phoneticPr fontId="2" type="noConversion"/>
  </si>
  <si>
    <r>
      <rPr>
        <b/>
        <sz val="10"/>
        <color theme="1"/>
        <rFont val="微软雅黑"/>
        <family val="2"/>
        <charset val="134"/>
      </rPr>
      <t>小时候常挨打</t>
    </r>
    <r>
      <rPr>
        <sz val="10"/>
        <color theme="1"/>
        <rFont val="微软雅黑"/>
        <family val="2"/>
        <charset val="134"/>
      </rPr>
      <t>：-10侦查，+5闪避</t>
    </r>
    <phoneticPr fontId="2" type="noConversion"/>
  </si>
  <si>
    <r>
      <rPr>
        <b/>
        <sz val="10"/>
        <color theme="1"/>
        <rFont val="微软雅黑"/>
        <family val="2"/>
        <charset val="134"/>
      </rPr>
      <t>出生于月圆之夜</t>
    </r>
    <r>
      <rPr>
        <sz val="10"/>
        <color theme="1"/>
        <rFont val="微软雅黑"/>
        <family val="2"/>
        <charset val="134"/>
      </rPr>
      <t>：-10幸运</t>
    </r>
    <phoneticPr fontId="2" type="noConversion"/>
  </si>
  <si>
    <r>
      <rPr>
        <b/>
        <sz val="10"/>
        <color theme="1"/>
        <rFont val="微软雅黑"/>
        <family val="2"/>
        <charset val="134"/>
      </rPr>
      <t>在船厂工作过</t>
    </r>
    <r>
      <rPr>
        <sz val="10"/>
        <color theme="1"/>
        <rFont val="微软雅黑"/>
        <family val="2"/>
        <charset val="134"/>
      </rPr>
      <t>：+5DEX</t>
    </r>
    <phoneticPr fontId="2" type="noConversion"/>
  </si>
  <si>
    <r>
      <rPr>
        <b/>
        <sz val="10"/>
        <color theme="1"/>
        <rFont val="微软雅黑"/>
        <family val="2"/>
        <charset val="134"/>
      </rPr>
      <t>难以愈合的伤口</t>
    </r>
    <r>
      <rPr>
        <sz val="10"/>
        <color theme="1"/>
        <rFont val="微软雅黑"/>
        <family val="2"/>
        <charset val="134"/>
      </rPr>
      <t>：-5STR</t>
    </r>
    <phoneticPr fontId="2" type="noConversion"/>
  </si>
  <si>
    <r>
      <rPr>
        <b/>
        <sz val="10"/>
        <color theme="1"/>
        <rFont val="微软雅黑"/>
        <family val="2"/>
        <charset val="134"/>
      </rPr>
      <t>修道院中长大</t>
    </r>
    <r>
      <rPr>
        <sz val="10"/>
        <color theme="1"/>
        <rFont val="微软雅黑"/>
        <family val="2"/>
        <charset val="134"/>
      </rPr>
      <t>：+10图书馆使用，-5闪避</t>
    </r>
    <phoneticPr fontId="2" type="noConversion"/>
  </si>
  <si>
    <r>
      <rPr>
        <b/>
        <sz val="10"/>
        <color theme="1"/>
        <rFont val="微软雅黑"/>
        <family val="2"/>
        <charset val="134"/>
      </rPr>
      <t>曾被遗弃在树林中</t>
    </r>
    <r>
      <rPr>
        <sz val="10"/>
        <color theme="1"/>
        <rFont val="微软雅黑"/>
        <family val="2"/>
        <charset val="134"/>
      </rPr>
      <t>：+10导航，-5说服</t>
    </r>
    <phoneticPr fontId="2" type="noConversion"/>
  </si>
  <si>
    <r>
      <rPr>
        <b/>
        <sz val="10"/>
        <color theme="1"/>
        <rFont val="微软雅黑"/>
        <family val="2"/>
        <charset val="134"/>
      </rPr>
      <t>被“精灵之矢”所伤</t>
    </r>
    <r>
      <rPr>
        <sz val="10"/>
        <color theme="1"/>
        <rFont val="微软雅黑"/>
        <family val="2"/>
        <charset val="134"/>
      </rPr>
      <t>：-5SIZ</t>
    </r>
    <phoneticPr fontId="2" type="noConversion"/>
  </si>
  <si>
    <r>
      <rPr>
        <b/>
        <sz val="10"/>
        <color theme="1"/>
        <rFont val="微软雅黑"/>
        <family val="2"/>
        <charset val="134"/>
      </rPr>
      <t>童年时迷失在“精灵山丘”</t>
    </r>
    <r>
      <rPr>
        <sz val="10"/>
        <color theme="1"/>
        <rFont val="微软雅黑"/>
        <family val="2"/>
        <charset val="134"/>
      </rPr>
      <t>：+5POW</t>
    </r>
    <phoneticPr fontId="2" type="noConversion"/>
  </si>
  <si>
    <r>
      <rPr>
        <b/>
        <sz val="10"/>
        <color theme="1"/>
        <rFont val="微软雅黑"/>
        <family val="2"/>
        <charset val="134"/>
      </rPr>
      <t>体液不平衡，抑郁质</t>
    </r>
    <r>
      <rPr>
        <sz val="10"/>
        <color theme="1"/>
        <rFont val="微软雅黑"/>
        <family val="2"/>
        <charset val="134"/>
      </rPr>
      <t>：+10艺术，-10话术</t>
    </r>
    <phoneticPr fontId="2" type="noConversion"/>
  </si>
  <si>
    <r>
      <rPr>
        <b/>
        <sz val="10"/>
        <color theme="1"/>
        <rFont val="微软雅黑"/>
        <family val="2"/>
        <charset val="134"/>
      </rPr>
      <t>体液不平衡，胆汁质</t>
    </r>
    <r>
      <rPr>
        <sz val="10"/>
        <color theme="1"/>
        <rFont val="微软雅黑"/>
        <family val="2"/>
        <charset val="134"/>
      </rPr>
      <t>：+10说服，-10聆听</t>
    </r>
    <phoneticPr fontId="2" type="noConversion"/>
  </si>
  <si>
    <r>
      <rPr>
        <b/>
        <sz val="10"/>
        <color theme="1"/>
        <rFont val="微软雅黑"/>
        <family val="2"/>
        <charset val="134"/>
      </rPr>
      <t>体液不平衡，多血质</t>
    </r>
    <r>
      <rPr>
        <sz val="10"/>
        <color theme="1"/>
        <rFont val="微软雅黑"/>
        <family val="2"/>
        <charset val="134"/>
      </rPr>
      <t>：+10话术，-10洞察</t>
    </r>
    <phoneticPr fontId="2" type="noConversion"/>
  </si>
  <si>
    <r>
      <rPr>
        <b/>
        <sz val="10"/>
        <color theme="1"/>
        <rFont val="微软雅黑"/>
        <family val="2"/>
        <charset val="134"/>
      </rPr>
      <t>体液不平衡，粘液质</t>
    </r>
    <r>
      <rPr>
        <sz val="10"/>
        <color theme="1"/>
        <rFont val="微软雅黑"/>
        <family val="2"/>
        <charset val="134"/>
      </rPr>
      <t>：+10洞察，-10说服</t>
    </r>
    <phoneticPr fontId="2" type="noConversion"/>
  </si>
  <si>
    <r>
      <rPr>
        <b/>
        <sz val="10"/>
        <color theme="1"/>
        <rFont val="微软雅黑"/>
        <family val="2"/>
        <charset val="134"/>
      </rPr>
      <t>在户外居住过很长一段时间</t>
    </r>
    <r>
      <rPr>
        <sz val="10"/>
        <color theme="1"/>
        <rFont val="微软雅黑"/>
        <family val="2"/>
        <charset val="134"/>
      </rPr>
      <t>：+5CON</t>
    </r>
    <phoneticPr fontId="2" type="noConversion"/>
  </si>
  <si>
    <r>
      <rPr>
        <b/>
        <sz val="10"/>
        <color theme="1"/>
        <rFont val="微软雅黑"/>
        <family val="2"/>
        <charset val="134"/>
      </rPr>
      <t>父亲是伐木工</t>
    </r>
    <r>
      <rPr>
        <sz val="10"/>
        <color theme="1"/>
        <rFont val="微软雅黑"/>
        <family val="2"/>
        <charset val="134"/>
      </rPr>
      <t>：+10博物学，-5话术</t>
    </r>
    <phoneticPr fontId="2" type="noConversion"/>
  </si>
  <si>
    <r>
      <rPr>
        <b/>
        <sz val="10"/>
        <color theme="1"/>
        <rFont val="微软雅黑"/>
        <family val="2"/>
        <charset val="134"/>
      </rPr>
      <t>父母被指控为异端</t>
    </r>
    <r>
      <rPr>
        <sz val="10"/>
        <color theme="1"/>
        <rFont val="微软雅黑"/>
        <family val="2"/>
        <charset val="134"/>
      </rPr>
      <t>：-10地位，+5博物学</t>
    </r>
    <phoneticPr fontId="2" type="noConversion"/>
  </si>
  <si>
    <r>
      <rPr>
        <b/>
        <sz val="10"/>
        <color theme="1"/>
        <rFont val="微软雅黑"/>
        <family val="2"/>
        <charset val="134"/>
      </rPr>
      <t>出生时有胎膜</t>
    </r>
    <r>
      <rPr>
        <sz val="10"/>
        <color theme="1"/>
        <rFont val="微软雅黑"/>
        <family val="2"/>
        <charset val="134"/>
      </rPr>
      <t>：+10幸运</t>
    </r>
    <phoneticPr fontId="2" type="noConversion"/>
  </si>
  <si>
    <r>
      <rPr>
        <b/>
        <sz val="10"/>
        <color theme="1"/>
        <rFont val="微软雅黑"/>
        <family val="2"/>
        <charset val="134"/>
      </rPr>
      <t>父亲是行脚商</t>
    </r>
    <r>
      <rPr>
        <sz val="10"/>
        <color theme="1"/>
        <rFont val="微软雅黑"/>
        <family val="2"/>
        <charset val="134"/>
      </rPr>
      <t>：+5取悦，-10地位</t>
    </r>
    <phoneticPr fontId="2" type="noConversion"/>
  </si>
  <si>
    <r>
      <rPr>
        <b/>
        <sz val="10"/>
        <color theme="1"/>
        <rFont val="微软雅黑"/>
        <family val="2"/>
        <charset val="134"/>
      </rPr>
      <t>长过疹子</t>
    </r>
    <r>
      <rPr>
        <sz val="10"/>
        <color theme="1"/>
        <rFont val="微软雅黑"/>
        <family val="2"/>
        <charset val="134"/>
      </rPr>
      <t>：-5CON</t>
    </r>
    <phoneticPr fontId="2" type="noConversion"/>
  </si>
  <si>
    <r>
      <rPr>
        <b/>
        <sz val="10"/>
        <color theme="1"/>
        <rFont val="微软雅黑"/>
        <family val="2"/>
        <charset val="134"/>
      </rPr>
      <t>童年时被贩为奴</t>
    </r>
    <r>
      <rPr>
        <sz val="10"/>
        <color theme="1"/>
        <rFont val="微软雅黑"/>
        <family val="2"/>
        <charset val="134"/>
      </rPr>
      <t>：+5STR</t>
    </r>
    <phoneticPr fontId="2" type="noConversion"/>
  </si>
  <si>
    <r>
      <rPr>
        <b/>
        <sz val="10"/>
        <color theme="1"/>
        <rFont val="微软雅黑"/>
        <family val="2"/>
        <charset val="134"/>
      </rPr>
      <t>父亲是商人</t>
    </r>
    <r>
      <rPr>
        <sz val="10"/>
        <color theme="1"/>
        <rFont val="微软雅黑"/>
        <family val="2"/>
        <charset val="134"/>
      </rPr>
      <t>：+10外语</t>
    </r>
    <phoneticPr fontId="2" type="noConversion"/>
  </si>
  <si>
    <r>
      <rPr>
        <b/>
        <sz val="10"/>
        <color theme="1"/>
        <rFont val="微软雅黑"/>
        <family val="2"/>
        <charset val="134"/>
      </rPr>
      <t>被马撞过</t>
    </r>
    <r>
      <rPr>
        <sz val="10"/>
        <color theme="1"/>
        <rFont val="微软雅黑"/>
        <family val="2"/>
        <charset val="134"/>
      </rPr>
      <t>：-10骑术，+5闪避</t>
    </r>
    <phoneticPr fontId="2" type="noConversion"/>
  </si>
  <si>
    <r>
      <rPr>
        <b/>
        <sz val="10"/>
        <color theme="1"/>
        <rFont val="微软雅黑"/>
        <family val="2"/>
        <charset val="134"/>
      </rPr>
      <t>被熊咬伤过</t>
    </r>
    <r>
      <rPr>
        <sz val="10"/>
        <color theme="1"/>
        <rFont val="微软雅黑"/>
        <family val="2"/>
        <charset val="134"/>
      </rPr>
      <t>：-5APP</t>
    </r>
    <phoneticPr fontId="2" type="noConversion"/>
  </si>
  <si>
    <r>
      <rPr>
        <b/>
        <sz val="10"/>
        <color theme="1"/>
        <rFont val="微软雅黑"/>
        <family val="2"/>
        <charset val="134"/>
      </rPr>
      <t>家里庄稼歉收</t>
    </r>
    <r>
      <rPr>
        <sz val="10"/>
        <color theme="1"/>
        <rFont val="微软雅黑"/>
        <family val="2"/>
        <charset val="134"/>
      </rPr>
      <t>：+10侦查，-5潜行</t>
    </r>
    <phoneticPr fontId="2" type="noConversion"/>
  </si>
  <si>
    <r>
      <rPr>
        <b/>
        <sz val="10"/>
        <color theme="1"/>
        <rFont val="微软雅黑"/>
        <family val="2"/>
        <charset val="134"/>
      </rPr>
      <t>村庄被维京人劫掠</t>
    </r>
    <r>
      <rPr>
        <sz val="10"/>
        <color theme="1"/>
        <rFont val="微软雅黑"/>
        <family val="2"/>
        <charset val="134"/>
      </rPr>
      <t>：+10急救，-5潜行</t>
    </r>
    <phoneticPr fontId="2" type="noConversion"/>
  </si>
  <si>
    <r>
      <rPr>
        <b/>
        <sz val="10"/>
        <color theme="1"/>
        <rFont val="微软雅黑"/>
        <family val="2"/>
        <charset val="134"/>
      </rPr>
      <t>父亲是“惹麻烦”的手艺人</t>
    </r>
    <r>
      <rPr>
        <sz val="10"/>
        <color theme="1"/>
        <rFont val="微软雅黑"/>
        <family val="2"/>
        <charset val="134"/>
      </rPr>
      <t>：+10在技艺（任一），-5地位</t>
    </r>
    <phoneticPr fontId="2" type="noConversion"/>
  </si>
  <si>
    <r>
      <rPr>
        <b/>
        <sz val="10"/>
        <color theme="1"/>
        <rFont val="微软雅黑"/>
        <family val="2"/>
        <charset val="134"/>
      </rPr>
      <t>在打架时受过伤</t>
    </r>
    <r>
      <rPr>
        <sz val="10"/>
        <color theme="1"/>
        <rFont val="微软雅黑"/>
        <family val="2"/>
        <charset val="134"/>
      </rPr>
      <t>：-5DEX</t>
    </r>
    <phoneticPr fontId="2" type="noConversion"/>
  </si>
  <si>
    <r>
      <rPr>
        <b/>
        <sz val="10"/>
        <color theme="1"/>
        <rFont val="微软雅黑"/>
        <family val="2"/>
        <charset val="134"/>
      </rPr>
      <t>父亲是神父</t>
    </r>
    <r>
      <rPr>
        <sz val="10"/>
        <color theme="1"/>
        <rFont val="微软雅黑"/>
        <family val="2"/>
        <charset val="134"/>
      </rPr>
      <t>：+10宗教学，-5神秘学</t>
    </r>
    <phoneticPr fontId="2" type="noConversion"/>
  </si>
  <si>
    <r>
      <rPr>
        <b/>
        <sz val="10"/>
        <color theme="1"/>
        <rFont val="微软雅黑"/>
        <family val="2"/>
        <charset val="134"/>
      </rPr>
      <t>小时候被驴踢过</t>
    </r>
    <r>
      <rPr>
        <sz val="10"/>
        <color theme="1"/>
        <rFont val="微软雅黑"/>
        <family val="2"/>
        <charset val="134"/>
      </rPr>
      <t>：-1MOV</t>
    </r>
    <phoneticPr fontId="2" type="noConversion"/>
  </si>
  <si>
    <r>
      <rPr>
        <b/>
        <sz val="10"/>
        <color theme="1"/>
        <rFont val="微软雅黑"/>
        <family val="2"/>
        <charset val="134"/>
      </rPr>
      <t>可能是小精灵恋人的孩子</t>
    </r>
    <r>
      <rPr>
        <sz val="10"/>
        <color theme="1"/>
        <rFont val="微软雅黑"/>
        <family val="2"/>
        <charset val="134"/>
      </rPr>
      <t>：+10神秘学，-5察言观色</t>
    </r>
    <phoneticPr fontId="2" type="noConversion"/>
  </si>
  <si>
    <t>上表来自《克苏鲁黑暗时代》，由Rua翻译。</t>
    <phoneticPr fontId="2" type="noConversion"/>
  </si>
  <si>
    <t>Step1：生成属性</t>
    <phoneticPr fontId="2" type="noConversion"/>
  </si>
  <si>
    <t>Step2：确认建卡选项</t>
    <phoneticPr fontId="2" type="noConversion"/>
  </si>
  <si>
    <t>Step4：决定职业并选择技能</t>
    <phoneticPr fontId="2" type="noConversion"/>
  </si>
  <si>
    <t>Step5：创造背景</t>
    <phoneticPr fontId="2" type="noConversion"/>
  </si>
  <si>
    <t>Step6：决定装备并补充细节</t>
    <phoneticPr fontId="2" type="noConversion"/>
  </si>
  <si>
    <t>首先，根据游戏的时代背景，在下拉选单中选择一张角色卡模板，这非常重要。如果你不知道应该如何选择，请询问你的守秘人。</t>
    <phoneticPr fontId="2" type="noConversion"/>
  </si>
  <si>
    <t>禁用</t>
  </si>
  <si>
    <t>模板提示</t>
    <phoneticPr fontId="2" type="noConversion"/>
  </si>
  <si>
    <t>来自《克苏鲁的呼唤》核心规则。</t>
    <phoneticPr fontId="2" type="noConversion"/>
  </si>
  <si>
    <t>来自《克苏鲁黑暗时代》。</t>
    <phoneticPr fontId="2" type="noConversion"/>
  </si>
  <si>
    <t>来自《通俗克苏鲁》，若要选择此模板，请同时在“Pulp选项”中启用《通俗克苏鲁》。</t>
    <phoneticPr fontId="2" type="noConversion"/>
  </si>
  <si>
    <t xml:space="preserve">   摘要</t>
    <phoneticPr fontId="2" type="noConversion"/>
  </si>
  <si>
    <t>Pulp启用</t>
    <phoneticPr fontId="2" type="noConversion"/>
  </si>
  <si>
    <t>来自《克苏鲁时空穿梭》（伊卡洛斯章节）。</t>
    <phoneticPr fontId="2" type="noConversion"/>
  </si>
  <si>
    <t>来自《克苏鲁时空穿梭》（煤气灯章节）。</t>
    <phoneticPr fontId="2" type="noConversion"/>
  </si>
  <si>
    <t>启用</t>
  </si>
  <si>
    <t>同时使用《克苏鲁的呼唤》核心规则、《克苏鲁时空穿梭》和《通俗克苏鲁》来创建英雄！</t>
    <phoneticPr fontId="2" type="noConversion"/>
  </si>
  <si>
    <t>同时使用《克苏鲁的呼唤》核心规则和《通俗克苏鲁》来创建英雄！</t>
    <phoneticPr fontId="2" type="noConversion"/>
  </si>
  <si>
    <t>使用《通俗克苏鲁》创建英雄！</t>
    <phoneticPr fontId="2" type="noConversion"/>
  </si>
  <si>
    <t>同时使用《克苏鲁黑暗时代》和《通俗克苏鲁》来创建英雄！</t>
    <phoneticPr fontId="2" type="noConversion"/>
  </si>
  <si>
    <t>生命值</t>
    <phoneticPr fontId="2" type="noConversion"/>
  </si>
  <si>
    <t>力量</t>
    <phoneticPr fontId="2" type="noConversion"/>
  </si>
  <si>
    <t>体质</t>
    <phoneticPr fontId="2" type="noConversion"/>
  </si>
  <si>
    <t>体型</t>
    <phoneticPr fontId="2" type="noConversion"/>
  </si>
  <si>
    <t>敏捷</t>
    <phoneticPr fontId="2" type="noConversion"/>
  </si>
  <si>
    <t>外貌</t>
    <phoneticPr fontId="2" type="noConversion"/>
  </si>
  <si>
    <t>教育</t>
    <phoneticPr fontId="2" type="noConversion"/>
  </si>
  <si>
    <t>智力</t>
    <phoneticPr fontId="2" type="noConversion"/>
  </si>
  <si>
    <t>意志</t>
    <phoneticPr fontId="2" type="noConversion"/>
  </si>
  <si>
    <t>掷骰指令</t>
    <phoneticPr fontId="2" type="noConversion"/>
  </si>
  <si>
    <t>最终值</t>
    <phoneticPr fontId="2" type="noConversion"/>
  </si>
  <si>
    <t>掷骰或使用属性购点来生成属性，填写至“掷骰结果”列。由年龄、可选规则或扩展书产生的属性调整值填写至“调整”列。</t>
    <phoneticPr fontId="2" type="noConversion"/>
  </si>
  <si>
    <t>年龄调整</t>
    <phoneticPr fontId="2" type="noConversion"/>
  </si>
  <si>
    <t>STR和SIZ合计-5，EDU-5。决定幸运值时可掷骰两次，取较好值。</t>
  </si>
  <si>
    <t>进行1次教育成长判定。</t>
  </si>
  <si>
    <t>进行2次教育成长判定。STR、CON和DEX合计-5。APP-5。</t>
  </si>
  <si>
    <t>进行3次教育成长判定。STR、CON和DEX合计-10。APP-10。</t>
  </si>
  <si>
    <t>进行4次教育成长判定。STR、CON和DEX合计-20。APP-15。</t>
  </si>
  <si>
    <t>进行4次教育成长判定。STR、CON和DEX合计-40。APP-20。</t>
  </si>
  <si>
    <t>进行4次教育成长判定。STR、CON和DEX合计-80。APP-25。</t>
  </si>
  <si>
    <r>
      <t>接下来，转到“角色卡”标签，填写左上角的调查员信息。  请注意填写</t>
    </r>
    <r>
      <rPr>
        <b/>
        <sz val="10"/>
        <color theme="1"/>
        <rFont val="微软雅黑"/>
        <family val="2"/>
        <charset val="134"/>
      </rPr>
      <t>年龄</t>
    </r>
    <r>
      <rPr>
        <sz val="10"/>
        <color theme="1"/>
        <rFont val="微软雅黑"/>
        <family val="2"/>
        <charset val="134"/>
      </rPr>
      <t>，以便进行教育成长判定、处理年龄调整。</t>
    </r>
    <phoneticPr fontId="2" type="noConversion"/>
  </si>
  <si>
    <t xml:space="preserve">   年龄调整</t>
    <phoneticPr fontId="2" type="noConversion"/>
  </si>
  <si>
    <t>Step3：确定次要属性</t>
    <phoneticPr fontId="2" type="noConversion"/>
  </si>
  <si>
    <t>花费5幸运使疾病和毒药的伤害和效果减半。</t>
  </si>
  <si>
    <t>花费10幸运来吸收1轮中的5点伤害。</t>
  </si>
  <si>
    <t>免疫攻击人类、目睹惨烈创伤及尸体的理智损失。</t>
  </si>
  <si>
    <t>花费幸运避免等量理智损失。</t>
  </si>
  <si>
    <t>花费10幸运使近战武器伤害翻倍，不含伤害加值。</t>
  </si>
  <si>
    <t>忽略装填并射击的惩罚骰。</t>
  </si>
  <si>
    <t>忽略瞄准较小目标及近战中目标的惩罚骰。</t>
  </si>
  <si>
    <t>使用战技时体格视为+1。</t>
  </si>
  <si>
    <t>花费10幸运避免寡不敌众，整场战斗有效。</t>
  </si>
  <si>
    <t>始终视为已准备射击。</t>
  </si>
  <si>
    <t>忽略手枪连射的惩罚骰。</t>
  </si>
  <si>
    <t>允许制造和修理怪奇技术制品。</t>
  </si>
  <si>
    <t>获得一只动物伙伴。</t>
  </si>
  <si>
    <t>花费10幸运在附近找到有用的道具。</t>
  </si>
  <si>
    <t>花费5点幸运值，然后使用当前幸运值，作为任意一项技能检定的数值（克苏鲁神话除外）。</t>
    <phoneticPr fontId="2" type="noConversion"/>
  </si>
  <si>
    <t>侦查检定获得1颗奖励骰。</t>
    <phoneticPr fontId="2" type="noConversion"/>
  </si>
  <si>
    <t>学习法术时间减半，施法检定获得1颗奖励骰。</t>
  </si>
  <si>
    <t>自然回复增加至3HP/日。</t>
    <phoneticPr fontId="2" type="noConversion"/>
  </si>
  <si>
    <t>体质检定获得1颗奖励骰。</t>
  </si>
  <si>
    <t>力量检定获得1颗奖励骰。</t>
  </si>
  <si>
    <t>聆听检定获得1颗奖励骰。</t>
  </si>
  <si>
    <t>意志检定获得1颗奖励骰。</t>
  </si>
  <si>
    <t>知识教育检定获得1颗奖励骰。</t>
  </si>
  <si>
    <t>智力检定获得1颗奖励骰，对灵感无效。</t>
  </si>
  <si>
    <t>获得10点克苏鲁神话技能。</t>
  </si>
  <si>
    <t>夜间侦查检定难度降低，忽略夜间射击惩罚骰。</t>
    <phoneticPr fontId="2" type="noConversion"/>
  </si>
  <si>
    <t>花费5幸运避免过量饮酒带来的技能惩罚。</t>
    <phoneticPr fontId="2" type="noConversion"/>
  </si>
  <si>
    <t>取悦检定获得1颗奖励骰。</t>
    <phoneticPr fontId="2" type="noConversion"/>
  </si>
  <si>
    <t>略读和精读时间减半。</t>
    <phoneticPr fontId="2" type="noConversion"/>
  </si>
  <si>
    <t>阅读书籍和神话典籍时，略读和精读花费的时间减半。</t>
    <phoneticPr fontId="2" type="noConversion"/>
  </si>
  <si>
    <t>语言检定获得1颗奖励骰，立即得知语言或文字的语种。</t>
    <phoneticPr fontId="2" type="noConversion"/>
  </si>
  <si>
    <t>获得一项灵能技能。</t>
    <phoneticPr fontId="2" type="noConversion"/>
  </si>
  <si>
    <t>应对枪械而寻找掩护时，不会失去攻击机会。</t>
    <phoneticPr fontId="2" type="noConversion"/>
  </si>
  <si>
    <t>寻找掩护时不失去攻击机会。</t>
    <phoneticPr fontId="2" type="noConversion"/>
  </si>
  <si>
    <t>花费10幸运再发动1次近战攻击。</t>
    <phoneticPr fontId="2" type="noConversion"/>
  </si>
  <si>
    <t>恐吓检定获得1颗奖励骰或降低难度。</t>
    <phoneticPr fontId="2" type="noConversion"/>
  </si>
  <si>
    <t>获得一个奇妙道具。</t>
    <phoneticPr fontId="2" type="noConversion"/>
  </si>
  <si>
    <t>回复幸运时额外回复1D10点。</t>
    <phoneticPr fontId="2" type="noConversion"/>
  </si>
  <si>
    <t>潜行检定获得1颗奖励骰或降低难度，可突袭两次。</t>
    <phoneticPr fontId="2" type="noConversion"/>
  </si>
  <si>
    <t>操作重机、机械及电气维修获得奖励骰或降低难度。</t>
    <phoneticPr fontId="2" type="noConversion"/>
  </si>
  <si>
    <t>花费10幸运获得潜行或表演的1颗奖励骰；腹语；他人看穿伪装的检定难度提升为困难。</t>
    <phoneticPr fontId="2" type="noConversion"/>
  </si>
  <si>
    <t>花费5幸运后使用当前幸运值作为技能检定结果，CM不可用。</t>
    <phoneticPr fontId="2" type="noConversion"/>
  </si>
  <si>
    <t>所有理智损失-1。</t>
    <phoneticPr fontId="2" type="noConversion"/>
  </si>
  <si>
    <t>所有技艺检定获得1颗奖励骰或降低难度。</t>
    <phoneticPr fontId="2" type="noConversion"/>
  </si>
  <si>
    <t>获得一项学识技能。</t>
    <phoneticPr fontId="2" type="noConversion"/>
  </si>
  <si>
    <t>所选的学识技能专攻获得1颗奖励骰。</t>
    <phoneticPr fontId="2" type="noConversion"/>
  </si>
  <si>
    <t>花费5幸运对超自然/神话生物造成额外1D4伤害。</t>
    <phoneticPr fontId="2" type="noConversion"/>
  </si>
  <si>
    <t>获得3个守秘人选择的法术。</t>
    <phoneticPr fontId="2" type="noConversion"/>
  </si>
  <si>
    <t>什么人都认识；可以让联系人来帮忙。</t>
    <phoneticPr fontId="2" type="noConversion"/>
  </si>
  <si>
    <t>花费10幸运无视1D6轮的临时性疯狂。</t>
    <phoneticPr fontId="2" type="noConversion"/>
  </si>
  <si>
    <t>射击(步枪)检定获得1颗奖励骰。</t>
    <phoneticPr fontId="2" type="noConversion"/>
  </si>
  <si>
    <t>最大生命值+5。</t>
    <phoneticPr fontId="2" type="noConversion"/>
  </si>
  <si>
    <t>第一项</t>
    <phoneticPr fontId="2" type="noConversion"/>
  </si>
  <si>
    <t>第二项</t>
    <phoneticPr fontId="2" type="noConversion"/>
  </si>
  <si>
    <t>第三项</t>
    <phoneticPr fontId="2" type="noConversion"/>
  </si>
  <si>
    <t>第四项</t>
    <phoneticPr fontId="2" type="noConversion"/>
  </si>
  <si>
    <t>天赋序号</t>
    <phoneticPr fontId="2" type="noConversion"/>
  </si>
  <si>
    <t>疯狂天赋</t>
    <phoneticPr fontId="2" type="noConversion"/>
  </si>
  <si>
    <t>天赋数量</t>
    <phoneticPr fontId="2" type="noConversion"/>
  </si>
  <si>
    <t>冒险家</t>
  </si>
  <si>
    <t>教育成长判定：掷百分骰，若掷骰结果大于当前教育值，则教育增加1D10点。教育值不能高于99。</t>
    <phoneticPr fontId="2" type="noConversion"/>
  </si>
  <si>
    <t>S2 额外</t>
    <phoneticPr fontId="2" type="noConversion"/>
  </si>
  <si>
    <t>你可以在“扩展资源”标签找到人生经历表。</t>
    <phoneticPr fontId="2" type="noConversion"/>
  </si>
  <si>
    <t>次要属性</t>
    <phoneticPr fontId="2" type="noConversion"/>
  </si>
  <si>
    <t>起始值</t>
    <phoneticPr fontId="2" type="noConversion"/>
  </si>
  <si>
    <t>理智值</t>
    <phoneticPr fontId="2" type="noConversion"/>
  </si>
  <si>
    <t>魔法值</t>
    <phoneticPr fontId="2" type="noConversion"/>
  </si>
  <si>
    <t>幸运</t>
    <phoneticPr fontId="2" type="noConversion"/>
  </si>
  <si>
    <t>自动掷骰</t>
    <phoneticPr fontId="2" type="noConversion"/>
  </si>
  <si>
    <t>luck</t>
    <phoneticPr fontId="2" type="noConversion"/>
  </si>
  <si>
    <t>转到“职业列表”标签，从中选择职业模板，将序号填写至左边的绿色空格。</t>
    <phoneticPr fontId="2" type="noConversion"/>
  </si>
  <si>
    <t>职业序号</t>
    <phoneticPr fontId="2" type="noConversion"/>
  </si>
  <si>
    <t>取悦，潜水，汽车操纵，急救，格斗(任意)，射击(任意)，跳跃，语言(任意)，机械维修，操纵(任意)，骑术，潜行，生存(任意)，游泳。</t>
  </si>
  <si>
    <t>取悦，格斗(斗殴)，恐吓，聆听，机械维修，精神分析，游泳，投掷。</t>
  </si>
  <si>
    <t>估价，技艺(任意)，取悦，话术，语言(任意)，聆听，侦查，精神分析。</t>
  </si>
  <si>
    <t>技艺(任意)，取悦，历史，语言(任意)，图书馆使用，聆听，博物学，神秘学。</t>
  </si>
  <si>
    <t>驯兽，人类学，取悦，格斗(斗殴)，急救，跳跃，语言(任意)，博物学，领航，操纵(任意)，骑术，潜行，生存(任意)，追踪。</t>
  </si>
  <si>
    <t>技艺(表演)，估价，取悦，乔装，汽车操纵，话术，格斗(斗殴)，射击(手枪)，聆听，精神分析，妙手，潜行。</t>
  </si>
  <si>
    <t>技艺(表演)，取悦，乔装，话术，跳跃，语言(任意)，聆听，说服，精神分析，妙手，潜行。</t>
  </si>
  <si>
    <t>估价，技艺(任意)，取悦，乔装，话术，法律，锁匠，精神分析，读唇，侦查，潜行。</t>
  </si>
  <si>
    <t>驯兽，取悦，电气维修，话术，急救，跳跃，图书馆使用，聆听，领航，摄影，科学(任意)，潜行，追踪。</t>
  </si>
  <si>
    <t>技艺(任意)，取悦，格斗(任意)，跳跃，语言(任意)，机械维修，领航，操纵(任意)，潜行，游泳，投掷。</t>
  </si>
  <si>
    <t>技艺(任意)，取悦，潜水，汽车操纵，话术，跳跃，机械维修，领航，操纵(任意)，骑术，潜行，生存(任意)，游泳，投掷。</t>
  </si>
  <si>
    <t>本职技能点</t>
    <phoneticPr fontId="2" type="noConversion"/>
  </si>
  <si>
    <t>兴趣技能点</t>
    <phoneticPr fontId="2" type="noConversion"/>
  </si>
  <si>
    <t>信用范围</t>
    <phoneticPr fontId="2" type="noConversion"/>
  </si>
  <si>
    <t>奖励技能点</t>
    <phoneticPr fontId="2" type="noConversion"/>
  </si>
  <si>
    <t>选择的职业模板</t>
    <phoneticPr fontId="2" type="noConversion"/>
  </si>
  <si>
    <t>职业来源</t>
    <phoneticPr fontId="2" type="noConversion"/>
  </si>
  <si>
    <t>EDU×4</t>
  </si>
  <si>
    <t>EDU×2＋STR×2</t>
  </si>
  <si>
    <t>EDU×2＋DEX×2</t>
    <phoneticPr fontId="2" type="noConversion"/>
  </si>
  <si>
    <t>EDU×2＋APP×2</t>
    <phoneticPr fontId="2" type="noConversion"/>
  </si>
  <si>
    <t>EDU×2＋POW×2</t>
    <phoneticPr fontId="2" type="noConversion"/>
  </si>
  <si>
    <t>EDU×2＋INT×2</t>
    <phoneticPr fontId="2" type="noConversion"/>
  </si>
  <si>
    <t>EDU×2+STR×2</t>
  </si>
  <si>
    <t>EDU×2+DEX×2</t>
  </si>
  <si>
    <t>EDU×2+STR/DEX×2</t>
  </si>
  <si>
    <t>EDU×2+DEX/STR×2</t>
  </si>
  <si>
    <t>EDU×2+APP×2</t>
  </si>
  <si>
    <t>EDU×2+DEX/APP×2</t>
  </si>
  <si>
    <t>EDU×2+APP/DEX/STR×2</t>
  </si>
  <si>
    <t>EDU×2+APP/POW×2</t>
  </si>
  <si>
    <t>EDU×2+DEX/POW×2</t>
  </si>
  <si>
    <t>EDU×2+APP/DEX/STR×2</t>
    <phoneticPr fontId="2" type="noConversion"/>
  </si>
  <si>
    <t>黑暗时代</t>
  </si>
  <si>
    <t>9-99</t>
  </si>
  <si>
    <t>9-60</t>
  </si>
  <si>
    <t>会计，取悦，技艺（任选一种），话术，察言观色，博物学，本国知识，任选一个技能作为个人特长。</t>
  </si>
  <si>
    <t>9-30</t>
  </si>
  <si>
    <t>格斗（斗殴），格斗（矛），聆听，本国知识，骑术，侦查，投掷，任一作为个人特长的技能。</t>
  </si>
  <si>
    <t>9-45</t>
  </si>
  <si>
    <t>0-30</t>
  </si>
  <si>
    <t>察言观色，聆听或侦查，博物学，神秘学，说服，宗教学，潜行，任意一项可以作为个人特长的技能。</t>
  </si>
  <si>
    <t>9-65</t>
  </si>
  <si>
    <t>0-65</t>
  </si>
  <si>
    <t>技艺（任一），取悦，话术，察言观色，本国知识，说服，任意两项作为个人特长的技能。</t>
  </si>
  <si>
    <t>0-20</t>
  </si>
  <si>
    <t>会计，取悦，话术，外邦知识（其他），外语，读写能力（语言），任意两项个人技能。</t>
  </si>
  <si>
    <t>0-45</t>
  </si>
  <si>
    <t>取悦，博物学，导航，外语，本国知识，宗教学，潜行，任意一项可以作为个人特长的技能。</t>
  </si>
  <si>
    <t>攀爬，话术，博物学，导航，外邦知识（其他），驾驶（船），任意两项作为个人特长的技能。</t>
  </si>
  <si>
    <t>取悦，驾驶马车或驾驶（船），话术，察言观色，本国知识，外语（根据你的贸易路线，你可能了解中古拉丁语、希腊语、佛兰芒语、低地日耳曼语或北欧语），导航，任意一项可作为个人特长的技能。</t>
  </si>
  <si>
    <t>0-25</t>
  </si>
  <si>
    <t>技艺（任一），聆听或侦察，博物学，导航，驾驶（船）或追踪，潜行或游泳，投掷，一项作为个人特长的技能。</t>
  </si>
  <si>
    <t>乞丐</t>
    <phoneticPr fontId="2" type="noConversion"/>
  </si>
  <si>
    <t>手艺人或店主</t>
    <phoneticPr fontId="2" type="noConversion"/>
  </si>
  <si>
    <t>农民（自由人）</t>
    <phoneticPr fontId="2" type="noConversion"/>
  </si>
  <si>
    <t>动物驯养，技艺（选择任一），驾驶马车，聆听，博物学，导航，追踪，任意作为个人特长的技能。</t>
    <phoneticPr fontId="2" type="noConversion"/>
  </si>
  <si>
    <t>卫兵</t>
    <phoneticPr fontId="2" type="noConversion"/>
  </si>
  <si>
    <t>治疗师</t>
    <phoneticPr fontId="2" type="noConversion"/>
  </si>
  <si>
    <t>技艺（药剂），急救，察言观色，聆听或侦查，博物学，神秘学，任意两项可以作为个人特长的技能。</t>
    <phoneticPr fontId="2" type="noConversion"/>
  </si>
  <si>
    <t>隐士/异教徒</t>
    <phoneticPr fontId="2" type="noConversion"/>
  </si>
  <si>
    <t>家庭官员</t>
    <phoneticPr fontId="2" type="noConversion"/>
  </si>
  <si>
    <t>动物驯养，技艺（任一），话术，察言观色，聆听，侦查，任意两项作为个人特长的技能。</t>
    <phoneticPr fontId="2" type="noConversion"/>
  </si>
  <si>
    <t>杂耍艺人/吟游诗人</t>
    <phoneticPr fontId="2" type="noConversion"/>
  </si>
  <si>
    <t>佣兵/盗匪</t>
    <phoneticPr fontId="2" type="noConversion"/>
  </si>
  <si>
    <t>格斗（斗殴），格斗（任一武器），博物学，导航，追踪，潜行，投掷，任意一项作为个人特长的技能。</t>
    <phoneticPr fontId="2" type="noConversion"/>
  </si>
  <si>
    <t>商人</t>
    <phoneticPr fontId="2" type="noConversion"/>
  </si>
  <si>
    <t>修道士/修女</t>
    <phoneticPr fontId="2" type="noConversion"/>
  </si>
  <si>
    <t>技艺（任一）或科学（任一），图书馆使用，聆听，外语（拉丁语），宗教学，读写能力（拉丁），任意两项作为个人特长的技能。</t>
    <phoneticPr fontId="2" type="noConversion"/>
  </si>
  <si>
    <t>朝圣者</t>
    <phoneticPr fontId="2" type="noConversion"/>
  </si>
  <si>
    <t>司铎（神父）</t>
    <phoneticPr fontId="2" type="noConversion"/>
  </si>
  <si>
    <t>察言观色，外语（拉丁语），神秘学，说服，任意三项作为个人特长的技能。</t>
    <phoneticPr fontId="2" type="noConversion"/>
  </si>
  <si>
    <t>水手</t>
    <phoneticPr fontId="2" type="noConversion"/>
  </si>
  <si>
    <t>图书馆使用，外语（拉丁语），本国知识，说服，科学（任一），读写能力（拉丁语），任一可以作为个人特长的技能。</t>
    <phoneticPr fontId="2" type="noConversion"/>
  </si>
  <si>
    <t>小贸易商</t>
    <phoneticPr fontId="2" type="noConversion"/>
  </si>
  <si>
    <t>战士（自由人）</t>
    <phoneticPr fontId="2" type="noConversion"/>
  </si>
  <si>
    <t>格斗（斗殴），博物学，本国知识，骑术，追踪，任意两项战斗技能，任意一项个人特长。</t>
    <phoneticPr fontId="2" type="noConversion"/>
  </si>
  <si>
    <t>樵夫/渔夫</t>
    <phoneticPr fontId="2" type="noConversion"/>
  </si>
  <si>
    <t>POW×4</t>
  </si>
  <si>
    <t>POW×2+APP×2</t>
  </si>
  <si>
    <t>EDU×2+POW/APP×2</t>
  </si>
  <si>
    <t>EDU/POW×4</t>
  </si>
  <si>
    <t>EDU×2+POW×2</t>
  </si>
  <si>
    <t>STR×2+DEX×2</t>
  </si>
  <si>
    <t>DEX×2+POW/APP×2</t>
  </si>
  <si>
    <t>EDU×2+INT×2</t>
  </si>
  <si>
    <t>STR×2+CON×2</t>
  </si>
  <si>
    <t>DEX×2+CON×2</t>
  </si>
  <si>
    <t>CON×2+INT×2</t>
  </si>
  <si>
    <t>技艺（表演），察言观色，聆听或侦查，妙手，两种社交技能（取悦，话术，恐吓，或说服），任意两种作为个人特长技能。</t>
    <phoneticPr fontId="2" type="noConversion"/>
  </si>
  <si>
    <t>取悦，图书馆使用，说服，外语（拉丁语），本国知识，读写能力（拉丁语或本地语言），宗教学，一项作为个人特长技能。</t>
    <phoneticPr fontId="2" type="noConversion"/>
  </si>
  <si>
    <t>1920s</t>
  </si>
  <si>
    <r>
      <t>填写背景条目时，可以参考《守秘人规则书》、《调查员手册》或相关扩展书的“</t>
    </r>
    <r>
      <rPr>
        <b/>
        <sz val="10"/>
        <rFont val="微软雅黑"/>
        <family val="2"/>
        <charset val="134"/>
      </rPr>
      <t>使用随机列表来获得灵感</t>
    </r>
    <r>
      <rPr>
        <sz val="10"/>
        <color theme="1"/>
        <rFont val="微软雅黑"/>
        <family val="2"/>
        <charset val="134"/>
      </rPr>
      <t>”部分。</t>
    </r>
    <phoneticPr fontId="2" type="noConversion"/>
  </si>
  <si>
    <r>
      <t>转到“角色卡”标签的“背景故事”部分，逐项填写背景条目。从中选择对调查员最为重要的一项作为其</t>
    </r>
    <r>
      <rPr>
        <b/>
        <sz val="10"/>
        <color theme="1"/>
        <rFont val="微软雅黑"/>
        <family val="2"/>
        <charset val="134"/>
      </rPr>
      <t>关键连接</t>
    </r>
    <r>
      <rPr>
        <sz val="10"/>
        <color theme="1"/>
        <rFont val="微软雅黑"/>
        <family val="2"/>
        <charset val="134"/>
      </rPr>
      <t>。</t>
    </r>
    <phoneticPr fontId="2" type="noConversion"/>
  </si>
  <si>
    <t>道具的价格以及武器的数据请参考《守秘人规则书》、《调查员手册》或相关扩展书。</t>
    <phoneticPr fontId="2" type="noConversion"/>
  </si>
  <si>
    <t>根据Chaosium在官网发布的Call of Cthulhu Character Sheet制作，部分内容有改动。</t>
    <phoneticPr fontId="2" type="noConversion"/>
  </si>
  <si>
    <t>你可以填写在“调查员同伴”中记录一同游戏的其他调查员的信息。</t>
    <phoneticPr fontId="2" type="noConversion"/>
  </si>
  <si>
    <t>核心规则</t>
  </si>
  <si>
    <t>成功等级</t>
    <phoneticPr fontId="2" type="noConversion"/>
  </si>
  <si>
    <t>示例 - 田宫真莉[秋叶]：泷上事务所的新人律师，有点孩子气。</t>
  </si>
  <si>
    <t>技艺（表演），乔装，格斗，历史，两项社交技能（取悦、话术、恐吓、说服），心理学，任意一项其他个人或时代特长。</t>
  </si>
  <si>
    <t>技艺（表演），乔装，汽车驾驶，两项社交技能（取悦、话术、恐吓、说服），心理学，任意两项其他个人或时代特长（如骑乘或格斗）。</t>
  </si>
  <si>
    <t>一项社交技能（取悦、话术、恐吓、说服），格斗（斗殴），射击，法律，图书馆，心理学，潜行，追踪。</t>
  </si>
  <si>
    <t>估价，技艺（任一），历史，图书馆，外语，一项社交技能（取悦、话术、恐吓、说服），侦查，任意一项其他个人或时代特长。</t>
  </si>
  <si>
    <t>会计，估价，汽车驾驶，两项社交技能（取悦、话术、恐吓、说服），历史，图书馆，导航。</t>
  </si>
  <si>
    <t>技艺（任一），历史或博物学，一项社交技能（取悦、话术、恐吓、说服），外语，心理学，侦查，任意两项其他个人或时代特长。</t>
  </si>
  <si>
    <t>闪避，格斗（斗殴），急救，两项社交技能（取悦、话术、恐吓、说服），聆听，心理学，潜行。</t>
  </si>
  <si>
    <t>攀爬，跳跃，格斗（斗殴），骑乘，一项社交技能（取悦、话术、恐吓、说服），游泳，投掷，任意一项其他个人或时代特长。</t>
  </si>
  <si>
    <t>会计，两项社交技能（取悦、话术、恐吓、说服），格斗（斗殴），聆听，心理学，侦查，任意一项其他个人或时代特长。</t>
  </si>
  <si>
    <t>会计，估价，汽车驾驶，历史，图书馆，母语，外语，一项社交技能（取悦、话术、恐吓、说服）。</t>
  </si>
  <si>
    <t>汽车驾驶，电子学或电气维修，格斗或射击，一项社交技能（取悦、话术、恐吓、说服），法律，心理学，追踪，潜行。</t>
  </si>
  <si>
    <t>会计，历史，图书馆，聆听，外语，一项社交技能（取悦、话术、恐吓、说服），心理学，任意一项其他技能。</t>
  </si>
  <si>
    <t>计算机，电气维修，电子学，图书馆，侦查，一项社交技能（取悦、话术、恐吓、说服），任意两项其他技能。</t>
  </si>
  <si>
    <t>汽车驾驶，格斗，射击，两项社交技能（取悦、话术、恐吓、说服），心理学，潜行，侦查。</t>
  </si>
  <si>
    <t>估价，技艺（表演），法律或外语，聆听，两项社交技能（取悦、话术、恐吓、说服），心理学，妙手。</t>
  </si>
  <si>
    <t>技艺（表演）或乔装，估价，一项社交技能（取悦、话术、恐吓、说服），格斗或射击，锁匠或机械维修，潜行，心理学，侦查。</t>
  </si>
  <si>
    <t>技艺（任意），两项社交技能（取悦、话术、恐吓、说服），格斗（斗殴）或射击（手枪），汽车驾驶，聆听，潜行，任意一项其他个人或时代特长。</t>
  </si>
  <si>
    <t>会计，估价，技艺（伪造），历史，一项社交技能（取悦、话术、恐吓、说服），图书馆，侦查，任意一项其他技能。</t>
  </si>
  <si>
    <t>射击，聆听，导航，一项社交技能（取悦、话术、恐吓、说服），汽车驾驶或驾驶（飞行器或船），心理学，妙手，侦查。</t>
  </si>
  <si>
    <t>攀爬，一项社交技能（取悦、话术、恐吓、说服），格斗，射击，跳跃，妙手，潜行，投掷。</t>
  </si>
  <si>
    <t>会计，两项社交技能（取悦、话术、恐吓、说服），神秘学，心理学，侦查，任意其他两项其他个人特长。</t>
  </si>
  <si>
    <t>两项社交技能（取悦、话术、恐吓、说服），汽车驾驶，格斗（斗殴）或射击，历史，神秘学，心理学，潜行。※经KP允许 可用催眠替换其中一项。</t>
  </si>
  <si>
    <t>技艺（任一），射击，外语，骑乘，一项社交技能（取悦、话术、恐吓、说服），任意三项其他个人或时代特长。</t>
  </si>
  <si>
    <t>攀爬，跳跃，聆听，导航，一项社交技能（取悦、话术、恐吓、说服），潜行，任意两项其他个人或时代特长。</t>
  </si>
  <si>
    <t>汽车驾驶，两项社交技能（取悦、话术、恐吓、说服），聆听，机械维修，导航，侦查，任意一项其他个人或时代特长。</t>
  </si>
  <si>
    <t>会计，汽车驾驶，聆听，一项社交技能（取悦、话术、恐吓、说服），机械维修，导航，心理学，任意一项其他个人或时代特长。</t>
  </si>
  <si>
    <t>会计，历史，母语，两项社交技能（取悦、话术、恐吓、说服），心理学，侦查，任意一项其他个人或时代特长。</t>
  </si>
  <si>
    <t>取悦，历史，恐吓，话术，聆听，母语，说服，心理学。</t>
  </si>
  <si>
    <t>技艺（表演类，如表演、演唱、喜剧等），乔装，两项社交技能（取悦、话术、恐吓、说服），聆听，心理学，任意两项其他个人或时代特长。</t>
  </si>
  <si>
    <t>技艺（耕作），汽车驾驶（或运货马车），一项社交技能（取悦、话术、恐吓、说服），机械维修，博物学，操作重型机械，追踪，任意一项其他个人或时代特长</t>
  </si>
  <si>
    <t>历史，外语，母语，聆听，两项社交技能（取悦、话术、恐吓、说服），心理学，任意一项其他个人或时代特长。</t>
  </si>
  <si>
    <t>会计，技艺（表演），两项社交技能（取悦、话术、恐吓、说服），聆听，心理学，妙手，侦查。</t>
  </si>
  <si>
    <t>格斗，射击，法律，聆听，两项社交技能（取悦、话术、恐吓、说服），心理学，侦查。</t>
  </si>
  <si>
    <t>汽车驾驶，格斗，射击，两项社交技能（取悦、话术、恐吓、说服），心理学，任意两项其他个人或时代特长。</t>
  </si>
  <si>
    <t>技艺（任一），两项社交技能（取悦、话术、恐吓、说服），射击（步枪/霰弹枪），历史，外语（任一），导航，骑乘。</t>
  </si>
  <si>
    <t>电气维修，一项社交技能（取悦、话术、恐吓、说服），格斗（斗殴），急救，聆听，机械维修，心理学，潜行。</t>
  </si>
  <si>
    <t>技艺（艺术或摄影），一项社交技能（取悦、话术、恐吓、说服），历史，图书馆，母语，心理学，任意两项其他个人或时代特长。</t>
  </si>
  <si>
    <t>技艺（表演），历史，聆听，母语，一项社交技能（取悦、话术、恐吓、说服），心理学，潜行，侦查。</t>
  </si>
  <si>
    <t>会计，法律，图书馆，两项社交技能（取悦、话术、恐吓、说服），心理学，两项其他技能。</t>
  </si>
  <si>
    <t>会计，射击，导航，急救，两项社交技能（取悦、话术、恐吓、说服），心理学，任意一项其他个人或时代特长。</t>
  </si>
  <si>
    <t>技艺（任一），急救，机械维修，医学，博物学，一项社交技能（取悦、话术、恐吓、说服），任意两项其他个人或时代特长。</t>
  </si>
  <si>
    <t>技艺（乐器），一项社交技能（取悦、话术、恐吓、说服），聆听，心理学，四项其他技能。</t>
  </si>
  <si>
    <t>急救，聆听，医学，一项社交技能（取悦、话术、恐吓、说服），心理学，科学（生物学，化学），侦查。</t>
  </si>
  <si>
    <t>人类学，历史，图书馆，一项社交技能（取悦、话术、恐吓、说服），神秘学，外语，科学（天文），任意一项其他个人或时代特长 ※经KP允许 可以包含克苏鲁神话</t>
  </si>
  <si>
    <t>会计，急救，外语（拉丁文），图书馆，一项社交技能（取悦、话术、恐吓、说服），心理学，科学（制药，化学）。</t>
  </si>
  <si>
    <t>技艺（摄影），一项社交技能（取悦、话术、恐吓、说服），心理学，科学（化学），潜行，侦查，任意两项其他个人或时代特长。</t>
  </si>
  <si>
    <t>技艺（摄影），攀爬，一项社交技能（取悦、话术、恐吓、说服），外语，心理学，科学（化学），任意两项其他个人或时代特长。</t>
  </si>
  <si>
    <t>技艺（表演）或乔装，射击，法律，聆听，一项社交技能（取悦、话术、恐吓、说服），心理学，侦查，一项其他技能。</t>
  </si>
  <si>
    <t>格斗（斗殴），射击，急救，一项社交技能（取悦、话术、恐吓、说服），法律，心理学，侦查和下面的一种个人特长：汽车驾驶或骑乘。</t>
  </si>
  <si>
    <t>技艺（摄影），乔装，法律，图书馆，一项社交技能（取悦、话术、恐吓、说服），心理学，侦查，一项其他个人或时代特长（如计算机、锁匠、格斗、射击）。</t>
  </si>
  <si>
    <t>技艺（任一），两项社交技能（取悦、话术、恐吓、说服），闪避，心理学，妙手，潜行，任意一项其他个人或时代特长。</t>
  </si>
  <si>
    <t>历史，图书馆，一项社交技能（取悦、话术、恐吓、说服），外语，侦查，任意三项其他学术领域。</t>
  </si>
  <si>
    <t>急救，机械维修，博物学，导航，一项社交技能（取悦、话术、恐吓、说服），驾驶（船），侦查，游泳。</t>
  </si>
  <si>
    <t>会计，两项社交技能（取悦、话术、恐吓、说服），汽车驾驶，聆听，心理学，潜行或妙手，一项其他技能。</t>
  </si>
  <si>
    <t>任意三项科学专业领域，计算机或图书馆，外语，母语，一项社交技能（取悦、话术、恐吓、说服），侦查。</t>
  </si>
  <si>
    <t>会计，技艺（打字或速记），两项社交技能（取悦、话术、恐吓、说服），母语，图书馆或计算机，心理学，任意一项其他个人或时代特长。</t>
  </si>
  <si>
    <t>会计，两项社交技能（取悦、话术、恐吓、说服），电气维修，聆听，机械维修，心理学，侦查。</t>
  </si>
  <si>
    <t>技艺（表演）或乔装，射击，聆听，外语，一项社交技能（取悦、话术、恐吓、说服），心理学，妙手，潜行。</t>
  </si>
  <si>
    <t>会计，汽车驾驶，一项社交技能（取悦、话术、恐吓、说服），历史，神秘学，心理学，科学（生物学，化学）。</t>
  </si>
  <si>
    <t>会计，两项社交技能（取悦、话术、恐吓、说服），格斗（斗殴），法律，聆听，操作重型机械，心理学。</t>
  </si>
  <si>
    <t>会计，技艺（任一），闪避，聆听，两项社交技能（取悦、话术、恐吓、说服），心理学，任意一项其他个人或时代特长。</t>
  </si>
  <si>
    <t>会计，外语，法律，两项社交技能（取悦、话术、恐吓、说服），心理学，任意两项其他个人或时代特长。</t>
  </si>
  <si>
    <t>历史，两项社交技能（取悦、话术、恐吓、说服），心理学，潜行，任意三项其他个人或时代特长。</t>
  </si>
  <si>
    <t>急救，历史，两项社交技能（取悦、话术、恐吓、说服），博物学，神秘学，语言，任意两项其他个人或时代特长。 ※若KP允许 可以包含灵能。</t>
  </si>
  <si>
    <t>转到“角色卡”标签的“资产”部分，填写填写现金、消费水平和资产。</t>
  </si>
  <si>
    <t>转到“角色卡”标签的“装备和道具”部分，填写调查员所携带的道具和物品等，并在现金或资产中扣除相应的费用。</t>
  </si>
  <si>
    <t>转到“角色卡”标签，做最终检查，并交由你的守秘人审核。</t>
  </si>
  <si>
    <t>在游戏过程中，你不会再用到“创建调查员”标签中的任何内容，角色卡主体部分的所有可选择部分均可无视公式自行修改。</t>
  </si>
  <si>
    <t>动物驯养，会计，闪避，急救，博物学，医学，科学（制药，动物学）。</t>
  </si>
  <si>
    <t>跳跃，聆听，博物学，动物驯养，科学（动物学），潜行，追踪，任意一项其他个人或时代特长。</t>
    <phoneticPr fontId="2" type="noConversion"/>
  </si>
  <si>
    <t>会计或估价，技艺（任一：如烹饪、裁缝、理发），急救，聆听，心理学，侦查，任意两项其他个人或时代特长。</t>
    <phoneticPr fontId="2" type="noConversion"/>
  </si>
  <si>
    <t>会计，语言，法律，图书馆或计算机，聆听，一项社交技能（取悦、话术、恐吓、说服），任意两项其他个人或时代特长。</t>
    <phoneticPr fontId="2" type="noConversion"/>
  </si>
  <si>
    <t>STR</t>
  </si>
  <si>
    <t>恐惧症
和躁狂症</t>
    <phoneticPr fontId="2" type="noConversion"/>
  </si>
  <si>
    <t>整理神话背景</t>
    <phoneticPr fontId="2" type="noConversion"/>
  </si>
  <si>
    <t>*职业模板、重要线索以及调查员同伴不会被输出。</t>
    <phoneticPr fontId="2" type="noConversion"/>
  </si>
  <si>
    <t>克苏鲁的呼唤第七版角色扮演游戏 半自动角色  Version3.0.4</t>
    <phoneticPr fontId="2" type="noConversion"/>
  </si>
  <si>
    <t>秋叶EXODUS  2021/03/16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</si>
</sst>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_ "/>
    <numFmt numFmtId="177" formatCode="0_);[Red]\(0\)"/>
    <numFmt numFmtId="178" formatCode="\+0;\-0;\±0"/>
    <numFmt numFmtId="179" formatCode="\/0_ "/>
    <numFmt numFmtId="180" formatCode="0_ ;[Red]\-0\ "/>
    <numFmt numFmtId="181" formatCode="General\ \:"/>
    <numFmt numFmtId="182" formatCode="\+0;\-0"/>
  </numFmts>
  <fonts count="33" x14ac:knownFonts="1">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0"/>
      <color theme="0" tint="-0.499984740745262"/>
      <name val="微软雅黑"/>
      <family val="2"/>
      <charset val="134"/>
    </font>
    <font>
      <sz val="11"/>
      <color theme="0"/>
      <name val="微软雅黑 Light"/>
      <family val="2"/>
      <charset val="134"/>
    </font>
    <font>
      <sz val="10"/>
      <name val="微软雅黑"/>
      <family val="2"/>
      <charset val="134"/>
    </font>
    <font>
      <sz val="10"/>
      <color theme="0"/>
      <name val="微软雅黑"/>
      <family val="2"/>
      <charset val="134"/>
    </font>
    <font>
      <sz val="10"/>
      <color theme="0" tint="-0.249977111117893"/>
      <name val="微软雅黑"/>
      <family val="2"/>
      <charset val="134"/>
    </font>
    <font>
      <sz val="10"/>
      <color theme="2" tint="-0.249977111117893"/>
      <name val="微软雅黑"/>
      <family val="2"/>
      <charset val="134"/>
    </font>
    <font>
      <sz val="12"/>
      <color theme="0"/>
      <name val="微软雅黑 Light"/>
      <family val="2"/>
      <charset val="134"/>
    </font>
    <font>
      <sz val="12"/>
      <color theme="1"/>
      <name val="微软雅黑 Light"/>
      <family val="2"/>
      <charset val="134"/>
    </font>
    <font>
      <sz val="12"/>
      <color theme="1"/>
      <name val="微软雅黑"/>
      <family val="2"/>
      <charset val="134"/>
    </font>
    <font>
      <sz val="12"/>
      <color theme="0"/>
      <name val="微软雅黑"/>
      <family val="2"/>
      <charset val="134"/>
    </font>
    <font>
      <u/>
      <sz val="11"/>
      <color theme="10"/>
      <name val="等线"/>
      <family val="2"/>
      <charset val="134"/>
      <scheme val="minor"/>
    </font>
    <font>
      <sz val="11"/>
      <name val="微软雅黑"/>
      <family val="2"/>
      <charset val="134"/>
    </font>
    <font>
      <b/>
      <sz val="11"/>
      <color rgb="FFFF0000"/>
      <name val="微软雅黑"/>
      <family val="2"/>
      <charset val="134"/>
    </font>
    <font>
      <sz val="20"/>
      <color theme="1"/>
      <name val="微软雅黑"/>
      <family val="2"/>
      <charset val="134"/>
    </font>
    <font>
      <u/>
      <sz val="11"/>
      <color theme="10"/>
      <name val="微软雅黑"/>
      <family val="2"/>
      <charset val="134"/>
    </font>
    <font>
      <b/>
      <sz val="10"/>
      <color theme="1"/>
      <name val="微软雅黑"/>
      <family val="2"/>
      <charset val="134"/>
    </font>
    <font>
      <sz val="8"/>
      <color theme="1"/>
      <name val="微软雅黑 Light"/>
      <family val="2"/>
      <charset val="134"/>
    </font>
    <font>
      <sz val="10"/>
      <color theme="7" tint="0.79998168889431442"/>
      <name val="微软雅黑"/>
      <family val="2"/>
      <charset val="134"/>
    </font>
    <font>
      <b/>
      <sz val="12"/>
      <color theme="1"/>
      <name val="微软雅黑"/>
      <family val="2"/>
      <charset val="134"/>
    </font>
    <font>
      <b/>
      <sz val="12"/>
      <color rgb="FFC00000"/>
      <name val="微软雅黑"/>
      <family val="2"/>
      <charset val="134"/>
    </font>
    <font>
      <sz val="14"/>
      <color theme="1"/>
      <name val="微软雅黑"/>
      <family val="2"/>
      <charset val="134"/>
    </font>
    <font>
      <sz val="11"/>
      <color rgb="FF000000"/>
      <name val="微软雅黑"/>
      <family val="2"/>
      <charset val="134"/>
    </font>
    <font>
      <sz val="11"/>
      <color rgb="FF000000"/>
      <name val="等线"/>
      <family val="3"/>
      <charset val="134"/>
    </font>
    <font>
      <sz val="10"/>
      <color theme="1"/>
      <name val="Microsoft YaHei Light"/>
      <family val="2"/>
      <charset val="134"/>
    </font>
    <font>
      <b/>
      <sz val="10"/>
      <color theme="0"/>
      <name val="微软雅黑"/>
      <family val="2"/>
      <charset val="134"/>
    </font>
    <font>
      <b/>
      <sz val="10"/>
      <name val="微软雅黑"/>
      <family val="2"/>
      <charset val="134"/>
    </font>
  </fonts>
  <fills count="10">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6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right/>
      <top style="thin">
        <color theme="0" tint="-0.249977111117893"/>
      </top>
      <bottom style="medium">
        <color indexed="64"/>
      </bottom>
      <diagonal/>
    </border>
    <border>
      <left/>
      <right style="medium">
        <color indexed="64"/>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thin">
        <color theme="0" tint="-0.249977111117893"/>
      </right>
      <top/>
      <bottom style="medium">
        <color indexed="64"/>
      </bottom>
      <diagonal/>
    </border>
    <border>
      <left/>
      <right style="thin">
        <color theme="0" tint="-0.249977111117893"/>
      </right>
      <top style="thin">
        <color theme="0" tint="-0.249977111117893"/>
      </top>
      <bottom style="medium">
        <color indexed="64"/>
      </bottom>
      <diagonal/>
    </border>
    <border>
      <left/>
      <right style="medium">
        <color indexed="64"/>
      </right>
      <top style="thin">
        <color theme="0" tint="-0.249977111117893"/>
      </top>
      <bottom/>
      <diagonal/>
    </border>
    <border>
      <left/>
      <right style="medium">
        <color indexed="64"/>
      </right>
      <top/>
      <bottom style="thin">
        <color theme="0" tint="-0.249977111117893"/>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0" tint="-0.249977111117893"/>
      </right>
      <top style="thin">
        <color theme="0" tint="-0.249977111117893"/>
      </top>
      <bottom/>
      <diagonal/>
    </border>
    <border>
      <left style="medium">
        <color indexed="64"/>
      </left>
      <right/>
      <top style="thin">
        <color theme="0" tint="-0.249977111117893"/>
      </top>
      <bottom style="medium">
        <color indexed="64"/>
      </bottom>
      <diagonal/>
    </border>
    <border>
      <left/>
      <right style="thin">
        <color theme="0" tint="-0.249977111117893"/>
      </right>
      <top/>
      <bottom style="thin">
        <color theme="0" tint="-0.249977111117893"/>
      </bottom>
      <diagonal/>
    </border>
    <border>
      <left/>
      <right style="thin">
        <color theme="0" tint="-0.249977111117893"/>
      </right>
      <top/>
      <bottom/>
      <diagonal/>
    </border>
    <border>
      <left/>
      <right style="thin">
        <color theme="0" tint="-0.249977111117893"/>
      </right>
      <top style="medium">
        <color indexed="64"/>
      </top>
      <bottom/>
      <diagonal/>
    </border>
    <border>
      <left/>
      <right style="double">
        <color indexed="64"/>
      </right>
      <top style="medium">
        <color indexed="64"/>
      </top>
      <bottom/>
      <diagonal/>
    </border>
    <border>
      <left/>
      <right style="double">
        <color indexed="64"/>
      </right>
      <top/>
      <bottom style="thin">
        <color theme="0" tint="-0.249977111117893"/>
      </bottom>
      <diagonal/>
    </border>
    <border>
      <left/>
      <right style="double">
        <color indexed="64"/>
      </right>
      <top/>
      <bottom style="medium">
        <color indexed="64"/>
      </bottom>
      <diagonal/>
    </border>
    <border>
      <left/>
      <right style="double">
        <color indexed="64"/>
      </right>
      <top/>
      <bottom/>
      <diagonal/>
    </border>
    <border>
      <left style="thin">
        <color theme="0" tint="-0.249977111117893"/>
      </left>
      <right style="double">
        <color indexed="64"/>
      </right>
      <top style="thin">
        <color theme="0" tint="-0.249977111117893"/>
      </top>
      <bottom style="thin">
        <color theme="0" tint="-0.249977111117893"/>
      </bottom>
      <diagonal/>
    </border>
    <border>
      <left style="thin">
        <color theme="0" tint="-0.249977111117893"/>
      </left>
      <right style="double">
        <color indexed="64"/>
      </right>
      <top style="thin">
        <color theme="0" tint="-0.249977111117893"/>
      </top>
      <bottom style="medium">
        <color indexed="64"/>
      </bottom>
      <diagonal/>
    </border>
    <border>
      <left style="medium">
        <color indexed="64"/>
      </left>
      <right style="thin">
        <color theme="0" tint="-0.249977111117893"/>
      </right>
      <top style="medium">
        <color indexed="64"/>
      </top>
      <bottom/>
      <diagonal/>
    </border>
    <border>
      <left style="thin">
        <color theme="0" tint="-0.249977111117893"/>
      </left>
      <right style="thin">
        <color theme="0" tint="-0.249977111117893"/>
      </right>
      <top style="medium">
        <color indexed="64"/>
      </top>
      <bottom/>
      <diagonal/>
    </border>
    <border>
      <left style="thin">
        <color theme="0" tint="-0.249977111117893"/>
      </left>
      <right style="medium">
        <color indexed="64"/>
      </right>
      <top style="medium">
        <color indexed="64"/>
      </top>
      <bottom/>
      <diagonal/>
    </border>
    <border>
      <left style="thin">
        <color theme="0" tint="-0.249977111117893"/>
      </left>
      <right/>
      <top/>
      <bottom/>
      <diagonal/>
    </border>
    <border>
      <left style="thin">
        <color theme="0" tint="-0.249977111117893"/>
      </left>
      <right/>
      <top style="medium">
        <color indexed="64"/>
      </top>
      <bottom style="thin">
        <color theme="0" tint="-0.249977111117893"/>
      </bottom>
      <diagonal/>
    </border>
    <border>
      <left/>
      <right style="thin">
        <color theme="0" tint="-0.249977111117893"/>
      </right>
      <top style="medium">
        <color indexed="64"/>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17" fillId="0" borderId="0" applyNumberFormat="0" applyFill="0" applyBorder="0" applyAlignment="0" applyProtection="0">
      <alignment vertical="center"/>
    </xf>
  </cellStyleXfs>
  <cellXfs count="655">
    <xf numFmtId="0" fontId="0" fillId="0" borderId="0" xfId="0">
      <alignment vertical="center"/>
    </xf>
    <xf numFmtId="0" fontId="1" fillId="0" borderId="0" xfId="0" applyFont="1" applyAlignment="1">
      <alignment horizontal="center"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3" borderId="6" xfId="0" applyFont="1" applyFill="1" applyBorder="1" applyAlignment="1">
      <alignment horizontal="center" vertical="center"/>
    </xf>
    <xf numFmtId="0" fontId="1" fillId="3" borderId="8" xfId="0" applyFont="1" applyFill="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alignment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49" fontId="18" fillId="3" borderId="0" xfId="0" applyNumberFormat="1" applyFont="1" applyFill="1" applyBorder="1" applyAlignment="1" applyProtection="1">
      <alignment horizontal="center" vertical="center"/>
      <protection locked="0"/>
    </xf>
    <xf numFmtId="49" fontId="18" fillId="0" borderId="4" xfId="0" applyNumberFormat="1" applyFont="1" applyBorder="1" applyAlignment="1" applyProtection="1">
      <alignment horizontal="center" vertical="center"/>
      <protection locked="0"/>
    </xf>
    <xf numFmtId="49" fontId="18" fillId="3" borderId="4" xfId="0" applyNumberFormat="1" applyFont="1" applyFill="1" applyBorder="1" applyAlignment="1" applyProtection="1">
      <alignment horizontal="center" vertical="center"/>
      <protection locked="0"/>
    </xf>
    <xf numFmtId="49" fontId="18" fillId="3" borderId="0" xfId="0" applyNumberFormat="1" applyFont="1" applyFill="1" applyBorder="1" applyAlignment="1" applyProtection="1">
      <alignment horizontal="center" vertical="center" wrapText="1"/>
      <protection locked="0"/>
    </xf>
    <xf numFmtId="49" fontId="18" fillId="0" borderId="0" xfId="0" applyNumberFormat="1" applyFont="1" applyBorder="1" applyAlignment="1" applyProtection="1">
      <alignment horizontal="center" vertical="center"/>
      <protection locked="0"/>
    </xf>
    <xf numFmtId="49" fontId="18" fillId="0" borderId="0" xfId="0" applyNumberFormat="1" applyFont="1" applyBorder="1" applyAlignment="1" applyProtection="1">
      <alignment horizontal="center" vertical="center" wrapText="1"/>
      <protection locked="0"/>
    </xf>
    <xf numFmtId="49" fontId="1" fillId="0" borderId="0" xfId="0" applyNumberFormat="1" applyFont="1" applyAlignment="1">
      <alignment horizontal="center" vertical="center"/>
    </xf>
    <xf numFmtId="49" fontId="18" fillId="5" borderId="0"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8" fillId="5" borderId="5" xfId="0" applyNumberFormat="1" applyFont="1" applyFill="1" applyBorder="1" applyAlignment="1">
      <alignment horizontal="center" vertical="center"/>
    </xf>
    <xf numFmtId="49" fontId="18" fillId="0" borderId="5" xfId="0" applyNumberFormat="1" applyFont="1" applyBorder="1" applyAlignment="1" applyProtection="1">
      <alignment horizontal="center" vertical="center"/>
      <protection locked="0"/>
    </xf>
    <xf numFmtId="49" fontId="18" fillId="3" borderId="5" xfId="0" applyNumberFormat="1" applyFont="1" applyFill="1" applyBorder="1" applyAlignment="1" applyProtection="1">
      <alignment horizontal="center" vertical="center"/>
    </xf>
    <xf numFmtId="49" fontId="18" fillId="0" borderId="5" xfId="0" applyNumberFormat="1" applyFont="1" applyBorder="1" applyAlignment="1" applyProtection="1">
      <alignment horizontal="center" vertical="center"/>
    </xf>
    <xf numFmtId="0" fontId="3" fillId="0" borderId="23" xfId="0" applyNumberFormat="1" applyFont="1" applyBorder="1" applyAlignment="1" applyProtection="1">
      <alignment horizontal="center" vertical="center"/>
      <protection locked="0"/>
    </xf>
    <xf numFmtId="0" fontId="3" fillId="0" borderId="16" xfId="0" applyNumberFormat="1" applyFont="1" applyBorder="1" applyAlignment="1" applyProtection="1">
      <alignment horizontal="center" vertical="center"/>
      <protection locked="0"/>
    </xf>
    <xf numFmtId="0" fontId="3" fillId="0" borderId="34" xfId="0" applyNumberFormat="1" applyFont="1" applyBorder="1" applyAlignment="1" applyProtection="1">
      <alignment horizontal="center" vertical="center"/>
      <protection locked="0"/>
    </xf>
    <xf numFmtId="0" fontId="3" fillId="3" borderId="16" xfId="0" applyNumberFormat="1"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0" borderId="20" xfId="0" applyNumberFormat="1" applyFont="1" applyBorder="1" applyAlignment="1" applyProtection="1">
      <alignment horizontal="center" vertical="center"/>
      <protection locked="0"/>
    </xf>
    <xf numFmtId="0" fontId="3" fillId="3" borderId="20" xfId="0" applyNumberFormat="1" applyFont="1" applyFill="1" applyBorder="1" applyAlignment="1" applyProtection="1">
      <alignment horizontal="center" vertical="center"/>
      <protection locked="0"/>
    </xf>
    <xf numFmtId="0" fontId="10" fillId="7" borderId="0" xfId="0" applyFont="1" applyFill="1" applyAlignment="1" applyProtection="1">
      <alignment horizontal="left" vertical="center"/>
      <protection hidden="1"/>
    </xf>
    <xf numFmtId="0" fontId="3" fillId="0" borderId="0" xfId="0" applyFont="1" applyAlignment="1" applyProtection="1">
      <alignment horizontal="left" vertical="center"/>
      <protection hidden="1"/>
    </xf>
    <xf numFmtId="0" fontId="3" fillId="0" borderId="0" xfId="0" applyFont="1" applyAlignment="1" applyProtection="1">
      <alignment horizontal="center" vertical="center"/>
      <protection hidden="1"/>
    </xf>
    <xf numFmtId="0" fontId="3" fillId="0" borderId="0" xfId="0" applyFont="1" applyFill="1" applyAlignment="1" applyProtection="1">
      <alignment horizontal="center" vertical="center"/>
      <protection hidden="1"/>
    </xf>
    <xf numFmtId="0" fontId="10" fillId="0" borderId="0" xfId="0" applyFont="1" applyFill="1" applyAlignment="1" applyProtection="1">
      <alignment horizontal="left" vertical="center"/>
      <protection hidden="1"/>
    </xf>
    <xf numFmtId="0" fontId="9" fillId="0" borderId="0" xfId="0" applyFont="1" applyAlignment="1" applyProtection="1">
      <alignment horizontal="center" vertical="center"/>
      <protection hidden="1"/>
    </xf>
    <xf numFmtId="176" fontId="9" fillId="0" borderId="0" xfId="0" applyNumberFormat="1" applyFont="1" applyAlignment="1" applyProtection="1">
      <alignment horizontal="center" vertical="center"/>
      <protection hidden="1"/>
    </xf>
    <xf numFmtId="0" fontId="3" fillId="0" borderId="0" xfId="0" applyFont="1" applyAlignment="1" applyProtection="1">
      <alignment vertical="center"/>
      <protection hidden="1"/>
    </xf>
    <xf numFmtId="0" fontId="7" fillId="0" borderId="0" xfId="0" applyFont="1" applyBorder="1" applyAlignment="1" applyProtection="1">
      <protection hidden="1"/>
    </xf>
    <xf numFmtId="0" fontId="7" fillId="0" borderId="0" xfId="0" applyFont="1" applyBorder="1" applyAlignment="1" applyProtection="1">
      <alignment horizontal="left"/>
      <protection hidden="1"/>
    </xf>
    <xf numFmtId="0" fontId="7" fillId="0" borderId="0" xfId="0" applyFont="1" applyBorder="1" applyAlignment="1" applyProtection="1">
      <alignment vertical="center"/>
      <protection hidden="1"/>
    </xf>
    <xf numFmtId="0" fontId="7" fillId="0" borderId="0" xfId="0" applyFont="1" applyBorder="1" applyAlignment="1" applyProtection="1">
      <alignment vertical="center" wrapText="1"/>
      <protection hidden="1"/>
    </xf>
    <xf numFmtId="0" fontId="3" fillId="4" borderId="20" xfId="0" applyNumberFormat="1" applyFont="1" applyFill="1" applyBorder="1" applyAlignment="1" applyProtection="1">
      <alignment horizontal="center" vertical="center"/>
      <protection hidden="1"/>
    </xf>
    <xf numFmtId="0" fontId="3" fillId="4" borderId="16" xfId="0" applyNumberFormat="1" applyFont="1" applyFill="1" applyBorder="1" applyAlignment="1" applyProtection="1">
      <alignment horizontal="center" vertical="center"/>
      <protection hidden="1"/>
    </xf>
    <xf numFmtId="0" fontId="7" fillId="0" borderId="7" xfId="0" applyFont="1" applyBorder="1" applyAlignment="1" applyProtection="1">
      <alignment vertical="top"/>
      <protection hidden="1"/>
    </xf>
    <xf numFmtId="0" fontId="7" fillId="0" borderId="0" xfId="0" applyFont="1" applyBorder="1" applyAlignment="1" applyProtection="1">
      <alignment vertical="top"/>
      <protection hidden="1"/>
    </xf>
    <xf numFmtId="0" fontId="12" fillId="0" borderId="0" xfId="0"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49" fontId="3" fillId="0" borderId="9" xfId="0" applyNumberFormat="1" applyFont="1" applyFill="1" applyBorder="1" applyAlignment="1" applyProtection="1">
      <alignment horizontal="center" vertical="center"/>
      <protection hidden="1"/>
    </xf>
    <xf numFmtId="0" fontId="10" fillId="0" borderId="0" xfId="0" applyFont="1" applyBorder="1" applyAlignment="1" applyProtection="1">
      <alignment vertical="center"/>
      <protection hidden="1"/>
    </xf>
    <xf numFmtId="0" fontId="3" fillId="0" borderId="7" xfId="0" applyFont="1" applyBorder="1" applyAlignment="1" applyProtection="1">
      <alignment horizontal="center" vertical="center"/>
      <protection locked="0"/>
    </xf>
    <xf numFmtId="49" fontId="3" fillId="0" borderId="24" xfId="0" applyNumberFormat="1" applyFont="1" applyFill="1" applyBorder="1" applyAlignment="1" applyProtection="1">
      <alignment horizontal="center" vertical="center"/>
      <protection locked="0" hidden="1"/>
    </xf>
    <xf numFmtId="0" fontId="6" fillId="0" borderId="0" xfId="0" applyFont="1" applyAlignment="1" applyProtection="1">
      <alignment horizontal="center" vertical="center"/>
      <protection hidden="1"/>
    </xf>
    <xf numFmtId="0" fontId="6" fillId="0" borderId="0" xfId="0" applyFont="1" applyAlignment="1" applyProtection="1">
      <alignment horizontal="left" vertical="center"/>
      <protection hidden="1"/>
    </xf>
    <xf numFmtId="49" fontId="6" fillId="0" borderId="0" xfId="0" applyNumberFormat="1" applyFont="1" applyAlignment="1" applyProtection="1">
      <alignment horizontal="center" vertical="center"/>
      <protection hidden="1"/>
    </xf>
    <xf numFmtId="0" fontId="6" fillId="0" borderId="0" xfId="0" applyFont="1" applyAlignment="1" applyProtection="1">
      <alignment horizontal="center" vertical="center" wrapText="1"/>
      <protection hidden="1"/>
    </xf>
    <xf numFmtId="0" fontId="6" fillId="0" borderId="0" xfId="0" applyFont="1" applyAlignment="1" applyProtection="1">
      <alignment horizontal="left" vertical="center" wrapText="1"/>
      <protection hidden="1"/>
    </xf>
    <xf numFmtId="0" fontId="13" fillId="2" borderId="9" xfId="0" applyFont="1" applyFill="1" applyBorder="1" applyAlignment="1" applyProtection="1">
      <alignment horizontal="center" vertical="center"/>
      <protection hidden="1"/>
    </xf>
    <xf numFmtId="0" fontId="14" fillId="0" borderId="0" xfId="0" applyFont="1" applyAlignment="1" applyProtection="1">
      <alignment horizontal="center" vertical="center"/>
      <protection hidden="1"/>
    </xf>
    <xf numFmtId="0" fontId="14" fillId="0" borderId="0" xfId="0" applyFont="1" applyAlignment="1" applyProtection="1">
      <alignment vertical="center"/>
      <protection hidden="1"/>
    </xf>
    <xf numFmtId="0" fontId="14" fillId="3" borderId="9" xfId="0" applyFont="1" applyFill="1" applyBorder="1" applyAlignment="1" applyProtection="1">
      <alignment horizontal="center" vertical="center"/>
      <protection hidden="1"/>
    </xf>
    <xf numFmtId="49" fontId="14" fillId="3" borderId="9" xfId="0" applyNumberFormat="1" applyFont="1" applyFill="1" applyBorder="1" applyAlignment="1" applyProtection="1">
      <alignment horizontal="center" vertical="center"/>
      <protection hidden="1"/>
    </xf>
    <xf numFmtId="0" fontId="14" fillId="0" borderId="9"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49" fontId="23" fillId="3" borderId="9" xfId="0" applyNumberFormat="1" applyFont="1" applyFill="1" applyBorder="1" applyAlignment="1" applyProtection="1">
      <alignment horizontal="center" vertical="center"/>
      <protection hidden="1"/>
    </xf>
    <xf numFmtId="49" fontId="14" fillId="0" borderId="0" xfId="0" applyNumberFormat="1" applyFont="1" applyAlignment="1" applyProtection="1">
      <alignment horizontal="center" vertical="center"/>
      <protection hidden="1"/>
    </xf>
    <xf numFmtId="49" fontId="3" fillId="3" borderId="9" xfId="0" applyNumberFormat="1" applyFont="1" applyFill="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6" xfId="0" applyFont="1" applyBorder="1" applyAlignment="1" applyProtection="1">
      <alignment horizontal="center" vertical="center"/>
      <protection locked="0"/>
    </xf>
    <xf numFmtId="0" fontId="1" fillId="3" borderId="6" xfId="0" applyFont="1" applyFill="1" applyBorder="1" applyAlignment="1" applyProtection="1">
      <alignment horizontal="center" vertical="center"/>
      <protection locked="0"/>
    </xf>
    <xf numFmtId="0" fontId="1" fillId="0" borderId="5" xfId="0" applyFont="1" applyBorder="1" applyAlignment="1" applyProtection="1">
      <alignment horizontal="center" vertical="center"/>
      <protection locked="0"/>
    </xf>
    <xf numFmtId="0" fontId="1" fillId="3" borderId="5" xfId="0" applyFont="1" applyFill="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1" fillId="3" borderId="8" xfId="0" applyFont="1" applyFill="1" applyBorder="1" applyAlignment="1" applyProtection="1">
      <alignment horizontal="center" vertical="center"/>
      <protection locked="0"/>
    </xf>
    <xf numFmtId="0" fontId="16" fillId="2" borderId="40" xfId="0" applyNumberFormat="1" applyFont="1" applyFill="1" applyBorder="1" applyAlignment="1" applyProtection="1">
      <alignment horizontal="left" vertical="center"/>
      <protection locked="0"/>
    </xf>
    <xf numFmtId="0" fontId="15" fillId="3" borderId="41" xfId="0" applyNumberFormat="1" applyFont="1" applyFill="1" applyBorder="1" applyAlignment="1" applyProtection="1">
      <alignment horizontal="left" vertical="center"/>
      <protection locked="0"/>
    </xf>
    <xf numFmtId="0" fontId="15" fillId="3" borderId="42" xfId="0" applyNumberFormat="1" applyFont="1" applyFill="1" applyBorder="1" applyAlignment="1" applyProtection="1">
      <alignment horizontal="left" vertical="center"/>
      <protection locked="0"/>
    </xf>
    <xf numFmtId="0" fontId="15" fillId="0" borderId="0" xfId="0" applyNumberFormat="1" applyFont="1" applyAlignment="1" applyProtection="1">
      <alignment horizontal="left" vertical="center"/>
      <protection locked="0"/>
    </xf>
    <xf numFmtId="0" fontId="15" fillId="0" borderId="0" xfId="0" applyFont="1" applyAlignment="1">
      <alignment horizontal="center" vertical="center"/>
    </xf>
    <xf numFmtId="0" fontId="15" fillId="0" borderId="0" xfId="0" applyFont="1" applyAlignment="1" applyProtection="1">
      <alignment horizontal="center" vertical="center"/>
      <protection hidden="1"/>
    </xf>
    <xf numFmtId="0" fontId="15" fillId="0" borderId="0" xfId="0" applyFont="1" applyAlignment="1" applyProtection="1">
      <alignment horizontal="center" vertical="center"/>
      <protection locked="0"/>
    </xf>
    <xf numFmtId="0" fontId="3" fillId="3" borderId="16" xfId="0" applyNumberFormat="1" applyFont="1" applyFill="1" applyBorder="1" applyAlignment="1" applyProtection="1">
      <alignment horizontal="center" vertical="center"/>
      <protection locked="0"/>
    </xf>
    <xf numFmtId="0" fontId="3" fillId="0" borderId="16" xfId="0" applyNumberFormat="1" applyFont="1" applyBorder="1" applyAlignment="1" applyProtection="1">
      <alignment horizontal="center" vertical="center"/>
      <protection locked="0"/>
    </xf>
    <xf numFmtId="0" fontId="15" fillId="9" borderId="0" xfId="0" applyFont="1" applyFill="1" applyAlignment="1" applyProtection="1">
      <alignment horizontal="center" vertical="center"/>
      <protection locked="0"/>
    </xf>
    <xf numFmtId="0" fontId="3" fillId="0" borderId="0" xfId="0" applyFont="1" applyBorder="1" applyAlignment="1" applyProtection="1">
      <alignment horizontal="center" vertical="center"/>
      <protection hidden="1"/>
    </xf>
    <xf numFmtId="0" fontId="14" fillId="3" borderId="9" xfId="0" applyNumberFormat="1" applyFont="1" applyFill="1" applyBorder="1" applyAlignment="1" applyProtection="1">
      <alignment horizontal="center" vertical="center"/>
      <protection hidden="1"/>
    </xf>
    <xf numFmtId="0" fontId="14" fillId="0" borderId="9" xfId="0" applyNumberFormat="1" applyFont="1" applyBorder="1" applyAlignment="1" applyProtection="1">
      <alignment horizontal="center" vertical="center"/>
      <protection hidden="1"/>
    </xf>
    <xf numFmtId="0" fontId="8" fillId="2" borderId="9" xfId="0" applyFont="1" applyFill="1" applyBorder="1" applyAlignment="1" applyProtection="1">
      <alignment horizontal="center" vertical="center"/>
      <protection hidden="1"/>
    </xf>
    <xf numFmtId="49" fontId="8" fillId="2" borderId="9" xfId="0" applyNumberFormat="1" applyFont="1" applyFill="1" applyBorder="1" applyAlignment="1" applyProtection="1">
      <alignment horizontal="center" vertical="center"/>
      <protection hidden="1"/>
    </xf>
    <xf numFmtId="0" fontId="8" fillId="2" borderId="9" xfId="0" applyFont="1" applyFill="1" applyBorder="1" applyAlignment="1" applyProtection="1">
      <alignment horizontal="center" vertical="center" wrapText="1"/>
      <protection hidden="1"/>
    </xf>
    <xf numFmtId="0" fontId="6" fillId="3" borderId="9" xfId="0" applyFont="1" applyFill="1" applyBorder="1" applyAlignment="1" applyProtection="1">
      <alignment horizontal="center" vertical="center"/>
      <protection hidden="1"/>
    </xf>
    <xf numFmtId="0" fontId="6" fillId="8" borderId="9" xfId="0" applyNumberFormat="1" applyFont="1" applyFill="1" applyBorder="1" applyAlignment="1" applyProtection="1">
      <alignment horizontal="left" vertical="center"/>
      <protection locked="0"/>
    </xf>
    <xf numFmtId="49" fontId="6" fillId="3" borderId="9" xfId="0" applyNumberFormat="1" applyFont="1" applyFill="1" applyBorder="1" applyAlignment="1" applyProtection="1">
      <alignment horizontal="center" vertical="center"/>
      <protection hidden="1"/>
    </xf>
    <xf numFmtId="0" fontId="6" fillId="8" borderId="9" xfId="0" applyFont="1" applyFill="1" applyBorder="1" applyAlignment="1" applyProtection="1">
      <alignment horizontal="center" vertical="center" wrapText="1"/>
      <protection locked="0" hidden="1"/>
    </xf>
    <xf numFmtId="0" fontId="6" fillId="3" borderId="9" xfId="0" applyFont="1" applyFill="1" applyBorder="1" applyAlignment="1" applyProtection="1">
      <alignment horizontal="left" vertical="center" wrapText="1"/>
      <protection hidden="1"/>
    </xf>
    <xf numFmtId="0" fontId="6" fillId="0" borderId="9" xfId="0" applyFont="1" applyBorder="1" applyAlignment="1" applyProtection="1">
      <alignment horizontal="center" vertical="center"/>
      <protection hidden="1"/>
    </xf>
    <xf numFmtId="0" fontId="6" fillId="0" borderId="9" xfId="0" applyNumberFormat="1" applyFont="1" applyBorder="1" applyAlignment="1" applyProtection="1">
      <alignment horizontal="left" vertical="center"/>
      <protection locked="0"/>
    </xf>
    <xf numFmtId="0" fontId="6" fillId="0" borderId="9" xfId="0" applyFont="1" applyBorder="1" applyAlignment="1" applyProtection="1">
      <alignment horizontal="center" vertical="center" wrapText="1"/>
      <protection hidden="1"/>
    </xf>
    <xf numFmtId="0" fontId="6" fillId="0" borderId="9" xfId="0" applyFont="1" applyBorder="1" applyAlignment="1" applyProtection="1">
      <alignment horizontal="left" vertical="center"/>
      <protection hidden="1"/>
    </xf>
    <xf numFmtId="0" fontId="6" fillId="3" borderId="9" xfId="0" applyNumberFormat="1" applyFont="1" applyFill="1" applyBorder="1" applyAlignment="1" applyProtection="1">
      <alignment horizontal="left" vertical="center"/>
      <protection locked="0"/>
    </xf>
    <xf numFmtId="0" fontId="6" fillId="3" borderId="9" xfId="0" applyFont="1" applyFill="1" applyBorder="1" applyAlignment="1" applyProtection="1">
      <alignment horizontal="center" vertical="center" wrapText="1"/>
      <protection hidden="1"/>
    </xf>
    <xf numFmtId="0" fontId="3" fillId="7" borderId="0" xfId="0" applyFont="1" applyFill="1" applyAlignment="1" applyProtection="1">
      <alignment horizontal="left" vertical="center"/>
      <protection hidden="1"/>
    </xf>
    <xf numFmtId="0" fontId="3" fillId="7" borderId="0" xfId="0" applyFont="1" applyFill="1" applyAlignment="1" applyProtection="1">
      <alignment vertical="center"/>
      <protection hidden="1"/>
    </xf>
    <xf numFmtId="0" fontId="3" fillId="7" borderId="0" xfId="0" applyFont="1" applyFill="1" applyAlignment="1" applyProtection="1">
      <alignment horizontal="left" vertical="center"/>
      <protection hidden="1"/>
    </xf>
    <xf numFmtId="0" fontId="30" fillId="0" borderId="0" xfId="0" applyFont="1">
      <alignment vertical="center"/>
    </xf>
    <xf numFmtId="0" fontId="10" fillId="7" borderId="0" xfId="0" applyFont="1" applyFill="1" applyAlignment="1" applyProtection="1">
      <alignment horizontal="left" vertical="center" wrapText="1"/>
      <protection hidden="1"/>
    </xf>
    <xf numFmtId="0" fontId="3" fillId="3" borderId="9" xfId="0" applyFont="1" applyFill="1" applyBorder="1" applyAlignment="1" applyProtection="1">
      <alignment horizontal="center" vertical="center"/>
      <protection hidden="1"/>
    </xf>
    <xf numFmtId="0" fontId="3" fillId="0" borderId="9" xfId="0" applyFont="1" applyFill="1" applyBorder="1" applyAlignment="1" applyProtection="1">
      <alignment horizontal="center" vertical="center"/>
      <protection hidden="1"/>
    </xf>
    <xf numFmtId="0" fontId="3" fillId="7" borderId="0" xfId="0" applyFont="1" applyFill="1" applyAlignment="1" applyProtection="1">
      <alignment horizontal="left" vertical="center"/>
      <protection hidden="1"/>
    </xf>
    <xf numFmtId="0" fontId="3" fillId="4" borderId="9" xfId="0" applyFont="1" applyFill="1" applyBorder="1" applyAlignment="1" applyProtection="1">
      <alignment horizontal="center" vertical="center"/>
      <protection hidden="1"/>
    </xf>
    <xf numFmtId="0" fontId="3" fillId="3" borderId="24" xfId="0" applyFont="1" applyFill="1" applyBorder="1" applyAlignment="1" applyProtection="1">
      <alignment horizontal="center" vertical="center"/>
      <protection hidden="1"/>
    </xf>
    <xf numFmtId="0" fontId="3" fillId="7" borderId="0" xfId="0" applyFont="1" applyFill="1" applyAlignment="1" applyProtection="1">
      <alignment vertical="center" wrapText="1"/>
      <protection hidden="1"/>
    </xf>
    <xf numFmtId="0" fontId="30" fillId="0" borderId="0" xfId="0" applyFont="1" applyAlignment="1">
      <alignment vertical="center" wrapText="1"/>
    </xf>
    <xf numFmtId="0" fontId="3" fillId="4" borderId="5" xfId="0" applyFont="1" applyFill="1" applyBorder="1" applyAlignment="1" applyProtection="1">
      <alignment vertical="center" wrapText="1"/>
      <protection hidden="1"/>
    </xf>
    <xf numFmtId="0" fontId="3" fillId="0" borderId="22" xfId="0" applyFont="1" applyFill="1" applyBorder="1" applyAlignment="1" applyProtection="1">
      <alignment vertical="center" wrapText="1"/>
      <protection hidden="1"/>
    </xf>
    <xf numFmtId="0" fontId="3" fillId="3" borderId="22" xfId="0" applyFont="1" applyFill="1" applyBorder="1" applyAlignment="1" applyProtection="1">
      <alignment vertical="center" wrapText="1"/>
      <protection hidden="1"/>
    </xf>
    <xf numFmtId="0" fontId="3" fillId="3" borderId="31" xfId="0" applyFont="1" applyFill="1" applyBorder="1" applyAlignment="1" applyProtection="1">
      <alignment vertical="center" wrapText="1"/>
      <protection hidden="1"/>
    </xf>
    <xf numFmtId="0" fontId="3" fillId="4" borderId="22" xfId="0" applyFont="1" applyFill="1" applyBorder="1" applyAlignment="1" applyProtection="1">
      <alignment horizontal="left" vertical="center" wrapText="1"/>
      <protection hidden="1"/>
    </xf>
    <xf numFmtId="0" fontId="3" fillId="0" borderId="22" xfId="0" applyFont="1" applyFill="1" applyBorder="1" applyAlignment="1" applyProtection="1">
      <alignment horizontal="left" vertical="center" wrapText="1"/>
      <protection hidden="1"/>
    </xf>
    <xf numFmtId="0" fontId="3" fillId="3" borderId="22" xfId="0" applyFont="1" applyFill="1" applyBorder="1" applyAlignment="1" applyProtection="1">
      <alignment horizontal="left" vertical="center" wrapText="1"/>
      <protection hidden="1"/>
    </xf>
    <xf numFmtId="0" fontId="3" fillId="3" borderId="31" xfId="0" applyFont="1" applyFill="1" applyBorder="1" applyAlignment="1" applyProtection="1">
      <alignment horizontal="left" vertical="center" wrapText="1"/>
      <protection hidden="1"/>
    </xf>
    <xf numFmtId="0" fontId="4" fillId="5" borderId="14" xfId="0" applyFont="1" applyFill="1" applyBorder="1" applyAlignment="1" applyProtection="1">
      <alignment horizontal="center" vertical="center"/>
      <protection hidden="1"/>
    </xf>
    <xf numFmtId="0" fontId="15" fillId="0" borderId="0" xfId="0" applyFont="1" applyAlignment="1">
      <alignment horizontal="center" vertical="center" wrapText="1"/>
    </xf>
    <xf numFmtId="0" fontId="10" fillId="7" borderId="0" xfId="0" applyFont="1" applyFill="1" applyBorder="1" applyAlignment="1" applyProtection="1">
      <alignment horizontal="left" vertical="center"/>
      <protection hidden="1"/>
    </xf>
    <xf numFmtId="1" fontId="3" fillId="7" borderId="0" xfId="0" applyNumberFormat="1" applyFont="1" applyFill="1" applyBorder="1" applyAlignment="1" applyProtection="1">
      <alignment vertical="center"/>
      <protection hidden="1"/>
    </xf>
    <xf numFmtId="0" fontId="3" fillId="7" borderId="0" xfId="0" applyFont="1" applyFill="1" applyBorder="1" applyAlignment="1" applyProtection="1">
      <alignment vertical="center" wrapText="1"/>
      <protection hidden="1"/>
    </xf>
    <xf numFmtId="0" fontId="3" fillId="7" borderId="0" xfId="0" applyFont="1" applyFill="1" applyBorder="1" applyAlignment="1" applyProtection="1">
      <alignment vertical="center"/>
      <protection hidden="1"/>
    </xf>
    <xf numFmtId="0" fontId="9" fillId="0" borderId="0" xfId="0" applyFont="1" applyAlignment="1" applyProtection="1">
      <alignment horizontal="left" vertical="center"/>
      <protection hidden="1"/>
    </xf>
    <xf numFmtId="0" fontId="9" fillId="0" borderId="0" xfId="0" applyFont="1" applyFill="1" applyAlignment="1" applyProtection="1">
      <alignment horizontal="center" vertical="center"/>
      <protection hidden="1"/>
    </xf>
    <xf numFmtId="0" fontId="3" fillId="7" borderId="0" xfId="0" applyFont="1" applyFill="1" applyAlignment="1" applyProtection="1">
      <alignment vertical="top" wrapText="1"/>
      <protection hidden="1"/>
    </xf>
    <xf numFmtId="0" fontId="24" fillId="7" borderId="0" xfId="0" applyFont="1" applyFill="1" applyAlignment="1" applyProtection="1">
      <alignment vertical="center"/>
      <protection hidden="1"/>
    </xf>
    <xf numFmtId="0" fontId="3" fillId="7" borderId="0" xfId="0" applyFont="1" applyFill="1" applyBorder="1" applyAlignment="1" applyProtection="1">
      <alignment vertical="top" wrapText="1"/>
      <protection hidden="1"/>
    </xf>
    <xf numFmtId="0" fontId="3" fillId="7" borderId="0" xfId="0" applyFont="1" applyFill="1" applyAlignment="1" applyProtection="1">
      <alignment horizontal="left" vertical="center"/>
      <protection hidden="1"/>
    </xf>
    <xf numFmtId="0" fontId="3" fillId="7" borderId="0" xfId="0" applyFont="1" applyFill="1" applyAlignment="1" applyProtection="1">
      <alignment horizontal="center" vertical="center"/>
      <protection hidden="1"/>
    </xf>
    <xf numFmtId="0" fontId="3" fillId="7" borderId="0" xfId="0" applyFont="1" applyFill="1" applyBorder="1" applyAlignment="1" applyProtection="1">
      <alignment horizontal="center" vertical="center"/>
      <protection hidden="1"/>
    </xf>
    <xf numFmtId="0" fontId="3" fillId="7" borderId="0" xfId="0" applyFont="1" applyFill="1" applyBorder="1" applyAlignment="1" applyProtection="1">
      <alignment horizontal="left" vertical="center"/>
      <protection hidden="1"/>
    </xf>
    <xf numFmtId="0" fontId="24" fillId="7" borderId="0" xfId="0" applyFont="1" applyFill="1" applyAlignment="1" applyProtection="1">
      <alignment horizontal="left" vertical="center"/>
      <protection hidden="1"/>
    </xf>
    <xf numFmtId="0" fontId="10" fillId="7" borderId="0" xfId="0" applyFont="1" applyFill="1" applyAlignment="1" applyProtection="1">
      <alignment horizontal="left" vertical="top"/>
      <protection hidden="1"/>
    </xf>
    <xf numFmtId="0" fontId="3" fillId="7" borderId="0" xfId="0" applyFont="1" applyFill="1" applyAlignment="1" applyProtection="1">
      <alignment horizontal="left" vertical="top"/>
      <protection hidden="1"/>
    </xf>
    <xf numFmtId="0" fontId="9" fillId="0" borderId="0" xfId="0" applyFont="1" applyAlignment="1" applyProtection="1">
      <alignment horizontal="left" vertical="top"/>
      <protection hidden="1"/>
    </xf>
    <xf numFmtId="0" fontId="3" fillId="0" borderId="0" xfId="0" applyFont="1" applyAlignment="1" applyProtection="1">
      <alignment horizontal="left" vertical="top"/>
      <protection hidden="1"/>
    </xf>
    <xf numFmtId="0" fontId="10" fillId="0" borderId="0" xfId="0" applyFont="1" applyAlignment="1" applyProtection="1">
      <alignment horizontal="left" vertical="center"/>
      <protection hidden="1"/>
    </xf>
    <xf numFmtId="0" fontId="10" fillId="0" borderId="0" xfId="0" applyFont="1" applyAlignment="1" applyProtection="1">
      <alignment horizontal="center" vertical="center"/>
      <protection hidden="1"/>
    </xf>
    <xf numFmtId="0" fontId="10" fillId="0" borderId="0" xfId="0" applyFont="1" applyFill="1" applyAlignment="1" applyProtection="1">
      <alignment horizontal="center" vertical="center"/>
      <protection hidden="1"/>
    </xf>
    <xf numFmtId="0" fontId="10" fillId="0" borderId="0" xfId="0" applyFont="1" applyAlignment="1" applyProtection="1">
      <alignment horizontal="left" vertical="top"/>
      <protection hidden="1"/>
    </xf>
    <xf numFmtId="49" fontId="3" fillId="0" borderId="9" xfId="0" applyNumberFormat="1" applyFont="1" applyFill="1" applyBorder="1" applyAlignment="1" applyProtection="1">
      <alignment horizontal="center" vertical="center"/>
      <protection locked="0" hidden="1"/>
    </xf>
    <xf numFmtId="0" fontId="3" fillId="0" borderId="63" xfId="0" applyFont="1" applyBorder="1" applyAlignment="1" applyProtection="1">
      <alignment horizontal="center" vertical="center"/>
      <protection hidden="1"/>
    </xf>
    <xf numFmtId="0" fontId="14" fillId="9" borderId="9" xfId="0" applyNumberFormat="1" applyFont="1" applyFill="1" applyBorder="1" applyAlignment="1" applyProtection="1">
      <alignment horizontal="center" vertical="center"/>
      <protection hidden="1"/>
    </xf>
    <xf numFmtId="0" fontId="3" fillId="0" borderId="25" xfId="0" applyFont="1" applyFill="1" applyBorder="1" applyAlignment="1" applyProtection="1">
      <alignment horizontal="center" vertical="center"/>
      <protection hidden="1"/>
    </xf>
    <xf numFmtId="0" fontId="3" fillId="0" borderId="26" xfId="0" applyFont="1" applyFill="1" applyBorder="1" applyAlignment="1" applyProtection="1">
      <alignment horizontal="center" vertical="center"/>
      <protection hidden="1"/>
    </xf>
    <xf numFmtId="0" fontId="3" fillId="0" borderId="27" xfId="0" applyFont="1" applyFill="1" applyBorder="1" applyAlignment="1" applyProtection="1">
      <alignment horizontal="center" vertical="center"/>
      <protection hidden="1"/>
    </xf>
    <xf numFmtId="0" fontId="3" fillId="7" borderId="0" xfId="0" applyFont="1" applyFill="1" applyAlignment="1" applyProtection="1">
      <alignment horizontal="left" wrapText="1"/>
      <protection hidden="1"/>
    </xf>
    <xf numFmtId="0" fontId="3" fillId="7" borderId="7" xfId="0" applyFont="1" applyFill="1" applyBorder="1" applyAlignment="1" applyProtection="1">
      <alignment horizontal="left" wrapText="1"/>
      <protection hidden="1"/>
    </xf>
    <xf numFmtId="0" fontId="3" fillId="7" borderId="0" xfId="0" applyFont="1" applyFill="1" applyAlignment="1" applyProtection="1">
      <alignment horizontal="left" vertical="center"/>
      <protection hidden="1"/>
    </xf>
    <xf numFmtId="0" fontId="10" fillId="2" borderId="28" xfId="0" applyFont="1" applyFill="1" applyBorder="1" applyAlignment="1" applyProtection="1">
      <alignment horizontal="center" vertical="center"/>
      <protection hidden="1"/>
    </xf>
    <xf numFmtId="0" fontId="10" fillId="2" borderId="29" xfId="0" applyFont="1" applyFill="1" applyBorder="1" applyAlignment="1" applyProtection="1">
      <alignment horizontal="center" vertical="center"/>
      <protection hidden="1"/>
    </xf>
    <xf numFmtId="0" fontId="3" fillId="9" borderId="23" xfId="0" applyFont="1" applyFill="1" applyBorder="1" applyAlignment="1" applyProtection="1">
      <alignment horizontal="center" vertical="center"/>
      <protection locked="0" hidden="1"/>
    </xf>
    <xf numFmtId="0" fontId="3" fillId="9" borderId="24" xfId="0" applyFont="1" applyFill="1" applyBorder="1" applyAlignment="1" applyProtection="1">
      <alignment horizontal="center" vertical="center"/>
      <protection locked="0" hidden="1"/>
    </xf>
    <xf numFmtId="0" fontId="3" fillId="0" borderId="24" xfId="0" applyFont="1" applyFill="1" applyBorder="1" applyAlignment="1" applyProtection="1">
      <alignment horizontal="center" vertical="center"/>
      <protection hidden="1"/>
    </xf>
    <xf numFmtId="0" fontId="10" fillId="2" borderId="58" xfId="0" applyFont="1" applyFill="1" applyBorder="1" applyAlignment="1" applyProtection="1">
      <alignment horizontal="center" vertical="center"/>
      <protection hidden="1"/>
    </xf>
    <xf numFmtId="0" fontId="10" fillId="2" borderId="18" xfId="0" applyFont="1" applyFill="1" applyBorder="1" applyAlignment="1" applyProtection="1">
      <alignment horizontal="center" vertical="center"/>
      <protection hidden="1"/>
    </xf>
    <xf numFmtId="0" fontId="10" fillId="2" borderId="59" xfId="0" applyFont="1" applyFill="1" applyBorder="1" applyAlignment="1" applyProtection="1">
      <alignment horizontal="center" vertical="center"/>
      <protection hidden="1"/>
    </xf>
    <xf numFmtId="0" fontId="10" fillId="2" borderId="19" xfId="0" applyFont="1" applyFill="1" applyBorder="1" applyAlignment="1" applyProtection="1">
      <alignment horizontal="center" vertical="center"/>
      <protection hidden="1"/>
    </xf>
    <xf numFmtId="0" fontId="3" fillId="0" borderId="34" xfId="0" applyFont="1" applyFill="1" applyBorder="1" applyAlignment="1" applyProtection="1">
      <alignment horizontal="center" vertical="center"/>
      <protection hidden="1"/>
    </xf>
    <xf numFmtId="181" fontId="3" fillId="6" borderId="16" xfId="0" applyNumberFormat="1" applyFont="1" applyFill="1" applyBorder="1" applyAlignment="1" applyProtection="1">
      <alignment horizontal="center" vertical="center"/>
      <protection hidden="1"/>
    </xf>
    <xf numFmtId="181" fontId="3" fillId="6" borderId="9" xfId="0" applyNumberFormat="1" applyFont="1" applyFill="1" applyBorder="1" applyAlignment="1" applyProtection="1">
      <alignment horizontal="center" vertical="center"/>
      <protection hidden="1"/>
    </xf>
    <xf numFmtId="181" fontId="3" fillId="3" borderId="16" xfId="0" applyNumberFormat="1" applyFont="1" applyFill="1" applyBorder="1" applyAlignment="1" applyProtection="1">
      <alignment horizontal="center" vertical="center"/>
      <protection hidden="1"/>
    </xf>
    <xf numFmtId="181" fontId="3" fillId="3" borderId="9" xfId="0" applyNumberFormat="1" applyFont="1" applyFill="1" applyBorder="1" applyAlignment="1" applyProtection="1">
      <alignment horizontal="center" vertical="center"/>
      <protection hidden="1"/>
    </xf>
    <xf numFmtId="0" fontId="10" fillId="2" borderId="30" xfId="0" applyFont="1" applyFill="1" applyBorder="1" applyAlignment="1" applyProtection="1">
      <alignment horizontal="center" vertical="center"/>
      <protection hidden="1"/>
    </xf>
    <xf numFmtId="177" fontId="3" fillId="0" borderId="9" xfId="0" applyNumberFormat="1" applyFont="1" applyBorder="1" applyAlignment="1" applyProtection="1">
      <alignment horizontal="center" vertical="center"/>
      <protection locked="0" hidden="1"/>
    </xf>
    <xf numFmtId="1" fontId="3" fillId="3" borderId="24" xfId="0" applyNumberFormat="1" applyFont="1" applyFill="1" applyBorder="1" applyAlignment="1" applyProtection="1">
      <alignment horizontal="center" vertical="center"/>
      <protection hidden="1"/>
    </xf>
    <xf numFmtId="0" fontId="3" fillId="3" borderId="24" xfId="0" applyFont="1" applyFill="1" applyBorder="1" applyAlignment="1" applyProtection="1">
      <alignment horizontal="center" vertical="center"/>
      <protection hidden="1"/>
    </xf>
    <xf numFmtId="0" fontId="3" fillId="3" borderId="31" xfId="0" applyFont="1" applyFill="1" applyBorder="1" applyAlignment="1" applyProtection="1">
      <alignment horizontal="center" vertical="center"/>
      <protection hidden="1"/>
    </xf>
    <xf numFmtId="0" fontId="10" fillId="2" borderId="28" xfId="0" applyFont="1" applyFill="1" applyBorder="1" applyAlignment="1" applyProtection="1">
      <alignment horizontal="center" vertical="center" wrapText="1"/>
      <protection hidden="1"/>
    </xf>
    <xf numFmtId="0" fontId="10" fillId="2" borderId="29" xfId="0" applyFont="1" applyFill="1" applyBorder="1" applyAlignment="1" applyProtection="1">
      <alignment horizontal="center" vertical="center" wrapText="1"/>
      <protection hidden="1"/>
    </xf>
    <xf numFmtId="0" fontId="3" fillId="3" borderId="23" xfId="0" applyFont="1" applyFill="1" applyBorder="1" applyAlignment="1" applyProtection="1">
      <alignment horizontal="center" vertical="center" wrapText="1"/>
      <protection hidden="1"/>
    </xf>
    <xf numFmtId="0" fontId="3" fillId="3" borderId="24" xfId="0" applyFont="1" applyFill="1" applyBorder="1" applyAlignment="1" applyProtection="1">
      <alignment horizontal="center" vertical="center" wrapText="1"/>
      <protection hidden="1"/>
    </xf>
    <xf numFmtId="0" fontId="3" fillId="3" borderId="60" xfId="0" applyFont="1" applyFill="1" applyBorder="1" applyAlignment="1" applyProtection="1">
      <alignment horizontal="center" vertical="center" wrapText="1"/>
      <protection hidden="1"/>
    </xf>
    <xf numFmtId="0" fontId="3" fillId="3" borderId="61" xfId="0" applyFont="1" applyFill="1" applyBorder="1" applyAlignment="1" applyProtection="1">
      <alignment horizontal="center" vertical="center" wrapText="1"/>
      <protection hidden="1"/>
    </xf>
    <xf numFmtId="0" fontId="3" fillId="8" borderId="24" xfId="0" applyFont="1" applyFill="1" applyBorder="1" applyAlignment="1" applyProtection="1">
      <alignment horizontal="center" vertical="center"/>
      <protection locked="0" hidden="1"/>
    </xf>
    <xf numFmtId="0" fontId="3" fillId="8" borderId="31" xfId="0" applyFont="1" applyFill="1" applyBorder="1" applyAlignment="1" applyProtection="1">
      <alignment horizontal="center" vertical="center"/>
      <protection locked="0" hidden="1"/>
    </xf>
    <xf numFmtId="0" fontId="3" fillId="3" borderId="61" xfId="0" applyFont="1" applyFill="1" applyBorder="1" applyAlignment="1" applyProtection="1">
      <alignment horizontal="center" vertical="center"/>
      <protection hidden="1"/>
    </xf>
    <xf numFmtId="0" fontId="3" fillId="3" borderId="62" xfId="0" applyFont="1" applyFill="1" applyBorder="1" applyAlignment="1" applyProtection="1">
      <alignment horizontal="center" vertical="center"/>
      <protection hidden="1"/>
    </xf>
    <xf numFmtId="0" fontId="3" fillId="3" borderId="9" xfId="0" applyFont="1" applyFill="1" applyBorder="1" applyAlignment="1" applyProtection="1">
      <alignment horizontal="center" vertical="center"/>
      <protection hidden="1"/>
    </xf>
    <xf numFmtId="0" fontId="3" fillId="3" borderId="22" xfId="0" applyFont="1" applyFill="1" applyBorder="1" applyAlignment="1" applyProtection="1">
      <alignment horizontal="center" vertical="center"/>
      <protection hidden="1"/>
    </xf>
    <xf numFmtId="1" fontId="3" fillId="3" borderId="9" xfId="0" applyNumberFormat="1" applyFont="1" applyFill="1" applyBorder="1" applyAlignment="1" applyProtection="1">
      <alignment horizontal="center" vertical="center"/>
      <protection hidden="1"/>
    </xf>
    <xf numFmtId="0" fontId="20" fillId="7" borderId="0" xfId="0" applyFont="1" applyFill="1" applyAlignment="1" applyProtection="1">
      <alignment horizontal="left" vertical="center"/>
      <protection hidden="1"/>
    </xf>
    <xf numFmtId="0" fontId="3" fillId="7" borderId="0" xfId="0" applyFont="1" applyFill="1" applyAlignment="1" applyProtection="1">
      <alignment horizontal="center" vertical="center"/>
      <protection hidden="1"/>
    </xf>
    <xf numFmtId="0" fontId="3" fillId="0" borderId="20" xfId="0" applyFont="1" applyFill="1" applyBorder="1" applyAlignment="1" applyProtection="1">
      <alignment horizontal="center" vertical="center"/>
      <protection hidden="1"/>
    </xf>
    <xf numFmtId="0" fontId="3" fillId="0" borderId="9" xfId="0" applyFont="1" applyFill="1" applyBorder="1" applyAlignment="1" applyProtection="1">
      <alignment horizontal="center" vertical="center"/>
      <protection hidden="1"/>
    </xf>
    <xf numFmtId="0" fontId="3" fillId="3" borderId="20" xfId="0" applyFont="1" applyFill="1" applyBorder="1" applyAlignment="1" applyProtection="1">
      <alignment horizontal="center" vertical="center"/>
      <protection hidden="1"/>
    </xf>
    <xf numFmtId="0" fontId="3" fillId="0" borderId="23" xfId="0" applyFont="1" applyFill="1" applyBorder="1" applyAlignment="1" applyProtection="1">
      <alignment horizontal="center" vertical="center"/>
      <protection hidden="1"/>
    </xf>
    <xf numFmtId="0" fontId="3" fillId="9" borderId="14" xfId="0" applyFont="1" applyFill="1" applyBorder="1" applyAlignment="1" applyProtection="1">
      <alignment horizontal="center" vertical="center"/>
      <protection locked="0" hidden="1"/>
    </xf>
    <xf numFmtId="0" fontId="3" fillId="9" borderId="15" xfId="0" applyFont="1" applyFill="1" applyBorder="1" applyAlignment="1" applyProtection="1">
      <alignment horizontal="center" vertical="center"/>
      <protection locked="0" hidden="1"/>
    </xf>
    <xf numFmtId="0" fontId="3" fillId="9" borderId="16" xfId="0" applyFont="1" applyFill="1" applyBorder="1" applyAlignment="1" applyProtection="1">
      <alignment horizontal="center" vertical="center"/>
      <protection locked="0" hidden="1"/>
    </xf>
    <xf numFmtId="0" fontId="3" fillId="8" borderId="14" xfId="0" applyFont="1" applyFill="1" applyBorder="1" applyAlignment="1" applyProtection="1">
      <alignment horizontal="center" vertical="center"/>
      <protection locked="0" hidden="1"/>
    </xf>
    <xf numFmtId="0" fontId="3" fillId="8" borderId="15" xfId="0" applyFont="1" applyFill="1" applyBorder="1" applyAlignment="1" applyProtection="1">
      <alignment horizontal="center" vertical="center"/>
      <protection locked="0" hidden="1"/>
    </xf>
    <xf numFmtId="0" fontId="3" fillId="8" borderId="16" xfId="0" applyFont="1" applyFill="1" applyBorder="1" applyAlignment="1" applyProtection="1">
      <alignment horizontal="center" vertical="center"/>
      <protection locked="0" hidden="1"/>
    </xf>
    <xf numFmtId="0" fontId="3" fillId="9" borderId="25" xfId="0" applyFont="1" applyFill="1" applyBorder="1" applyAlignment="1" applyProtection="1">
      <alignment horizontal="center" vertical="center"/>
      <protection locked="0" hidden="1"/>
    </xf>
    <xf numFmtId="0" fontId="3" fillId="9" borderId="26" xfId="0" applyFont="1" applyFill="1" applyBorder="1" applyAlignment="1" applyProtection="1">
      <alignment horizontal="center" vertical="center"/>
      <protection locked="0" hidden="1"/>
    </xf>
    <xf numFmtId="0" fontId="3" fillId="9" borderId="34" xfId="0" applyFont="1" applyFill="1" applyBorder="1" applyAlignment="1" applyProtection="1">
      <alignment horizontal="center" vertical="center"/>
      <protection locked="0" hidden="1"/>
    </xf>
    <xf numFmtId="0" fontId="3" fillId="3" borderId="20" xfId="0" applyFont="1" applyFill="1" applyBorder="1" applyAlignment="1" applyProtection="1">
      <alignment horizontal="center" vertical="center" wrapText="1"/>
      <protection hidden="1"/>
    </xf>
    <xf numFmtId="0" fontId="3" fillId="3" borderId="9" xfId="0" applyFont="1" applyFill="1" applyBorder="1" applyAlignment="1" applyProtection="1">
      <alignment horizontal="center" vertical="center" wrapText="1"/>
      <protection hidden="1"/>
    </xf>
    <xf numFmtId="0" fontId="3" fillId="0" borderId="20" xfId="0" applyFont="1" applyFill="1" applyBorder="1" applyAlignment="1" applyProtection="1">
      <alignment horizontal="center" vertical="center" wrapText="1"/>
      <protection hidden="1"/>
    </xf>
    <xf numFmtId="0" fontId="3" fillId="0" borderId="9" xfId="0" applyFont="1" applyFill="1" applyBorder="1" applyAlignment="1" applyProtection="1">
      <alignment horizontal="center" vertical="center" wrapText="1"/>
      <protection hidden="1"/>
    </xf>
    <xf numFmtId="0" fontId="3" fillId="9" borderId="9" xfId="0" applyFont="1" applyFill="1" applyBorder="1" applyAlignment="1" applyProtection="1">
      <alignment horizontal="center" vertical="center"/>
      <protection locked="0" hidden="1"/>
    </xf>
    <xf numFmtId="182" fontId="3" fillId="9" borderId="9" xfId="0" applyNumberFormat="1" applyFont="1" applyFill="1" applyBorder="1" applyAlignment="1" applyProtection="1">
      <alignment horizontal="center" vertical="center"/>
      <protection locked="0" hidden="1"/>
    </xf>
    <xf numFmtId="182" fontId="3" fillId="9" borderId="22" xfId="0" applyNumberFormat="1" applyFont="1" applyFill="1" applyBorder="1" applyAlignment="1" applyProtection="1">
      <alignment horizontal="center" vertical="center"/>
      <protection locked="0" hidden="1"/>
    </xf>
    <xf numFmtId="0" fontId="10" fillId="2" borderId="58" xfId="0" applyFont="1" applyFill="1" applyBorder="1" applyAlignment="1" applyProtection="1">
      <alignment horizontal="left" vertical="center"/>
      <protection hidden="1"/>
    </xf>
    <xf numFmtId="0" fontId="10" fillId="2" borderId="18" xfId="0" applyFont="1" applyFill="1" applyBorder="1" applyAlignment="1" applyProtection="1">
      <alignment horizontal="left" vertical="center"/>
      <protection hidden="1"/>
    </xf>
    <xf numFmtId="0" fontId="10" fillId="2" borderId="19" xfId="0" applyFont="1" applyFill="1" applyBorder="1" applyAlignment="1" applyProtection="1">
      <alignment horizontal="left" vertical="center"/>
      <protection hidden="1"/>
    </xf>
    <xf numFmtId="0" fontId="3" fillId="3" borderId="20" xfId="0" applyNumberFormat="1" applyFont="1" applyFill="1" applyBorder="1" applyAlignment="1" applyProtection="1">
      <alignment horizontal="center" vertical="center"/>
      <protection locked="0" hidden="1"/>
    </xf>
    <xf numFmtId="0" fontId="3" fillId="3" borderId="9" xfId="0" applyNumberFormat="1" applyFont="1" applyFill="1" applyBorder="1" applyAlignment="1" applyProtection="1">
      <alignment horizontal="center" vertical="center"/>
      <protection locked="0" hidden="1"/>
    </xf>
    <xf numFmtId="177" fontId="3" fillId="3" borderId="9" xfId="0" applyNumberFormat="1" applyFont="1" applyFill="1" applyBorder="1" applyAlignment="1" applyProtection="1">
      <alignment horizontal="center" vertical="center"/>
      <protection locked="0" hidden="1"/>
    </xf>
    <xf numFmtId="181" fontId="3" fillId="6" borderId="16" xfId="0" applyNumberFormat="1" applyFont="1" applyFill="1" applyBorder="1" applyAlignment="1" applyProtection="1">
      <alignment horizontal="center" vertical="center"/>
      <protection locked="0" hidden="1"/>
    </xf>
    <xf numFmtId="181" fontId="3" fillId="6" borderId="9" xfId="0" applyNumberFormat="1" applyFont="1" applyFill="1" applyBorder="1" applyAlignment="1" applyProtection="1">
      <alignment horizontal="center" vertical="center"/>
      <protection locked="0" hidden="1"/>
    </xf>
    <xf numFmtId="0" fontId="3" fillId="3" borderId="34" xfId="0" applyNumberFormat="1" applyFont="1" applyFill="1" applyBorder="1" applyAlignment="1" applyProtection="1">
      <alignment horizontal="center" vertical="center"/>
      <protection hidden="1"/>
    </xf>
    <xf numFmtId="0" fontId="3" fillId="3" borderId="24" xfId="0" applyNumberFormat="1" applyFont="1" applyFill="1" applyBorder="1" applyAlignment="1" applyProtection="1">
      <alignment horizontal="center" vertical="center"/>
      <protection hidden="1"/>
    </xf>
    <xf numFmtId="0" fontId="3" fillId="3" borderId="31" xfId="0" applyNumberFormat="1" applyFont="1" applyFill="1" applyBorder="1" applyAlignment="1" applyProtection="1">
      <alignment horizontal="center" vertical="center"/>
      <protection hidden="1"/>
    </xf>
    <xf numFmtId="177" fontId="3" fillId="0" borderId="9" xfId="0" applyNumberFormat="1" applyFont="1" applyBorder="1" applyAlignment="1" applyProtection="1">
      <alignment horizontal="center" vertical="center"/>
      <protection hidden="1"/>
    </xf>
    <xf numFmtId="177" fontId="3" fillId="0" borderId="52" xfId="0" applyNumberFormat="1" applyFont="1" applyBorder="1" applyAlignment="1" applyProtection="1">
      <alignment horizontal="center" vertical="center"/>
      <protection hidden="1"/>
    </xf>
    <xf numFmtId="177" fontId="3" fillId="3" borderId="24" xfId="0" applyNumberFormat="1" applyFont="1" applyFill="1" applyBorder="1" applyAlignment="1" applyProtection="1">
      <alignment horizontal="center" vertical="center"/>
      <protection locked="0" hidden="1"/>
    </xf>
    <xf numFmtId="177" fontId="3" fillId="3" borderId="24" xfId="0" applyNumberFormat="1" applyFont="1" applyFill="1" applyBorder="1" applyAlignment="1" applyProtection="1">
      <alignment horizontal="center" vertical="center"/>
      <protection hidden="1"/>
    </xf>
    <xf numFmtId="177" fontId="3" fillId="3" borderId="53" xfId="0" applyNumberFormat="1" applyFont="1" applyFill="1" applyBorder="1" applyAlignment="1" applyProtection="1">
      <alignment horizontal="center" vertical="center"/>
      <protection hidden="1"/>
    </xf>
    <xf numFmtId="0" fontId="3" fillId="0" borderId="20" xfId="0" applyNumberFormat="1" applyFont="1" applyBorder="1" applyAlignment="1" applyProtection="1">
      <alignment horizontal="center" vertical="center"/>
      <protection locked="0" hidden="1"/>
    </xf>
    <xf numFmtId="0" fontId="3" fillId="0" borderId="9" xfId="0" applyNumberFormat="1" applyFont="1" applyBorder="1" applyAlignment="1" applyProtection="1">
      <alignment horizontal="center" vertical="center"/>
      <protection locked="0" hidden="1"/>
    </xf>
    <xf numFmtId="0" fontId="3" fillId="6" borderId="9" xfId="0" applyNumberFormat="1" applyFont="1" applyFill="1" applyBorder="1" applyAlignment="1" applyProtection="1">
      <alignment horizontal="center" vertical="center"/>
      <protection locked="0" hidden="1"/>
    </xf>
    <xf numFmtId="181" fontId="3" fillId="3" borderId="16" xfId="0" applyNumberFormat="1" applyFont="1" applyFill="1" applyBorder="1" applyAlignment="1" applyProtection="1">
      <alignment horizontal="center" vertical="center"/>
      <protection locked="0" hidden="1"/>
    </xf>
    <xf numFmtId="181" fontId="3" fillId="3" borderId="9" xfId="0" applyNumberFormat="1" applyFont="1" applyFill="1" applyBorder="1" applyAlignment="1" applyProtection="1">
      <alignment horizontal="center" vertical="center"/>
      <protection locked="0" hidden="1"/>
    </xf>
    <xf numFmtId="177" fontId="3" fillId="3" borderId="9" xfId="0" applyNumberFormat="1" applyFont="1" applyFill="1" applyBorder="1" applyAlignment="1" applyProtection="1">
      <alignment horizontal="center" vertical="center"/>
      <protection hidden="1"/>
    </xf>
    <xf numFmtId="177" fontId="3" fillId="3" borderId="52" xfId="0" applyNumberFormat="1" applyFont="1" applyFill="1" applyBorder="1" applyAlignment="1" applyProtection="1">
      <alignment horizontal="center" vertical="center"/>
      <protection hidden="1"/>
    </xf>
    <xf numFmtId="0" fontId="3" fillId="3" borderId="1"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center" vertical="center" wrapText="1"/>
      <protection hidden="1"/>
    </xf>
    <xf numFmtId="0" fontId="3" fillId="3" borderId="3" xfId="0" applyFont="1" applyFill="1" applyBorder="1" applyAlignment="1" applyProtection="1">
      <alignment horizontal="center" vertical="center" wrapText="1"/>
      <protection hidden="1"/>
    </xf>
    <xf numFmtId="0" fontId="3" fillId="3" borderId="6" xfId="0" applyFont="1" applyFill="1" applyBorder="1" applyAlignment="1" applyProtection="1">
      <alignment horizontal="center" vertical="center" wrapText="1"/>
      <protection hidden="1"/>
    </xf>
    <xf numFmtId="0" fontId="3" fillId="3" borderId="7" xfId="0" applyFont="1" applyFill="1" applyBorder="1" applyAlignment="1" applyProtection="1">
      <alignment horizontal="center" vertical="center" wrapText="1"/>
      <protection hidden="1"/>
    </xf>
    <xf numFmtId="0" fontId="3" fillId="3" borderId="8" xfId="0" applyFont="1" applyFill="1" applyBorder="1" applyAlignment="1" applyProtection="1">
      <alignment horizontal="center" vertical="center" wrapText="1"/>
      <protection hidden="1"/>
    </xf>
    <xf numFmtId="0" fontId="10" fillId="2" borderId="1" xfId="0" applyFont="1" applyFill="1" applyBorder="1" applyAlignment="1" applyProtection="1">
      <alignment horizontal="center" vertical="center"/>
      <protection hidden="1"/>
    </xf>
    <xf numFmtId="0" fontId="10" fillId="2" borderId="2" xfId="0" applyFont="1" applyFill="1" applyBorder="1" applyAlignment="1" applyProtection="1">
      <alignment horizontal="center" vertical="center"/>
      <protection hidden="1"/>
    </xf>
    <xf numFmtId="0" fontId="10" fillId="2" borderId="3"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7" borderId="0" xfId="0" applyFont="1" applyFill="1" applyAlignment="1" applyProtection="1">
      <alignment horizontal="right" vertical="center"/>
      <protection hidden="1"/>
    </xf>
    <xf numFmtId="0" fontId="24" fillId="7" borderId="0" xfId="0" applyFont="1" applyFill="1" applyAlignment="1" applyProtection="1">
      <alignment horizontal="left" vertical="center"/>
      <protection hidden="1"/>
    </xf>
    <xf numFmtId="0" fontId="7" fillId="7" borderId="0" xfId="0" applyFont="1" applyFill="1" applyBorder="1" applyAlignment="1" applyProtection="1">
      <alignment horizontal="left" vertical="center"/>
      <protection hidden="1"/>
    </xf>
    <xf numFmtId="0" fontId="3" fillId="8" borderId="6" xfId="0" applyFont="1" applyFill="1" applyBorder="1" applyAlignment="1" applyProtection="1">
      <alignment horizontal="center" vertical="center"/>
      <protection locked="0" hidden="1"/>
    </xf>
    <xf numFmtId="0" fontId="3" fillId="8" borderId="7" xfId="0" applyFont="1" applyFill="1" applyBorder="1" applyAlignment="1" applyProtection="1">
      <alignment horizontal="center" vertical="center"/>
      <protection locked="0" hidden="1"/>
    </xf>
    <xf numFmtId="0" fontId="3" fillId="8" borderId="8" xfId="0" applyFont="1" applyFill="1" applyBorder="1" applyAlignment="1" applyProtection="1">
      <alignment horizontal="center" vertical="center"/>
      <protection locked="0" hidden="1"/>
    </xf>
    <xf numFmtId="177" fontId="3" fillId="0" borderId="22" xfId="0" applyNumberFormat="1" applyFont="1" applyBorder="1" applyAlignment="1" applyProtection="1">
      <alignment horizontal="center" vertical="center"/>
      <protection hidden="1"/>
    </xf>
    <xf numFmtId="0" fontId="3" fillId="3" borderId="16" xfId="0" applyNumberFormat="1" applyFont="1" applyFill="1" applyBorder="1" applyAlignment="1" applyProtection="1">
      <alignment horizontal="center" vertical="center"/>
      <protection locked="0" hidden="1"/>
    </xf>
    <xf numFmtId="0" fontId="3" fillId="3" borderId="23" xfId="0" applyNumberFormat="1" applyFont="1" applyFill="1" applyBorder="1" applyAlignment="1" applyProtection="1">
      <alignment horizontal="center" vertical="center"/>
      <protection locked="0" hidden="1"/>
    </xf>
    <xf numFmtId="0" fontId="3" fillId="3" borderId="24" xfId="0" applyNumberFormat="1" applyFont="1" applyFill="1" applyBorder="1" applyAlignment="1" applyProtection="1">
      <alignment horizontal="center" vertical="center"/>
      <protection locked="0" hidden="1"/>
    </xf>
    <xf numFmtId="0" fontId="3" fillId="4" borderId="20" xfId="0" applyFont="1" applyFill="1" applyBorder="1" applyAlignment="1" applyProtection="1">
      <alignment horizontal="center" vertical="center"/>
      <protection hidden="1"/>
    </xf>
    <xf numFmtId="0" fontId="3" fillId="6" borderId="16" xfId="0" applyNumberFormat="1" applyFont="1" applyFill="1" applyBorder="1" applyAlignment="1" applyProtection="1">
      <alignment horizontal="center" vertical="center"/>
      <protection locked="0" hidden="1"/>
    </xf>
    <xf numFmtId="177" fontId="3" fillId="3" borderId="22" xfId="0" applyNumberFormat="1" applyFont="1" applyFill="1" applyBorder="1" applyAlignment="1" applyProtection="1">
      <alignment horizontal="center" vertical="center"/>
      <protection hidden="1"/>
    </xf>
    <xf numFmtId="0" fontId="3" fillId="4" borderId="16" xfId="0" applyFont="1" applyFill="1" applyBorder="1" applyAlignment="1" applyProtection="1">
      <alignment horizontal="center" vertical="center"/>
      <protection hidden="1"/>
    </xf>
    <xf numFmtId="0" fontId="3" fillId="4" borderId="52" xfId="0" applyFont="1" applyFill="1" applyBorder="1" applyAlignment="1" applyProtection="1">
      <alignment horizontal="center" vertical="center"/>
      <protection hidden="1"/>
    </xf>
    <xf numFmtId="0" fontId="3" fillId="4" borderId="22" xfId="0" applyFont="1" applyFill="1" applyBorder="1" applyAlignment="1" applyProtection="1">
      <alignment horizontal="center" vertical="center"/>
      <protection hidden="1"/>
    </xf>
    <xf numFmtId="0" fontId="3" fillId="7" borderId="0" xfId="0" applyFont="1" applyFill="1" applyBorder="1" applyAlignment="1" applyProtection="1">
      <alignment horizontal="center" vertical="center" wrapText="1"/>
      <protection hidden="1"/>
    </xf>
    <xf numFmtId="1" fontId="3" fillId="0" borderId="9" xfId="0" applyNumberFormat="1" applyFont="1" applyFill="1" applyBorder="1" applyAlignment="1" applyProtection="1">
      <alignment horizontal="center" vertical="center"/>
      <protection hidden="1"/>
    </xf>
    <xf numFmtId="0" fontId="3" fillId="8" borderId="9" xfId="0" applyFont="1" applyFill="1" applyBorder="1" applyAlignment="1" applyProtection="1">
      <alignment horizontal="center" vertical="center"/>
      <protection locked="0" hidden="1"/>
    </xf>
    <xf numFmtId="0" fontId="3" fillId="3" borderId="14" xfId="0" applyFont="1" applyFill="1" applyBorder="1" applyAlignment="1" applyProtection="1">
      <alignment horizontal="left" vertical="center"/>
      <protection hidden="1"/>
    </xf>
    <xf numFmtId="0" fontId="3" fillId="3" borderId="15" xfId="0" applyFont="1" applyFill="1" applyBorder="1" applyAlignment="1" applyProtection="1">
      <alignment horizontal="left" vertical="center"/>
      <protection hidden="1"/>
    </xf>
    <xf numFmtId="0" fontId="3" fillId="3" borderId="21" xfId="0" applyFont="1" applyFill="1" applyBorder="1" applyAlignment="1" applyProtection="1">
      <alignment horizontal="left" vertical="center"/>
      <protection hidden="1"/>
    </xf>
    <xf numFmtId="0" fontId="3" fillId="0" borderId="14" xfId="0" applyFont="1" applyFill="1" applyBorder="1" applyAlignment="1" applyProtection="1">
      <alignment horizontal="left" vertical="center"/>
      <protection hidden="1"/>
    </xf>
    <xf numFmtId="0" fontId="3" fillId="0" borderId="15" xfId="0" applyFont="1" applyFill="1" applyBorder="1" applyAlignment="1" applyProtection="1">
      <alignment horizontal="left" vertical="center"/>
      <protection hidden="1"/>
    </xf>
    <xf numFmtId="0" fontId="3" fillId="0" borderId="21" xfId="0" applyFont="1" applyFill="1" applyBorder="1" applyAlignment="1" applyProtection="1">
      <alignment horizontal="left" vertical="center"/>
      <protection hidden="1"/>
    </xf>
    <xf numFmtId="0" fontId="3" fillId="0" borderId="25" xfId="0" applyFont="1" applyFill="1" applyBorder="1" applyAlignment="1" applyProtection="1">
      <alignment horizontal="left" vertical="center"/>
      <protection hidden="1"/>
    </xf>
    <xf numFmtId="0" fontId="3" fillId="0" borderId="26" xfId="0" applyFont="1" applyFill="1" applyBorder="1" applyAlignment="1" applyProtection="1">
      <alignment horizontal="left" vertical="center"/>
      <protection hidden="1"/>
    </xf>
    <xf numFmtId="0" fontId="3" fillId="0" borderId="27" xfId="0" applyFont="1" applyFill="1" applyBorder="1" applyAlignment="1" applyProtection="1">
      <alignment horizontal="left" vertical="center"/>
      <protection hidden="1"/>
    </xf>
    <xf numFmtId="0" fontId="3" fillId="0" borderId="14" xfId="0" applyFont="1" applyFill="1" applyBorder="1" applyAlignment="1" applyProtection="1">
      <alignment horizontal="center" vertical="center"/>
      <protection hidden="1"/>
    </xf>
    <xf numFmtId="0" fontId="3" fillId="0" borderId="15" xfId="0" applyFont="1" applyFill="1" applyBorder="1" applyAlignment="1" applyProtection="1">
      <alignment horizontal="center" vertical="center"/>
      <protection hidden="1"/>
    </xf>
    <xf numFmtId="0" fontId="3" fillId="0" borderId="21" xfId="0" applyFont="1" applyFill="1" applyBorder="1" applyAlignment="1" applyProtection="1">
      <alignment horizontal="center" vertical="center"/>
      <protection hidden="1"/>
    </xf>
    <xf numFmtId="0" fontId="3" fillId="3" borderId="14" xfId="0" applyFont="1" applyFill="1" applyBorder="1" applyAlignment="1" applyProtection="1">
      <alignment horizontal="center" vertical="center"/>
      <protection hidden="1"/>
    </xf>
    <xf numFmtId="0" fontId="3" fillId="3" borderId="15" xfId="0" applyFont="1" applyFill="1" applyBorder="1" applyAlignment="1" applyProtection="1">
      <alignment horizontal="center" vertical="center"/>
      <protection hidden="1"/>
    </xf>
    <xf numFmtId="0" fontId="3" fillId="3" borderId="21" xfId="0" applyFont="1" applyFill="1" applyBorder="1" applyAlignment="1" applyProtection="1">
      <alignment horizontal="center" vertical="center"/>
      <protection hidden="1"/>
    </xf>
    <xf numFmtId="0" fontId="3" fillId="3" borderId="25" xfId="0" applyFont="1" applyFill="1" applyBorder="1" applyAlignment="1" applyProtection="1">
      <alignment horizontal="center" vertical="center"/>
      <protection hidden="1"/>
    </xf>
    <xf numFmtId="0" fontId="3" fillId="3" borderId="26" xfId="0" applyFont="1" applyFill="1" applyBorder="1" applyAlignment="1" applyProtection="1">
      <alignment horizontal="center" vertical="center"/>
      <protection hidden="1"/>
    </xf>
    <xf numFmtId="0" fontId="3" fillId="3" borderId="27" xfId="0" applyFont="1" applyFill="1" applyBorder="1" applyAlignment="1" applyProtection="1">
      <alignment horizontal="center" vertical="center"/>
      <protection hidden="1"/>
    </xf>
    <xf numFmtId="0" fontId="3" fillId="8" borderId="25" xfId="0" applyFont="1" applyFill="1" applyBorder="1" applyAlignment="1" applyProtection="1">
      <alignment horizontal="center" vertical="center"/>
      <protection locked="0" hidden="1"/>
    </xf>
    <xf numFmtId="0" fontId="3" fillId="8" borderId="26" xfId="0" applyFont="1" applyFill="1" applyBorder="1" applyAlignment="1" applyProtection="1">
      <alignment horizontal="center" vertical="center"/>
      <protection locked="0" hidden="1"/>
    </xf>
    <xf numFmtId="0" fontId="3" fillId="8" borderId="34" xfId="0" applyFont="1" applyFill="1" applyBorder="1" applyAlignment="1" applyProtection="1">
      <alignment horizontal="center" vertical="center"/>
      <protection locked="0" hidden="1"/>
    </xf>
    <xf numFmtId="0" fontId="3" fillId="7" borderId="0" xfId="0" applyFont="1" applyFill="1" applyBorder="1" applyAlignment="1" applyProtection="1">
      <alignment horizontal="left" vertical="center"/>
      <protection hidden="1"/>
    </xf>
    <xf numFmtId="0" fontId="10" fillId="2" borderId="29" xfId="0" applyFont="1" applyFill="1" applyBorder="1" applyAlignment="1" applyProtection="1">
      <alignment horizontal="left" vertical="center"/>
      <protection hidden="1"/>
    </xf>
    <xf numFmtId="0" fontId="10" fillId="2" borderId="30" xfId="0" applyFont="1" applyFill="1" applyBorder="1" applyAlignment="1" applyProtection="1">
      <alignment horizontal="left" vertical="center"/>
      <protection hidden="1"/>
    </xf>
    <xf numFmtId="0" fontId="3" fillId="0" borderId="24" xfId="0" applyFont="1" applyFill="1" applyBorder="1" applyAlignment="1" applyProtection="1">
      <alignment horizontal="left" vertical="center"/>
      <protection hidden="1"/>
    </xf>
    <xf numFmtId="0" fontId="3" fillId="0" borderId="31" xfId="0" applyFont="1" applyFill="1" applyBorder="1" applyAlignment="1" applyProtection="1">
      <alignment horizontal="left" vertical="center"/>
      <protection hidden="1"/>
    </xf>
    <xf numFmtId="0" fontId="10" fillId="2" borderId="17" xfId="0" applyFont="1" applyFill="1" applyBorder="1" applyAlignment="1" applyProtection="1">
      <alignment horizontal="center" vertical="center"/>
      <protection hidden="1"/>
    </xf>
    <xf numFmtId="0" fontId="3" fillId="3" borderId="23" xfId="0" applyFont="1" applyFill="1" applyBorder="1" applyAlignment="1" applyProtection="1">
      <alignment horizontal="center" vertical="center"/>
      <protection hidden="1"/>
    </xf>
    <xf numFmtId="0" fontId="3" fillId="8" borderId="22" xfId="0" applyFont="1" applyFill="1" applyBorder="1" applyAlignment="1" applyProtection="1">
      <alignment horizontal="center" vertical="center"/>
      <protection locked="0" hidden="1"/>
    </xf>
    <xf numFmtId="0" fontId="3" fillId="9" borderId="22" xfId="0" applyFont="1" applyFill="1" applyBorder="1" applyAlignment="1" applyProtection="1">
      <alignment horizontal="center" vertical="center"/>
      <protection locked="0" hidden="1"/>
    </xf>
    <xf numFmtId="0" fontId="3" fillId="7" borderId="0" xfId="0" applyFont="1" applyFill="1" applyBorder="1" applyAlignment="1" applyProtection="1">
      <alignment horizontal="left" vertical="top" wrapText="1"/>
      <protection hidden="1"/>
    </xf>
    <xf numFmtId="0" fontId="3" fillId="3" borderId="38" xfId="0" applyNumberFormat="1" applyFont="1" applyFill="1" applyBorder="1" applyAlignment="1" applyProtection="1">
      <alignment horizontal="left" vertical="top" wrapText="1"/>
      <protection locked="0" hidden="1"/>
    </xf>
    <xf numFmtId="0" fontId="3" fillId="3" borderId="11" xfId="0" applyNumberFormat="1" applyFont="1" applyFill="1" applyBorder="1" applyAlignment="1" applyProtection="1">
      <alignment horizontal="left" vertical="top" wrapText="1"/>
      <protection locked="0" hidden="1"/>
    </xf>
    <xf numFmtId="0" fontId="3" fillId="3" borderId="35" xfId="0" applyNumberFormat="1" applyFont="1" applyFill="1" applyBorder="1" applyAlignment="1" applyProtection="1">
      <alignment horizontal="left" vertical="top" wrapText="1"/>
      <protection locked="0" hidden="1"/>
    </xf>
    <xf numFmtId="0" fontId="3" fillId="6" borderId="4" xfId="0" applyNumberFormat="1" applyFont="1" applyFill="1" applyBorder="1" applyAlignment="1" applyProtection="1">
      <alignment horizontal="left" vertical="top" wrapText="1"/>
      <protection locked="0" hidden="1"/>
    </xf>
    <xf numFmtId="0" fontId="3" fillId="6" borderId="0" xfId="0" applyNumberFormat="1" applyFont="1" applyFill="1" applyBorder="1" applyAlignment="1" applyProtection="1">
      <alignment horizontal="left" vertical="top" wrapText="1"/>
      <protection locked="0" hidden="1"/>
    </xf>
    <xf numFmtId="0" fontId="3" fillId="6" borderId="5" xfId="0" applyNumberFormat="1" applyFont="1" applyFill="1" applyBorder="1" applyAlignment="1" applyProtection="1">
      <alignment horizontal="left" vertical="top" wrapText="1"/>
      <protection locked="0" hidden="1"/>
    </xf>
    <xf numFmtId="0" fontId="3" fillId="3" borderId="4" xfId="0" applyNumberFormat="1" applyFont="1" applyFill="1" applyBorder="1" applyAlignment="1" applyProtection="1">
      <alignment horizontal="left" vertical="top" wrapText="1"/>
      <protection locked="0" hidden="1"/>
    </xf>
    <xf numFmtId="0" fontId="3" fillId="3" borderId="0" xfId="0" applyNumberFormat="1" applyFont="1" applyFill="1" applyBorder="1" applyAlignment="1" applyProtection="1">
      <alignment horizontal="left" vertical="top" wrapText="1"/>
      <protection locked="0" hidden="1"/>
    </xf>
    <xf numFmtId="0" fontId="3" fillId="3" borderId="5" xfId="0" applyNumberFormat="1" applyFont="1" applyFill="1" applyBorder="1" applyAlignment="1" applyProtection="1">
      <alignment horizontal="left" vertical="top" wrapText="1"/>
      <protection locked="0" hidden="1"/>
    </xf>
    <xf numFmtId="0" fontId="3" fillId="3" borderId="6" xfId="0" applyNumberFormat="1" applyFont="1" applyFill="1" applyBorder="1" applyAlignment="1" applyProtection="1">
      <alignment horizontal="left" vertical="top" wrapText="1"/>
      <protection locked="0" hidden="1"/>
    </xf>
    <xf numFmtId="0" fontId="3" fillId="3" borderId="7" xfId="0" applyNumberFormat="1" applyFont="1" applyFill="1" applyBorder="1" applyAlignment="1" applyProtection="1">
      <alignment horizontal="left" vertical="top" wrapText="1"/>
      <protection locked="0" hidden="1"/>
    </xf>
    <xf numFmtId="0" fontId="3" fillId="3" borderId="8" xfId="0" applyNumberFormat="1" applyFont="1" applyFill="1" applyBorder="1" applyAlignment="1" applyProtection="1">
      <alignment horizontal="left" vertical="top" wrapText="1"/>
      <protection locked="0" hidden="1"/>
    </xf>
    <xf numFmtId="0" fontId="3" fillId="6" borderId="4" xfId="0" applyNumberFormat="1" applyFont="1" applyFill="1" applyBorder="1" applyAlignment="1" applyProtection="1">
      <alignment horizontal="left" vertical="top" wrapText="1"/>
      <protection locked="0"/>
    </xf>
    <xf numFmtId="0" fontId="3" fillId="6" borderId="0" xfId="0" applyNumberFormat="1" applyFont="1" applyFill="1" applyBorder="1" applyAlignment="1" applyProtection="1">
      <alignment horizontal="left" vertical="top" wrapText="1"/>
      <protection locked="0"/>
    </xf>
    <xf numFmtId="0" fontId="3" fillId="6" borderId="5" xfId="0" applyNumberFormat="1" applyFont="1" applyFill="1" applyBorder="1" applyAlignment="1" applyProtection="1">
      <alignment horizontal="left" vertical="top" wrapText="1"/>
      <protection locked="0"/>
    </xf>
    <xf numFmtId="0" fontId="3" fillId="3" borderId="4" xfId="0" applyNumberFormat="1" applyFont="1" applyFill="1" applyBorder="1" applyAlignment="1" applyProtection="1">
      <alignment horizontal="left" vertical="top" wrapText="1"/>
      <protection locked="0"/>
    </xf>
    <xf numFmtId="0" fontId="3" fillId="3" borderId="0" xfId="0" applyNumberFormat="1" applyFont="1" applyFill="1" applyBorder="1" applyAlignment="1" applyProtection="1">
      <alignment horizontal="left" vertical="top" wrapText="1"/>
      <protection locked="0"/>
    </xf>
    <xf numFmtId="0" fontId="3" fillId="3" borderId="5" xfId="0" applyNumberFormat="1" applyFont="1" applyFill="1" applyBorder="1" applyAlignment="1" applyProtection="1">
      <alignment horizontal="left" vertical="top" wrapText="1"/>
      <protection locked="0"/>
    </xf>
    <xf numFmtId="0" fontId="3" fillId="0" borderId="9" xfId="0" applyFont="1" applyBorder="1" applyAlignment="1" applyProtection="1">
      <alignment horizontal="center" vertical="center"/>
      <protection hidden="1"/>
    </xf>
    <xf numFmtId="0" fontId="3" fillId="0" borderId="22" xfId="0" applyFont="1" applyBorder="1" applyAlignment="1" applyProtection="1">
      <alignment horizontal="center" vertical="center"/>
      <protection hidden="1"/>
    </xf>
    <xf numFmtId="49" fontId="3" fillId="0" borderId="37" xfId="0" applyNumberFormat="1" applyFont="1" applyBorder="1" applyAlignment="1" applyProtection="1">
      <alignment horizontal="center" vertical="center"/>
      <protection locked="0"/>
    </xf>
    <xf numFmtId="49" fontId="3" fillId="0" borderId="15" xfId="0" applyNumberFormat="1" applyFont="1" applyBorder="1" applyAlignment="1" applyProtection="1">
      <alignment horizontal="center" vertical="center"/>
      <protection locked="0"/>
    </xf>
    <xf numFmtId="49" fontId="3" fillId="0" borderId="16" xfId="0" applyNumberFormat="1" applyFont="1" applyBorder="1" applyAlignment="1" applyProtection="1">
      <alignment horizontal="center" vertical="center"/>
      <protection locked="0"/>
    </xf>
    <xf numFmtId="49" fontId="3" fillId="3" borderId="37" xfId="0" applyNumberFormat="1" applyFont="1" applyFill="1" applyBorder="1" applyAlignment="1" applyProtection="1">
      <alignment horizontal="center" vertical="top"/>
      <protection locked="0"/>
    </xf>
    <xf numFmtId="49" fontId="3" fillId="3" borderId="15" xfId="0" applyNumberFormat="1" applyFont="1" applyFill="1" applyBorder="1" applyAlignment="1" applyProtection="1">
      <alignment horizontal="center" vertical="top"/>
      <protection locked="0"/>
    </xf>
    <xf numFmtId="49" fontId="3" fillId="3" borderId="16" xfId="0" applyNumberFormat="1" applyFont="1" applyFill="1" applyBorder="1" applyAlignment="1" applyProtection="1">
      <alignment horizontal="center" vertical="top"/>
      <protection locked="0"/>
    </xf>
    <xf numFmtId="0" fontId="3" fillId="0" borderId="9" xfId="0" quotePrefix="1" applyFont="1" applyBorder="1" applyAlignment="1" applyProtection="1">
      <alignment horizontal="center" vertical="center"/>
      <protection hidden="1"/>
    </xf>
    <xf numFmtId="49" fontId="3" fillId="3" borderId="38" xfId="0" applyNumberFormat="1" applyFont="1" applyFill="1" applyBorder="1" applyAlignment="1" applyProtection="1">
      <alignment horizontal="left" vertical="top" wrapText="1"/>
      <protection locked="0"/>
    </xf>
    <xf numFmtId="49" fontId="3" fillId="3" borderId="11" xfId="0" applyNumberFormat="1" applyFont="1" applyFill="1" applyBorder="1" applyAlignment="1" applyProtection="1">
      <alignment horizontal="left" vertical="top" wrapText="1"/>
      <protection locked="0"/>
    </xf>
    <xf numFmtId="49" fontId="3" fillId="3" borderId="35" xfId="0" applyNumberFormat="1" applyFont="1" applyFill="1" applyBorder="1" applyAlignment="1" applyProtection="1">
      <alignment horizontal="left" vertical="top" wrapText="1"/>
      <protection locked="0"/>
    </xf>
    <xf numFmtId="49" fontId="3" fillId="3" borderId="39" xfId="0" applyNumberFormat="1" applyFont="1" applyFill="1" applyBorder="1" applyAlignment="1" applyProtection="1">
      <alignment horizontal="left" vertical="top" wrapText="1"/>
      <protection locked="0"/>
    </xf>
    <xf numFmtId="49" fontId="3" fillId="3" borderId="13" xfId="0" applyNumberFormat="1" applyFont="1" applyFill="1" applyBorder="1" applyAlignment="1" applyProtection="1">
      <alignment horizontal="left" vertical="top" wrapText="1"/>
      <protection locked="0"/>
    </xf>
    <xf numFmtId="49" fontId="3" fillId="3" borderId="36" xfId="0" applyNumberFormat="1" applyFont="1" applyFill="1" applyBorder="1" applyAlignment="1" applyProtection="1">
      <alignment horizontal="left" vertical="top" wrapText="1"/>
      <protection locked="0"/>
    </xf>
    <xf numFmtId="49" fontId="3" fillId="0" borderId="38" xfId="0" applyNumberFormat="1" applyFont="1" applyFill="1" applyBorder="1" applyAlignment="1" applyProtection="1">
      <alignment horizontal="left" vertical="top" wrapText="1"/>
      <protection locked="0"/>
    </xf>
    <xf numFmtId="49" fontId="3" fillId="0" borderId="11" xfId="0" applyNumberFormat="1" applyFont="1" applyFill="1" applyBorder="1" applyAlignment="1" applyProtection="1">
      <alignment horizontal="left" vertical="top" wrapText="1"/>
      <protection locked="0"/>
    </xf>
    <xf numFmtId="49" fontId="3" fillId="0" borderId="35" xfId="0" applyNumberFormat="1" applyFont="1" applyFill="1" applyBorder="1" applyAlignment="1" applyProtection="1">
      <alignment horizontal="left" vertical="top" wrapText="1"/>
      <protection locked="0"/>
    </xf>
    <xf numFmtId="49" fontId="3" fillId="0" borderId="39" xfId="0" applyNumberFormat="1" applyFont="1" applyFill="1" applyBorder="1" applyAlignment="1" applyProtection="1">
      <alignment horizontal="left" vertical="top" wrapText="1"/>
      <protection locked="0"/>
    </xf>
    <xf numFmtId="49" fontId="3" fillId="0" borderId="13" xfId="0" applyNumberFormat="1" applyFont="1" applyFill="1" applyBorder="1" applyAlignment="1" applyProtection="1">
      <alignment horizontal="left" vertical="top" wrapText="1"/>
      <protection locked="0"/>
    </xf>
    <xf numFmtId="49" fontId="3" fillId="0" borderId="36" xfId="0" applyNumberFormat="1" applyFont="1" applyFill="1" applyBorder="1" applyAlignment="1" applyProtection="1">
      <alignment horizontal="left" vertical="top" wrapText="1"/>
      <protection locked="0"/>
    </xf>
    <xf numFmtId="0" fontId="31" fillId="2" borderId="17"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0" fontId="31" fillId="2" borderId="19" xfId="0" applyFont="1" applyFill="1" applyBorder="1" applyAlignment="1" applyProtection="1">
      <alignment horizontal="center" vertical="center"/>
      <protection hidden="1"/>
    </xf>
    <xf numFmtId="0" fontId="31" fillId="2" borderId="1" xfId="0" applyFont="1" applyFill="1" applyBorder="1" applyAlignment="1" applyProtection="1">
      <alignment horizontal="center" vertical="center"/>
      <protection hidden="1"/>
    </xf>
    <xf numFmtId="0" fontId="31" fillId="2" borderId="2" xfId="0" applyFont="1" applyFill="1" applyBorder="1" applyAlignment="1" applyProtection="1">
      <alignment horizontal="center" vertical="center"/>
      <protection hidden="1"/>
    </xf>
    <xf numFmtId="0" fontId="31" fillId="2" borderId="3" xfId="0" applyFont="1" applyFill="1" applyBorder="1" applyAlignment="1" applyProtection="1">
      <alignment horizontal="center" vertical="center"/>
      <protection hidden="1"/>
    </xf>
    <xf numFmtId="49" fontId="3" fillId="3" borderId="4" xfId="0" applyNumberFormat="1" applyFont="1" applyFill="1" applyBorder="1" applyAlignment="1" applyProtection="1">
      <alignment horizontal="left" vertical="top" wrapText="1"/>
      <protection locked="0"/>
    </xf>
    <xf numFmtId="49" fontId="3" fillId="3" borderId="0" xfId="0" applyNumberFormat="1" applyFont="1" applyFill="1" applyBorder="1" applyAlignment="1" applyProtection="1">
      <alignment horizontal="left" vertical="top" wrapText="1"/>
      <protection locked="0"/>
    </xf>
    <xf numFmtId="49" fontId="3" fillId="3" borderId="5" xfId="0" applyNumberFormat="1" applyFont="1" applyFill="1" applyBorder="1" applyAlignment="1" applyProtection="1">
      <alignment horizontal="left" vertical="top" wrapText="1"/>
      <protection locked="0"/>
    </xf>
    <xf numFmtId="49" fontId="3" fillId="3" borderId="6" xfId="0" applyNumberFormat="1" applyFont="1" applyFill="1" applyBorder="1" applyAlignment="1" applyProtection="1">
      <alignment horizontal="left" vertical="top" wrapText="1"/>
      <protection locked="0"/>
    </xf>
    <xf numFmtId="49" fontId="3" fillId="3" borderId="7" xfId="0" applyNumberFormat="1" applyFont="1" applyFill="1" applyBorder="1" applyAlignment="1" applyProtection="1">
      <alignment horizontal="left" vertical="top" wrapText="1"/>
      <protection locked="0"/>
    </xf>
    <xf numFmtId="49" fontId="3" fillId="3" borderId="8" xfId="0" applyNumberFormat="1" applyFont="1" applyFill="1" applyBorder="1" applyAlignment="1" applyProtection="1">
      <alignment horizontal="left" vertical="top" wrapText="1"/>
      <protection locked="0"/>
    </xf>
    <xf numFmtId="0" fontId="3" fillId="0" borderId="20" xfId="0" applyFont="1" applyBorder="1" applyAlignment="1" applyProtection="1">
      <alignment horizontal="center" vertical="center"/>
      <protection hidden="1"/>
    </xf>
    <xf numFmtId="0" fontId="3" fillId="5" borderId="37" xfId="0" applyFont="1" applyFill="1" applyBorder="1" applyAlignment="1" applyProtection="1">
      <alignment horizontal="center" vertical="center"/>
      <protection hidden="1"/>
    </xf>
    <xf numFmtId="0" fontId="3" fillId="5" borderId="15" xfId="0" applyFont="1" applyFill="1" applyBorder="1" applyAlignment="1" applyProtection="1">
      <alignment horizontal="center" vertical="center"/>
      <protection hidden="1"/>
    </xf>
    <xf numFmtId="0" fontId="3" fillId="5" borderId="16" xfId="0" applyFont="1" applyFill="1" applyBorder="1" applyAlignment="1" applyProtection="1">
      <alignment horizontal="center" vertical="center"/>
      <protection hidden="1"/>
    </xf>
    <xf numFmtId="49" fontId="3" fillId="0" borderId="14" xfId="0" applyNumberFormat="1" applyFont="1" applyBorder="1" applyAlignment="1" applyProtection="1">
      <alignment horizontal="center" vertical="center"/>
      <protection locked="0"/>
    </xf>
    <xf numFmtId="49" fontId="3" fillId="0" borderId="21" xfId="0" applyNumberFormat="1" applyFont="1" applyBorder="1" applyAlignment="1" applyProtection="1">
      <alignment horizontal="center" vertical="center"/>
      <protection locked="0"/>
    </xf>
    <xf numFmtId="49" fontId="3" fillId="0" borderId="12" xfId="0" applyNumberFormat="1" applyFont="1" applyFill="1" applyBorder="1" applyAlignment="1" applyProtection="1">
      <alignment horizontal="center" vertical="center"/>
      <protection locked="0" hidden="1"/>
    </xf>
    <xf numFmtId="49" fontId="3" fillId="0" borderId="13" xfId="0" applyNumberFormat="1" applyFont="1" applyFill="1" applyBorder="1" applyAlignment="1" applyProtection="1">
      <alignment horizontal="center" vertical="center"/>
      <protection locked="0" hidden="1"/>
    </xf>
    <xf numFmtId="49" fontId="3" fillId="0" borderId="45" xfId="0" applyNumberFormat="1" applyFont="1" applyFill="1" applyBorder="1" applyAlignment="1" applyProtection="1">
      <alignment horizontal="center" vertical="center"/>
      <protection locked="0" hidden="1"/>
    </xf>
    <xf numFmtId="49" fontId="3" fillId="0" borderId="32" xfId="0" applyNumberFormat="1" applyFont="1" applyFill="1" applyBorder="1" applyAlignment="1" applyProtection="1">
      <alignment horizontal="center" vertical="center"/>
      <protection locked="0"/>
    </xf>
    <xf numFmtId="49" fontId="3" fillId="0" borderId="7" xfId="0" applyNumberFormat="1" applyFont="1" applyFill="1" applyBorder="1" applyAlignment="1" applyProtection="1">
      <alignment horizontal="center" vertical="center"/>
      <protection locked="0"/>
    </xf>
    <xf numFmtId="49" fontId="3" fillId="0" borderId="33" xfId="0" applyNumberFormat="1" applyFont="1" applyFill="1" applyBorder="1" applyAlignment="1" applyProtection="1">
      <alignment horizontal="center" vertical="center"/>
      <protection locked="0"/>
    </xf>
    <xf numFmtId="49" fontId="3" fillId="0" borderId="44" xfId="0" applyNumberFormat="1" applyFont="1" applyFill="1" applyBorder="1" applyAlignment="1" applyProtection="1">
      <alignment horizontal="center" vertical="center"/>
      <protection locked="0"/>
    </xf>
    <xf numFmtId="49" fontId="3" fillId="0" borderId="26" xfId="0" applyNumberFormat="1" applyFont="1" applyFill="1" applyBorder="1" applyAlignment="1" applyProtection="1">
      <alignment horizontal="center" vertical="center"/>
      <protection locked="0"/>
    </xf>
    <xf numFmtId="49" fontId="3" fillId="0" borderId="34" xfId="0" applyNumberFormat="1" applyFont="1" applyFill="1" applyBorder="1" applyAlignment="1" applyProtection="1">
      <alignment horizontal="center" vertical="center"/>
      <protection locked="0"/>
    </xf>
    <xf numFmtId="0" fontId="31" fillId="2" borderId="28" xfId="0" applyFont="1" applyFill="1" applyBorder="1" applyAlignment="1" applyProtection="1">
      <alignment horizontal="center" vertical="center"/>
      <protection hidden="1"/>
    </xf>
    <xf numFmtId="0" fontId="31" fillId="2" borderId="29" xfId="0" applyFont="1" applyFill="1" applyBorder="1" applyAlignment="1" applyProtection="1">
      <alignment horizontal="center" vertical="center"/>
      <protection hidden="1"/>
    </xf>
    <xf numFmtId="0" fontId="31" fillId="2" borderId="30" xfId="0" applyFont="1" applyFill="1" applyBorder="1" applyAlignment="1" applyProtection="1">
      <alignment horizontal="center" vertical="center"/>
      <protection hidden="1"/>
    </xf>
    <xf numFmtId="0" fontId="3" fillId="0" borderId="20" xfId="0" applyFont="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3" fillId="0" borderId="22" xfId="0" applyFont="1" applyBorder="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24" xfId="0" applyFont="1" applyBorder="1" applyAlignment="1" applyProtection="1">
      <alignment horizontal="left" vertical="top" wrapText="1"/>
      <protection locked="0"/>
    </xf>
    <xf numFmtId="0" fontId="3" fillId="0" borderId="31" xfId="0" applyFont="1" applyBorder="1" applyAlignment="1" applyProtection="1">
      <alignment horizontal="left" vertical="top" wrapText="1"/>
      <protection locked="0"/>
    </xf>
    <xf numFmtId="0" fontId="3" fillId="3" borderId="6" xfId="0" applyNumberFormat="1" applyFont="1" applyFill="1" applyBorder="1" applyAlignment="1" applyProtection="1">
      <alignment horizontal="left" vertical="top" wrapText="1"/>
      <protection locked="0"/>
    </xf>
    <xf numFmtId="0" fontId="3" fillId="3" borderId="7" xfId="0" applyNumberFormat="1" applyFont="1" applyFill="1" applyBorder="1" applyAlignment="1" applyProtection="1">
      <alignment horizontal="left" vertical="top" wrapText="1"/>
      <protection locked="0"/>
    </xf>
    <xf numFmtId="0" fontId="3" fillId="3" borderId="8" xfId="0" applyNumberFormat="1" applyFont="1" applyFill="1" applyBorder="1" applyAlignment="1" applyProtection="1">
      <alignment horizontal="left" vertical="top" wrapText="1"/>
      <protection locked="0"/>
    </xf>
    <xf numFmtId="49" fontId="3" fillId="3" borderId="14" xfId="0" applyNumberFormat="1" applyFont="1" applyFill="1" applyBorder="1" applyAlignment="1" applyProtection="1">
      <alignment horizontal="center" vertical="center"/>
      <protection locked="0"/>
    </xf>
    <xf numFmtId="49" fontId="3" fillId="3" borderId="15" xfId="0" applyNumberFormat="1" applyFont="1" applyFill="1" applyBorder="1" applyAlignment="1" applyProtection="1">
      <alignment horizontal="center" vertical="center"/>
      <protection locked="0"/>
    </xf>
    <xf numFmtId="49" fontId="3" fillId="3" borderId="16" xfId="0" applyNumberFormat="1" applyFont="1" applyFill="1" applyBorder="1" applyAlignment="1" applyProtection="1">
      <alignment horizontal="center" vertical="center"/>
      <protection locked="0"/>
    </xf>
    <xf numFmtId="49" fontId="3" fillId="3" borderId="9" xfId="0" applyNumberFormat="1" applyFont="1" applyFill="1" applyBorder="1" applyAlignment="1" applyProtection="1">
      <alignment horizontal="left" vertical="center"/>
      <protection locked="0"/>
    </xf>
    <xf numFmtId="49" fontId="3" fillId="3" borderId="22" xfId="0" applyNumberFormat="1" applyFont="1" applyFill="1" applyBorder="1" applyAlignment="1" applyProtection="1">
      <alignment horizontal="left" vertical="center"/>
      <protection locked="0"/>
    </xf>
    <xf numFmtId="0" fontId="3" fillId="6" borderId="9" xfId="0" applyFont="1" applyFill="1" applyBorder="1" applyAlignment="1" applyProtection="1">
      <alignment horizontal="left" vertical="center"/>
      <protection locked="0" hidden="1"/>
    </xf>
    <xf numFmtId="0" fontId="3" fillId="6" borderId="22" xfId="0" applyFont="1" applyFill="1" applyBorder="1" applyAlignment="1" applyProtection="1">
      <alignment horizontal="left" vertical="center"/>
      <protection locked="0" hidden="1"/>
    </xf>
    <xf numFmtId="49" fontId="3" fillId="3" borderId="21" xfId="0" applyNumberFormat="1" applyFont="1" applyFill="1" applyBorder="1" applyAlignment="1" applyProtection="1">
      <alignment horizontal="center" vertical="top"/>
      <protection locked="0"/>
    </xf>
    <xf numFmtId="0" fontId="3" fillId="5" borderId="14" xfId="0" applyFont="1" applyFill="1" applyBorder="1" applyAlignment="1" applyProtection="1">
      <alignment horizontal="center" vertical="center"/>
      <protection hidden="1"/>
    </xf>
    <xf numFmtId="0" fontId="3" fillId="5" borderId="21" xfId="0" applyFont="1" applyFill="1" applyBorder="1" applyAlignment="1" applyProtection="1">
      <alignment horizontal="center" vertical="center"/>
      <protection hidden="1"/>
    </xf>
    <xf numFmtId="49" fontId="3" fillId="0" borderId="25" xfId="0" applyNumberFormat="1" applyFont="1" applyBorder="1" applyAlignment="1" applyProtection="1">
      <alignment horizontal="center" vertical="center"/>
      <protection locked="0"/>
    </xf>
    <xf numFmtId="49" fontId="3" fillId="0" borderId="26" xfId="0" applyNumberFormat="1" applyFont="1" applyBorder="1" applyAlignment="1" applyProtection="1">
      <alignment horizontal="center" vertical="center"/>
      <protection locked="0"/>
    </xf>
    <xf numFmtId="49" fontId="3" fillId="0" borderId="27" xfId="0" applyNumberFormat="1" applyFont="1" applyBorder="1" applyAlignment="1" applyProtection="1">
      <alignment horizontal="center" vertical="center"/>
      <protection locked="0"/>
    </xf>
    <xf numFmtId="0" fontId="3" fillId="0" borderId="10" xfId="0" applyFont="1" applyBorder="1" applyAlignment="1" applyProtection="1">
      <alignment horizontal="left" vertical="top" wrapText="1"/>
      <protection locked="0"/>
    </xf>
    <xf numFmtId="0" fontId="3" fillId="0" borderId="11" xfId="0" applyFont="1" applyBorder="1" applyAlignment="1" applyProtection="1">
      <alignment horizontal="left" vertical="top" wrapText="1"/>
      <protection locked="0"/>
    </xf>
    <xf numFmtId="0" fontId="3" fillId="0" borderId="35" xfId="0" applyFont="1" applyBorder="1" applyAlignment="1" applyProtection="1">
      <alignment horizontal="left" vertical="top" wrapText="1"/>
      <protection locked="0"/>
    </xf>
    <xf numFmtId="0" fontId="3" fillId="0" borderId="57" xfId="0" applyFont="1" applyBorder="1" applyAlignment="1" applyProtection="1">
      <alignment horizontal="left" vertical="top" wrapText="1"/>
      <protection locked="0"/>
    </xf>
    <xf numFmtId="0" fontId="3" fillId="0" borderId="0" xfId="0" applyFont="1" applyBorder="1" applyAlignment="1" applyProtection="1">
      <alignment horizontal="left" vertical="top" wrapText="1"/>
      <protection locked="0"/>
    </xf>
    <xf numFmtId="0" fontId="3" fillId="0" borderId="5"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3" fillId="0" borderId="36" xfId="0" applyFont="1" applyBorder="1" applyAlignment="1" applyProtection="1">
      <alignment horizontal="left" vertical="top" wrapText="1"/>
      <protection locked="0"/>
    </xf>
    <xf numFmtId="0" fontId="3" fillId="3" borderId="10" xfId="0" applyFont="1" applyFill="1" applyBorder="1" applyAlignment="1" applyProtection="1">
      <alignment horizontal="left" vertical="top" wrapText="1"/>
      <protection locked="0"/>
    </xf>
    <xf numFmtId="0" fontId="3" fillId="3" borderId="11" xfId="0" applyFont="1" applyFill="1" applyBorder="1" applyAlignment="1" applyProtection="1">
      <alignment horizontal="left" vertical="top" wrapText="1"/>
      <protection locked="0"/>
    </xf>
    <xf numFmtId="0" fontId="3" fillId="3" borderId="35" xfId="0" applyFont="1" applyFill="1" applyBorder="1" applyAlignment="1" applyProtection="1">
      <alignment horizontal="left" vertical="top" wrapText="1"/>
      <protection locked="0"/>
    </xf>
    <xf numFmtId="0" fontId="3" fillId="3" borderId="57" xfId="0" applyFont="1" applyFill="1" applyBorder="1" applyAlignment="1" applyProtection="1">
      <alignment horizontal="left" vertical="top" wrapText="1"/>
      <protection locked="0"/>
    </xf>
    <xf numFmtId="0" fontId="3" fillId="3" borderId="0" xfId="0" applyFont="1" applyFill="1" applyBorder="1" applyAlignment="1" applyProtection="1">
      <alignment horizontal="left" vertical="top" wrapText="1"/>
      <protection locked="0"/>
    </xf>
    <xf numFmtId="0" fontId="3" fillId="3" borderId="5" xfId="0" applyFont="1" applyFill="1" applyBorder="1" applyAlignment="1" applyProtection="1">
      <alignment horizontal="left" vertical="top" wrapText="1"/>
      <protection locked="0"/>
    </xf>
    <xf numFmtId="0" fontId="3" fillId="3" borderId="12" xfId="0" applyFont="1" applyFill="1" applyBorder="1" applyAlignment="1" applyProtection="1">
      <alignment horizontal="left" vertical="top" wrapText="1"/>
      <protection locked="0"/>
    </xf>
    <xf numFmtId="0" fontId="3" fillId="3" borderId="13" xfId="0" applyFont="1" applyFill="1" applyBorder="1" applyAlignment="1" applyProtection="1">
      <alignment horizontal="left" vertical="top" wrapText="1"/>
      <protection locked="0"/>
    </xf>
    <xf numFmtId="0" fontId="3" fillId="3" borderId="36" xfId="0" applyFont="1" applyFill="1" applyBorder="1" applyAlignment="1" applyProtection="1">
      <alignment horizontal="left" vertical="top" wrapText="1"/>
      <protection locked="0"/>
    </xf>
    <xf numFmtId="0" fontId="3" fillId="3" borderId="32" xfId="0" applyFont="1" applyFill="1" applyBorder="1" applyAlignment="1" applyProtection="1">
      <alignment horizontal="left" vertical="top" wrapText="1"/>
      <protection locked="0"/>
    </xf>
    <xf numFmtId="0" fontId="3" fillId="3" borderId="7" xfId="0" applyFont="1" applyFill="1" applyBorder="1" applyAlignment="1" applyProtection="1">
      <alignment horizontal="left" vertical="top" wrapText="1"/>
      <protection locked="0"/>
    </xf>
    <xf numFmtId="0" fontId="3" fillId="3" borderId="8" xfId="0" applyFont="1" applyFill="1" applyBorder="1" applyAlignment="1" applyProtection="1">
      <alignment horizontal="left" vertical="top" wrapText="1"/>
      <protection locked="0"/>
    </xf>
    <xf numFmtId="49" fontId="3" fillId="0" borderId="44" xfId="0" applyNumberFormat="1" applyFont="1" applyBorder="1" applyAlignment="1" applyProtection="1">
      <alignment horizontal="center" vertical="center"/>
      <protection locked="0"/>
    </xf>
    <xf numFmtId="49" fontId="3" fillId="0" borderId="34" xfId="0" applyNumberFormat="1" applyFont="1" applyBorder="1" applyAlignment="1" applyProtection="1">
      <alignment horizontal="center" vertical="center"/>
      <protection locked="0"/>
    </xf>
    <xf numFmtId="0" fontId="3" fillId="0" borderId="37" xfId="0" applyFont="1" applyBorder="1" applyAlignment="1" applyProtection="1">
      <alignment horizontal="center" vertical="center"/>
      <protection hidden="1"/>
    </xf>
    <xf numFmtId="0" fontId="3" fillId="0" borderId="15" xfId="0" applyFont="1" applyBorder="1" applyAlignment="1" applyProtection="1">
      <alignment horizontal="center" vertical="center"/>
      <protection hidden="1"/>
    </xf>
    <xf numFmtId="0" fontId="3" fillId="0" borderId="21" xfId="0" applyFont="1" applyBorder="1" applyAlignment="1" applyProtection="1">
      <alignment horizontal="center" vertical="center"/>
      <protection hidden="1"/>
    </xf>
    <xf numFmtId="0" fontId="3" fillId="0" borderId="38" xfId="0" applyFont="1" applyBorder="1" applyAlignment="1" applyProtection="1">
      <alignment horizontal="center" vertical="center" wrapText="1"/>
      <protection hidden="1"/>
    </xf>
    <xf numFmtId="0" fontId="3" fillId="0" borderId="11" xfId="0" applyFont="1" applyBorder="1" applyAlignment="1" applyProtection="1">
      <alignment horizontal="center" vertical="center" wrapText="1"/>
      <protection hidden="1"/>
    </xf>
    <xf numFmtId="0" fontId="3" fillId="0" borderId="35" xfId="0" applyFont="1" applyBorder="1" applyAlignment="1" applyProtection="1">
      <alignment horizontal="center" vertical="center" wrapText="1"/>
      <protection hidden="1"/>
    </xf>
    <xf numFmtId="0" fontId="3" fillId="0" borderId="39" xfId="0" applyFont="1" applyBorder="1" applyAlignment="1" applyProtection="1">
      <alignment horizontal="center" vertical="center" wrapText="1"/>
      <protection hidden="1"/>
    </xf>
    <xf numFmtId="0" fontId="3" fillId="0" borderId="13" xfId="0" applyFont="1" applyBorder="1" applyAlignment="1" applyProtection="1">
      <alignment horizontal="center" vertical="center" wrapText="1"/>
      <protection hidden="1"/>
    </xf>
    <xf numFmtId="0" fontId="3" fillId="0" borderId="36" xfId="0" applyFont="1" applyBorder="1" applyAlignment="1" applyProtection="1">
      <alignment horizontal="center" vertical="center" wrapText="1"/>
      <protection hidden="1"/>
    </xf>
    <xf numFmtId="49" fontId="3" fillId="0" borderId="15" xfId="0" applyNumberFormat="1" applyFont="1" applyFill="1" applyBorder="1" applyAlignment="1" applyProtection="1">
      <alignment horizontal="center" vertical="center"/>
      <protection hidden="1"/>
    </xf>
    <xf numFmtId="49" fontId="3" fillId="0" borderId="16" xfId="0" applyNumberFormat="1" applyFont="1" applyFill="1" applyBorder="1" applyAlignment="1" applyProtection="1">
      <alignment horizontal="center" vertical="center"/>
      <protection hidden="1"/>
    </xf>
    <xf numFmtId="0" fontId="3" fillId="6" borderId="20" xfId="0" applyFont="1" applyFill="1" applyBorder="1" applyAlignment="1" applyProtection="1">
      <alignment horizontal="left" vertical="top"/>
      <protection locked="0"/>
    </xf>
    <xf numFmtId="0" fontId="3" fillId="6" borderId="9" xfId="0" applyFont="1" applyFill="1" applyBorder="1" applyAlignment="1" applyProtection="1">
      <alignment horizontal="left" vertical="top"/>
      <protection locked="0"/>
    </xf>
    <xf numFmtId="0" fontId="3" fillId="6" borderId="22" xfId="0" applyFont="1" applyFill="1" applyBorder="1" applyAlignment="1" applyProtection="1">
      <alignment horizontal="left" vertical="top"/>
      <protection locked="0"/>
    </xf>
    <xf numFmtId="0" fontId="3" fillId="6" borderId="23" xfId="0" applyFont="1" applyFill="1" applyBorder="1" applyAlignment="1" applyProtection="1">
      <alignment horizontal="left" vertical="top"/>
      <protection locked="0"/>
    </xf>
    <xf numFmtId="0" fontId="3" fillId="6" borderId="24" xfId="0" applyFont="1" applyFill="1" applyBorder="1" applyAlignment="1" applyProtection="1">
      <alignment horizontal="left" vertical="top"/>
      <protection locked="0"/>
    </xf>
    <xf numFmtId="0" fontId="3" fillId="6" borderId="31" xfId="0" applyFont="1" applyFill="1" applyBorder="1" applyAlignment="1" applyProtection="1">
      <alignment horizontal="left" vertical="top"/>
      <protection locked="0"/>
    </xf>
    <xf numFmtId="49" fontId="3" fillId="3" borderId="37" xfId="0" applyNumberFormat="1" applyFont="1" applyFill="1" applyBorder="1" applyAlignment="1" applyProtection="1">
      <alignment horizontal="center" vertical="center"/>
      <protection locked="0"/>
    </xf>
    <xf numFmtId="180" fontId="3" fillId="3" borderId="14" xfId="0" applyNumberFormat="1" applyFont="1" applyFill="1" applyBorder="1" applyAlignment="1" applyProtection="1">
      <alignment horizontal="center" vertical="center"/>
      <protection locked="0"/>
    </xf>
    <xf numFmtId="180" fontId="3" fillId="3" borderId="16" xfId="0" applyNumberFormat="1" applyFont="1" applyFill="1" applyBorder="1" applyAlignment="1" applyProtection="1">
      <alignment horizontal="center" vertical="center"/>
      <protection locked="0"/>
    </xf>
    <xf numFmtId="180" fontId="3" fillId="3" borderId="14" xfId="0" applyNumberFormat="1" applyFont="1" applyFill="1" applyBorder="1" applyAlignment="1" applyProtection="1">
      <alignment horizontal="center" vertical="center"/>
      <protection hidden="1"/>
    </xf>
    <xf numFmtId="180" fontId="3" fillId="3" borderId="16" xfId="0" applyNumberFormat="1" applyFont="1" applyFill="1" applyBorder="1" applyAlignment="1" applyProtection="1">
      <alignment horizontal="center" vertical="center"/>
      <protection hidden="1"/>
    </xf>
    <xf numFmtId="180" fontId="3" fillId="0" borderId="25" xfId="0" applyNumberFormat="1" applyFont="1" applyFill="1" applyBorder="1" applyAlignment="1" applyProtection="1">
      <alignment horizontal="center" vertical="center"/>
      <protection hidden="1"/>
    </xf>
    <xf numFmtId="180" fontId="3" fillId="0" borderId="34" xfId="0" applyNumberFormat="1" applyFont="1" applyFill="1" applyBorder="1" applyAlignment="1" applyProtection="1">
      <alignment horizontal="center" vertical="center"/>
      <protection hidden="1"/>
    </xf>
    <xf numFmtId="180" fontId="3" fillId="0" borderId="14" xfId="0" applyNumberFormat="1" applyFont="1" applyFill="1" applyBorder="1" applyAlignment="1" applyProtection="1">
      <alignment horizontal="center" vertical="center"/>
      <protection hidden="1"/>
    </xf>
    <xf numFmtId="180" fontId="3" fillId="0" borderId="16" xfId="0" applyNumberFormat="1" applyFont="1" applyFill="1" applyBorder="1" applyAlignment="1" applyProtection="1">
      <alignment horizontal="center" vertical="center"/>
      <protection hidden="1"/>
    </xf>
    <xf numFmtId="49" fontId="3" fillId="0" borderId="15" xfId="0" applyNumberFormat="1" applyFont="1" applyFill="1" applyBorder="1" applyAlignment="1" applyProtection="1">
      <alignment horizontal="center" vertical="center"/>
      <protection locked="0" hidden="1"/>
    </xf>
    <xf numFmtId="49" fontId="3" fillId="0" borderId="16" xfId="0" applyNumberFormat="1" applyFont="1" applyFill="1" applyBorder="1" applyAlignment="1" applyProtection="1">
      <alignment horizontal="center" vertical="center"/>
      <protection locked="0" hidden="1"/>
    </xf>
    <xf numFmtId="180" fontId="3" fillId="0" borderId="25" xfId="0" applyNumberFormat="1" applyFont="1" applyFill="1" applyBorder="1" applyAlignment="1" applyProtection="1">
      <alignment horizontal="center" vertical="center"/>
      <protection locked="0"/>
    </xf>
    <xf numFmtId="180" fontId="3" fillId="0" borderId="34" xfId="0" applyNumberFormat="1" applyFont="1" applyFill="1" applyBorder="1" applyAlignment="1" applyProtection="1">
      <alignment horizontal="center" vertical="center"/>
      <protection locked="0"/>
    </xf>
    <xf numFmtId="0" fontId="3" fillId="6" borderId="20" xfId="0" applyFont="1" applyFill="1" applyBorder="1" applyAlignment="1" applyProtection="1">
      <alignment horizontal="center" vertical="center"/>
      <protection hidden="1"/>
    </xf>
    <xf numFmtId="0" fontId="3" fillId="6" borderId="9" xfId="0" applyFont="1" applyFill="1" applyBorder="1" applyAlignment="1" applyProtection="1">
      <alignment horizontal="center" vertical="center"/>
      <protection hidden="1"/>
    </xf>
    <xf numFmtId="0" fontId="3" fillId="3" borderId="14" xfId="0" applyNumberFormat="1" applyFont="1" applyFill="1" applyBorder="1" applyAlignment="1" applyProtection="1">
      <alignment horizontal="center" vertical="center"/>
      <protection locked="0"/>
    </xf>
    <xf numFmtId="0" fontId="3" fillId="3" borderId="15" xfId="0" applyNumberFormat="1" applyFont="1" applyFill="1" applyBorder="1" applyAlignment="1" applyProtection="1">
      <alignment horizontal="center" vertical="center"/>
      <protection locked="0"/>
    </xf>
    <xf numFmtId="0" fontId="3" fillId="3" borderId="16" xfId="0" applyNumberFormat="1" applyFont="1" applyFill="1" applyBorder="1" applyAlignment="1" applyProtection="1">
      <alignment horizontal="center" vertical="center"/>
      <protection locked="0"/>
    </xf>
    <xf numFmtId="176" fontId="3" fillId="3" borderId="9" xfId="0" applyNumberFormat="1" applyFont="1" applyFill="1" applyBorder="1" applyAlignment="1" applyProtection="1">
      <alignment horizontal="center" vertical="center"/>
      <protection locked="0"/>
    </xf>
    <xf numFmtId="0" fontId="3" fillId="3" borderId="9" xfId="0" applyNumberFormat="1" applyFont="1" applyFill="1" applyBorder="1" applyAlignment="1" applyProtection="1">
      <alignment horizontal="center" vertical="center"/>
      <protection hidden="1"/>
    </xf>
    <xf numFmtId="0" fontId="3" fillId="3" borderId="52" xfId="0" applyNumberFormat="1" applyFont="1" applyFill="1" applyBorder="1" applyAlignment="1" applyProtection="1">
      <alignment horizontal="center" vertical="center"/>
      <protection hidden="1"/>
    </xf>
    <xf numFmtId="0" fontId="3" fillId="0" borderId="9" xfId="0" applyNumberFormat="1" applyFont="1" applyBorder="1" applyAlignment="1" applyProtection="1">
      <alignment horizontal="center" vertical="center"/>
      <protection locked="0"/>
    </xf>
    <xf numFmtId="176" fontId="3" fillId="0" borderId="9" xfId="0" applyNumberFormat="1" applyFont="1" applyBorder="1" applyAlignment="1" applyProtection="1">
      <alignment horizontal="center" vertical="center"/>
      <protection locked="0"/>
    </xf>
    <xf numFmtId="0" fontId="3" fillId="0" borderId="9" xfId="0" applyNumberFormat="1" applyFont="1" applyBorder="1" applyAlignment="1" applyProtection="1">
      <alignment horizontal="center" vertical="center"/>
      <protection hidden="1"/>
    </xf>
    <xf numFmtId="0" fontId="3" fillId="0" borderId="52" xfId="0" applyNumberFormat="1" applyFont="1" applyBorder="1" applyAlignment="1" applyProtection="1">
      <alignment horizontal="center" vertical="center"/>
      <protection hidden="1"/>
    </xf>
    <xf numFmtId="0" fontId="27" fillId="3" borderId="1" xfId="0" applyFont="1" applyFill="1" applyBorder="1" applyAlignment="1" applyProtection="1">
      <alignment horizontal="center" vertical="center" wrapText="1"/>
      <protection locked="0" hidden="1"/>
    </xf>
    <xf numFmtId="0" fontId="27" fillId="3" borderId="2" xfId="0" applyFont="1" applyFill="1" applyBorder="1" applyAlignment="1" applyProtection="1">
      <alignment horizontal="center" vertical="center"/>
      <protection locked="0" hidden="1"/>
    </xf>
    <xf numFmtId="0" fontId="27" fillId="3" borderId="3" xfId="0" applyFont="1" applyFill="1" applyBorder="1" applyAlignment="1" applyProtection="1">
      <alignment horizontal="center" vertical="center"/>
      <protection locked="0" hidden="1"/>
    </xf>
    <xf numFmtId="0" fontId="27" fillId="3" borderId="4" xfId="0" applyFont="1" applyFill="1" applyBorder="1" applyAlignment="1" applyProtection="1">
      <alignment horizontal="center" vertical="center"/>
      <protection locked="0" hidden="1"/>
    </xf>
    <xf numFmtId="0" fontId="27" fillId="3" borderId="0" xfId="0" applyFont="1" applyFill="1" applyBorder="1" applyAlignment="1" applyProtection="1">
      <alignment horizontal="center" vertical="center"/>
      <protection locked="0" hidden="1"/>
    </xf>
    <xf numFmtId="0" fontId="27" fillId="3" borderId="5" xfId="0" applyFont="1" applyFill="1" applyBorder="1" applyAlignment="1" applyProtection="1">
      <alignment horizontal="center" vertical="center"/>
      <protection locked="0" hidden="1"/>
    </xf>
    <xf numFmtId="0" fontId="27" fillId="3" borderId="6" xfId="0" applyFont="1" applyFill="1" applyBorder="1" applyAlignment="1" applyProtection="1">
      <alignment horizontal="center" vertical="center"/>
      <protection locked="0" hidden="1"/>
    </xf>
    <xf numFmtId="0" fontId="27" fillId="3" borderId="7" xfId="0" applyFont="1" applyFill="1" applyBorder="1" applyAlignment="1" applyProtection="1">
      <alignment horizontal="center" vertical="center"/>
      <protection locked="0" hidden="1"/>
    </xf>
    <xf numFmtId="0" fontId="27" fillId="3" borderId="8" xfId="0" applyFont="1" applyFill="1" applyBorder="1" applyAlignment="1" applyProtection="1">
      <alignment horizontal="center" vertical="center"/>
      <protection locked="0" hidden="1"/>
    </xf>
    <xf numFmtId="176" fontId="3" fillId="3" borderId="14" xfId="0" applyNumberFormat="1" applyFont="1" applyFill="1" applyBorder="1" applyAlignment="1" applyProtection="1">
      <alignment horizontal="left" vertical="center" indent="1"/>
      <protection locked="0"/>
    </xf>
    <xf numFmtId="176" fontId="3" fillId="3" borderId="15" xfId="0" applyNumberFormat="1" applyFont="1" applyFill="1" applyBorder="1" applyAlignment="1" applyProtection="1">
      <alignment horizontal="left" vertical="center" indent="1"/>
      <protection locked="0"/>
    </xf>
    <xf numFmtId="176" fontId="3" fillId="3" borderId="16" xfId="0" applyNumberFormat="1" applyFont="1" applyFill="1" applyBorder="1" applyAlignment="1" applyProtection="1">
      <alignment horizontal="left" vertical="center" indent="1"/>
      <protection locked="0"/>
    </xf>
    <xf numFmtId="0" fontId="3" fillId="5" borderId="10" xfId="0" applyFont="1" applyFill="1" applyBorder="1" applyAlignment="1" applyProtection="1">
      <alignment horizontal="center" vertical="center"/>
      <protection hidden="1"/>
    </xf>
    <xf numFmtId="0" fontId="3" fillId="5" borderId="11" xfId="0" applyFont="1" applyFill="1" applyBorder="1" applyAlignment="1" applyProtection="1">
      <alignment horizontal="center" vertical="center"/>
      <protection hidden="1"/>
    </xf>
    <xf numFmtId="0" fontId="3" fillId="5" borderId="43" xfId="0" applyFont="1" applyFill="1" applyBorder="1" applyAlignment="1" applyProtection="1">
      <alignment horizontal="center" vertical="center"/>
      <protection hidden="1"/>
    </xf>
    <xf numFmtId="0" fontId="3" fillId="3" borderId="22" xfId="0" applyNumberFormat="1" applyFont="1" applyFill="1" applyBorder="1" applyAlignment="1" applyProtection="1">
      <alignment horizontal="center" vertical="center"/>
      <protection hidden="1"/>
    </xf>
    <xf numFmtId="0" fontId="3" fillId="4" borderId="9" xfId="0" applyNumberFormat="1" applyFont="1" applyFill="1" applyBorder="1" applyAlignment="1" applyProtection="1">
      <alignment horizontal="center" vertical="center"/>
      <protection hidden="1"/>
    </xf>
    <xf numFmtId="0" fontId="3" fillId="4" borderId="52" xfId="0" applyNumberFormat="1" applyFont="1" applyFill="1" applyBorder="1" applyAlignment="1" applyProtection="1">
      <alignment horizontal="center" vertical="center"/>
      <protection hidden="1"/>
    </xf>
    <xf numFmtId="0" fontId="3" fillId="0" borderId="63" xfId="0" applyNumberFormat="1" applyFont="1" applyBorder="1" applyAlignment="1" applyProtection="1">
      <alignment horizontal="center" vertical="center"/>
      <protection locked="0"/>
    </xf>
    <xf numFmtId="0" fontId="3" fillId="0" borderId="2" xfId="0" applyFont="1" applyBorder="1" applyAlignment="1" applyProtection="1">
      <alignment horizontal="center" vertical="center" wrapText="1"/>
      <protection hidden="1"/>
    </xf>
    <xf numFmtId="0" fontId="3" fillId="0" borderId="2" xfId="0" applyFont="1" applyBorder="1" applyAlignment="1" applyProtection="1">
      <alignment horizontal="center" vertical="center"/>
      <protection hidden="1"/>
    </xf>
    <xf numFmtId="0" fontId="3" fillId="0" borderId="47" xfId="0" applyFont="1" applyBorder="1" applyAlignment="1" applyProtection="1">
      <alignment horizontal="center" vertical="center"/>
      <protection hidden="1"/>
    </xf>
    <xf numFmtId="0" fontId="3" fillId="0" borderId="0" xfId="0" applyFont="1" applyBorder="1" applyAlignment="1" applyProtection="1">
      <alignment horizontal="center" vertical="center"/>
      <protection hidden="1"/>
    </xf>
    <xf numFmtId="0" fontId="3" fillId="0" borderId="46" xfId="0" applyFont="1" applyBorder="1" applyAlignment="1" applyProtection="1">
      <alignment horizontal="center" vertical="center"/>
      <protection hidden="1"/>
    </xf>
    <xf numFmtId="0" fontId="3" fillId="0" borderId="7" xfId="0" applyFont="1" applyBorder="1" applyAlignment="1" applyProtection="1">
      <alignment horizontal="center" vertical="center"/>
      <protection hidden="1"/>
    </xf>
    <xf numFmtId="0" fontId="3" fillId="0" borderId="33" xfId="0" applyFont="1" applyBorder="1" applyAlignment="1" applyProtection="1">
      <alignment horizontal="center" vertical="center"/>
      <protection hidden="1"/>
    </xf>
    <xf numFmtId="0" fontId="27" fillId="3" borderId="2" xfId="0" applyFont="1" applyFill="1" applyBorder="1" applyAlignment="1" applyProtection="1">
      <alignment horizontal="right" vertical="center"/>
      <protection locked="0"/>
    </xf>
    <xf numFmtId="0" fontId="27" fillId="3" borderId="13" xfId="0" applyFont="1" applyFill="1" applyBorder="1" applyAlignment="1" applyProtection="1">
      <alignment horizontal="right" vertical="center"/>
      <protection locked="0"/>
    </xf>
    <xf numFmtId="179" fontId="27" fillId="3" borderId="2" xfId="0" applyNumberFormat="1" applyFont="1" applyFill="1" applyBorder="1" applyAlignment="1" applyProtection="1">
      <alignment horizontal="left" vertical="center"/>
      <protection hidden="1"/>
    </xf>
    <xf numFmtId="179" fontId="27" fillId="3" borderId="48" xfId="0" applyNumberFormat="1" applyFont="1" applyFill="1" applyBorder="1" applyAlignment="1" applyProtection="1">
      <alignment horizontal="left" vertical="center"/>
      <protection hidden="1"/>
    </xf>
    <xf numFmtId="179" fontId="27" fillId="3" borderId="13" xfId="0" applyNumberFormat="1" applyFont="1" applyFill="1" applyBorder="1" applyAlignment="1" applyProtection="1">
      <alignment horizontal="left" vertical="center"/>
      <protection hidden="1"/>
    </xf>
    <xf numFmtId="179" fontId="27" fillId="3" borderId="49" xfId="0" applyNumberFormat="1" applyFont="1" applyFill="1" applyBorder="1" applyAlignment="1" applyProtection="1">
      <alignment horizontal="left" vertical="center"/>
      <protection hidden="1"/>
    </xf>
    <xf numFmtId="0" fontId="27" fillId="3" borderId="0" xfId="0" applyFont="1" applyFill="1" applyBorder="1" applyAlignment="1" applyProtection="1">
      <alignment horizontal="right" vertical="center"/>
      <protection locked="0"/>
    </xf>
    <xf numFmtId="0" fontId="27" fillId="3" borderId="7" xfId="0" applyFont="1" applyFill="1" applyBorder="1" applyAlignment="1" applyProtection="1">
      <alignment horizontal="right" vertical="center"/>
      <protection locked="0"/>
    </xf>
    <xf numFmtId="179" fontId="27" fillId="3" borderId="0" xfId="0" applyNumberFormat="1" applyFont="1" applyFill="1" applyBorder="1" applyAlignment="1" applyProtection="1">
      <alignment horizontal="left" vertical="center"/>
      <protection hidden="1"/>
    </xf>
    <xf numFmtId="179" fontId="27" fillId="3" borderId="51" xfId="0" applyNumberFormat="1" applyFont="1" applyFill="1" applyBorder="1" applyAlignment="1" applyProtection="1">
      <alignment horizontal="left" vertical="center"/>
      <protection hidden="1"/>
    </xf>
    <xf numFmtId="179" fontId="27" fillId="3" borderId="7" xfId="0" applyNumberFormat="1" applyFont="1" applyFill="1" applyBorder="1" applyAlignment="1" applyProtection="1">
      <alignment horizontal="left" vertical="center"/>
      <protection hidden="1"/>
    </xf>
    <xf numFmtId="179" fontId="27" fillId="3" borderId="50" xfId="0" applyNumberFormat="1" applyFont="1" applyFill="1" applyBorder="1" applyAlignment="1" applyProtection="1">
      <alignment horizontal="left" vertical="center"/>
      <protection hidden="1"/>
    </xf>
    <xf numFmtId="0" fontId="3" fillId="0" borderId="14" xfId="0" applyNumberFormat="1" applyFont="1" applyBorder="1" applyAlignment="1" applyProtection="1">
      <alignment horizontal="center" vertical="center"/>
      <protection locked="0"/>
    </xf>
    <xf numFmtId="0" fontId="3" fillId="0" borderId="15" xfId="0" applyNumberFormat="1" applyFont="1" applyBorder="1" applyAlignment="1" applyProtection="1">
      <alignment horizontal="center" vertical="center"/>
      <protection locked="0"/>
    </xf>
    <xf numFmtId="0" fontId="3" fillId="0" borderId="16" xfId="0" applyNumberFormat="1" applyFont="1" applyBorder="1" applyAlignment="1" applyProtection="1">
      <alignment horizontal="center" vertical="center"/>
      <protection locked="0"/>
    </xf>
    <xf numFmtId="0" fontId="27" fillId="0" borderId="2" xfId="0" applyFont="1" applyBorder="1" applyAlignment="1" applyProtection="1">
      <alignment horizontal="right" vertical="center"/>
      <protection locked="0"/>
    </xf>
    <xf numFmtId="0" fontId="27" fillId="0" borderId="0" xfId="0" applyFont="1" applyBorder="1" applyAlignment="1" applyProtection="1">
      <alignment horizontal="right" vertical="center"/>
      <protection locked="0"/>
    </xf>
    <xf numFmtId="0" fontId="27" fillId="0" borderId="7" xfId="0" applyFont="1" applyBorder="1" applyAlignment="1" applyProtection="1">
      <alignment horizontal="right" vertical="center"/>
      <protection locked="0"/>
    </xf>
    <xf numFmtId="179" fontId="27" fillId="0" borderId="2" xfId="0" applyNumberFormat="1" applyFont="1" applyBorder="1" applyAlignment="1" applyProtection="1">
      <alignment horizontal="left" vertical="center"/>
      <protection hidden="1"/>
    </xf>
    <xf numFmtId="179" fontId="27" fillId="0" borderId="3" xfId="0" applyNumberFormat="1" applyFont="1" applyBorder="1" applyAlignment="1" applyProtection="1">
      <alignment horizontal="left" vertical="center"/>
      <protection hidden="1"/>
    </xf>
    <xf numFmtId="179" fontId="27" fillId="0" borderId="0" xfId="0" applyNumberFormat="1" applyFont="1" applyBorder="1" applyAlignment="1" applyProtection="1">
      <alignment horizontal="left" vertical="center"/>
      <protection hidden="1"/>
    </xf>
    <xf numFmtId="179" fontId="27" fillId="0" borderId="5" xfId="0" applyNumberFormat="1" applyFont="1" applyBorder="1" applyAlignment="1" applyProtection="1">
      <alignment horizontal="left" vertical="center"/>
      <protection hidden="1"/>
    </xf>
    <xf numFmtId="179" fontId="27" fillId="0" borderId="7" xfId="0" applyNumberFormat="1" applyFont="1" applyBorder="1" applyAlignment="1" applyProtection="1">
      <alignment horizontal="left" vertical="center"/>
      <protection hidden="1"/>
    </xf>
    <xf numFmtId="179" fontId="27" fillId="0" borderId="8" xfId="0" applyNumberFormat="1" applyFont="1" applyBorder="1" applyAlignment="1" applyProtection="1">
      <alignment horizontal="left" vertical="center"/>
      <protection hidden="1"/>
    </xf>
    <xf numFmtId="0" fontId="3" fillId="3" borderId="2" xfId="0" applyFont="1" applyFill="1" applyBorder="1" applyAlignment="1" applyProtection="1">
      <alignment horizontal="center" vertical="center"/>
      <protection hidden="1"/>
    </xf>
    <xf numFmtId="0" fontId="3" fillId="3" borderId="47" xfId="0" applyFont="1" applyFill="1" applyBorder="1" applyAlignment="1" applyProtection="1">
      <alignment horizontal="center" vertical="center"/>
      <protection hidden="1"/>
    </xf>
    <xf numFmtId="0" fontId="3" fillId="3" borderId="0" xfId="0" applyFont="1" applyFill="1" applyBorder="1" applyAlignment="1" applyProtection="1">
      <alignment horizontal="center" vertical="center"/>
      <protection hidden="1"/>
    </xf>
    <xf numFmtId="0" fontId="3" fillId="3" borderId="46" xfId="0" applyFont="1" applyFill="1" applyBorder="1" applyAlignment="1" applyProtection="1">
      <alignment horizontal="center" vertical="center"/>
      <protection hidden="1"/>
    </xf>
    <xf numFmtId="0" fontId="3" fillId="3" borderId="7" xfId="0" applyFont="1" applyFill="1" applyBorder="1" applyAlignment="1" applyProtection="1">
      <alignment horizontal="center" vertical="center"/>
      <protection hidden="1"/>
    </xf>
    <xf numFmtId="0" fontId="3" fillId="3" borderId="33" xfId="0" applyFont="1" applyFill="1" applyBorder="1" applyAlignment="1" applyProtection="1">
      <alignment horizontal="center" vertical="center"/>
      <protection hidden="1"/>
    </xf>
    <xf numFmtId="0" fontId="31" fillId="2" borderId="28" xfId="0" applyNumberFormat="1" applyFont="1" applyFill="1" applyBorder="1" applyAlignment="1" applyProtection="1">
      <alignment horizontal="center" vertical="center"/>
      <protection hidden="1"/>
    </xf>
    <xf numFmtId="0" fontId="31" fillId="2" borderId="29" xfId="0" applyNumberFormat="1" applyFont="1" applyFill="1" applyBorder="1" applyAlignment="1" applyProtection="1">
      <alignment horizontal="center" vertical="center"/>
      <protection hidden="1"/>
    </xf>
    <xf numFmtId="0" fontId="31" fillId="2" borderId="30" xfId="0" applyNumberFormat="1" applyFont="1" applyFill="1" applyBorder="1" applyAlignment="1" applyProtection="1">
      <alignment horizontal="center" vertical="center"/>
      <protection hidden="1"/>
    </xf>
    <xf numFmtId="0" fontId="3" fillId="0" borderId="14" xfId="0" applyNumberFormat="1" applyFont="1" applyBorder="1" applyAlignment="1" applyProtection="1">
      <alignment horizontal="left" vertical="center" indent="1"/>
      <protection locked="0"/>
    </xf>
    <xf numFmtId="0" fontId="3" fillId="0" borderId="15" xfId="0" applyNumberFormat="1" applyFont="1" applyBorder="1" applyAlignment="1" applyProtection="1">
      <alignment horizontal="left" vertical="center" indent="1"/>
      <protection locked="0"/>
    </xf>
    <xf numFmtId="0" fontId="3" fillId="0" borderId="21" xfId="0" applyNumberFormat="1" applyFont="1" applyBorder="1" applyAlignment="1" applyProtection="1">
      <alignment horizontal="left" vertical="center" indent="1"/>
      <protection locked="0"/>
    </xf>
    <xf numFmtId="49" fontId="3" fillId="3" borderId="14" xfId="0" applyNumberFormat="1" applyFont="1" applyFill="1" applyBorder="1" applyAlignment="1" applyProtection="1">
      <alignment horizontal="left" vertical="center" indent="1"/>
      <protection locked="0"/>
    </xf>
    <xf numFmtId="49" fontId="3" fillId="3" borderId="15" xfId="0" applyNumberFormat="1" applyFont="1" applyFill="1" applyBorder="1" applyAlignment="1" applyProtection="1">
      <alignment horizontal="left" vertical="center" indent="1"/>
      <protection locked="0"/>
    </xf>
    <xf numFmtId="49" fontId="3" fillId="3" borderId="21" xfId="0" applyNumberFormat="1" applyFont="1" applyFill="1" applyBorder="1" applyAlignment="1" applyProtection="1">
      <alignment horizontal="left" vertical="center" indent="1"/>
      <protection locked="0"/>
    </xf>
    <xf numFmtId="0" fontId="3" fillId="3" borderId="7" xfId="0" applyFont="1" applyFill="1" applyBorder="1" applyAlignment="1" applyProtection="1">
      <alignment horizontal="left" vertical="center"/>
      <protection hidden="1"/>
    </xf>
    <xf numFmtId="0" fontId="3" fillId="3" borderId="50" xfId="0" applyFont="1" applyFill="1" applyBorder="1" applyAlignment="1" applyProtection="1">
      <alignment horizontal="left" vertical="center"/>
      <protection hidden="1"/>
    </xf>
    <xf numFmtId="0" fontId="3" fillId="0" borderId="7" xfId="0" applyFont="1" applyBorder="1" applyAlignment="1" applyProtection="1">
      <alignment horizontal="left" vertical="center"/>
      <protection hidden="1"/>
    </xf>
    <xf numFmtId="0" fontId="3" fillId="0" borderId="50" xfId="0" applyFont="1" applyBorder="1" applyAlignment="1" applyProtection="1">
      <alignment horizontal="left" vertical="center"/>
      <protection hidden="1"/>
    </xf>
    <xf numFmtId="1" fontId="27" fillId="0" borderId="2" xfId="0" applyNumberFormat="1" applyFont="1" applyBorder="1" applyAlignment="1" applyProtection="1">
      <alignment horizontal="right" vertical="center"/>
      <protection locked="0"/>
    </xf>
    <xf numFmtId="0" fontId="27" fillId="0" borderId="13" xfId="0" applyFont="1" applyBorder="1" applyAlignment="1" applyProtection="1">
      <alignment horizontal="right" vertical="center"/>
      <protection locked="0"/>
    </xf>
    <xf numFmtId="179" fontId="27" fillId="0" borderId="48" xfId="0" applyNumberFormat="1" applyFont="1" applyBorder="1" applyAlignment="1" applyProtection="1">
      <alignment horizontal="left" vertical="center"/>
      <protection hidden="1"/>
    </xf>
    <xf numFmtId="179" fontId="27" fillId="0" borderId="13" xfId="0" applyNumberFormat="1" applyFont="1" applyBorder="1" applyAlignment="1" applyProtection="1">
      <alignment horizontal="left" vertical="center"/>
      <protection hidden="1"/>
    </xf>
    <xf numFmtId="179" fontId="27" fillId="0" borderId="49" xfId="0" applyNumberFormat="1" applyFont="1" applyBorder="1" applyAlignment="1" applyProtection="1">
      <alignment horizontal="left" vertical="center"/>
      <protection hidden="1"/>
    </xf>
    <xf numFmtId="0" fontId="3" fillId="3" borderId="4" xfId="0" applyFont="1" applyFill="1" applyBorder="1" applyAlignment="1" applyProtection="1">
      <alignment horizontal="center" vertical="center"/>
      <protection hidden="1"/>
    </xf>
    <xf numFmtId="0" fontId="3" fillId="3" borderId="6" xfId="0" applyFont="1" applyFill="1" applyBorder="1" applyAlignment="1" applyProtection="1">
      <alignment horizontal="center" vertical="center"/>
      <protection hidden="1"/>
    </xf>
    <xf numFmtId="0" fontId="4" fillId="3" borderId="9" xfId="0" applyFont="1" applyFill="1" applyBorder="1" applyAlignment="1" applyProtection="1">
      <alignment horizontal="center" vertical="center" wrapText="1"/>
      <protection hidden="1"/>
    </xf>
    <xf numFmtId="0" fontId="3" fillId="0" borderId="9" xfId="0" applyFont="1" applyBorder="1" applyAlignment="1" applyProtection="1">
      <alignment horizontal="center" vertical="center" wrapText="1"/>
      <protection hidden="1"/>
    </xf>
    <xf numFmtId="0" fontId="3" fillId="3" borderId="10" xfId="0" applyFont="1" applyFill="1" applyBorder="1" applyAlignment="1" applyProtection="1">
      <alignment horizontal="center" vertical="center"/>
      <protection locked="0"/>
    </xf>
    <xf numFmtId="0" fontId="3" fillId="3" borderId="43" xfId="0" applyFont="1" applyFill="1" applyBorder="1" applyAlignment="1" applyProtection="1">
      <alignment horizontal="center" vertical="center"/>
      <protection locked="0"/>
    </xf>
    <xf numFmtId="0" fontId="3" fillId="3" borderId="12" xfId="0" applyFont="1" applyFill="1" applyBorder="1" applyAlignment="1" applyProtection="1">
      <alignment horizontal="center" vertical="center"/>
      <protection locked="0"/>
    </xf>
    <xf numFmtId="0" fontId="3" fillId="3" borderId="45" xfId="0" applyFont="1" applyFill="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0" fontId="3" fillId="0" borderId="43" xfId="0" applyFont="1" applyBorder="1" applyAlignment="1" applyProtection="1">
      <alignment horizontal="center" vertical="center"/>
      <protection locked="0"/>
    </xf>
    <xf numFmtId="0" fontId="3" fillId="0" borderId="12" xfId="0" applyFont="1" applyBorder="1" applyAlignment="1" applyProtection="1">
      <alignment horizontal="center" vertical="center"/>
      <protection locked="0"/>
    </xf>
    <xf numFmtId="0" fontId="3" fillId="0" borderId="45" xfId="0" applyFont="1" applyBorder="1" applyAlignment="1" applyProtection="1">
      <alignment horizontal="center" vertical="center"/>
      <protection locked="0"/>
    </xf>
    <xf numFmtId="176" fontId="3" fillId="3" borderId="9" xfId="0" applyNumberFormat="1" applyFont="1" applyFill="1" applyBorder="1" applyAlignment="1" applyProtection="1">
      <alignment horizontal="center" vertical="center"/>
      <protection hidden="1"/>
    </xf>
    <xf numFmtId="176" fontId="3" fillId="3" borderId="24" xfId="0" applyNumberFormat="1" applyFont="1" applyFill="1" applyBorder="1" applyAlignment="1" applyProtection="1">
      <alignment horizontal="center" vertical="center"/>
      <protection hidden="1"/>
    </xf>
    <xf numFmtId="1" fontId="3" fillId="3" borderId="22" xfId="0" applyNumberFormat="1" applyFont="1" applyFill="1" applyBorder="1" applyAlignment="1" applyProtection="1">
      <alignment horizontal="center" vertical="center"/>
      <protection hidden="1"/>
    </xf>
    <xf numFmtId="1" fontId="3" fillId="0" borderId="9" xfId="0" applyNumberFormat="1" applyFont="1" applyBorder="1" applyAlignment="1" applyProtection="1">
      <alignment horizontal="center" vertical="center"/>
      <protection hidden="1"/>
    </xf>
    <xf numFmtId="1" fontId="3" fillId="0" borderId="22" xfId="0" applyNumberFormat="1" applyFont="1" applyBorder="1" applyAlignment="1" applyProtection="1">
      <alignment horizontal="center" vertical="center"/>
      <protection hidden="1"/>
    </xf>
    <xf numFmtId="178" fontId="11" fillId="3" borderId="10" xfId="0" applyNumberFormat="1" applyFont="1" applyFill="1" applyBorder="1" applyAlignment="1" applyProtection="1">
      <alignment horizontal="center" vertical="center"/>
      <protection hidden="1"/>
    </xf>
    <xf numFmtId="178" fontId="11" fillId="3" borderId="35" xfId="0" applyNumberFormat="1" applyFont="1" applyFill="1" applyBorder="1" applyAlignment="1" applyProtection="1">
      <alignment horizontal="center" vertical="center"/>
      <protection hidden="1"/>
    </xf>
    <xf numFmtId="178" fontId="3" fillId="3" borderId="32" xfId="0" applyNumberFormat="1" applyFont="1" applyFill="1" applyBorder="1" applyAlignment="1" applyProtection="1">
      <alignment horizontal="center" vertical="center"/>
      <protection locked="0" hidden="1"/>
    </xf>
    <xf numFmtId="178" fontId="3" fillId="3" borderId="8" xfId="0" applyNumberFormat="1" applyFont="1" applyFill="1" applyBorder="1" applyAlignment="1" applyProtection="1">
      <alignment horizontal="center" vertical="center"/>
      <protection locked="0" hidden="1"/>
    </xf>
    <xf numFmtId="49" fontId="3" fillId="0" borderId="37" xfId="0" applyNumberFormat="1" applyFont="1" applyFill="1" applyBorder="1" applyAlignment="1" applyProtection="1">
      <alignment horizontal="center" vertical="center"/>
      <protection locked="0"/>
    </xf>
    <xf numFmtId="49" fontId="3" fillId="0" borderId="15" xfId="0" applyNumberFormat="1" applyFont="1" applyFill="1" applyBorder="1" applyAlignment="1" applyProtection="1">
      <alignment horizontal="center" vertical="center"/>
      <protection locked="0"/>
    </xf>
    <xf numFmtId="49" fontId="3" fillId="0" borderId="16" xfId="0" applyNumberFormat="1" applyFont="1" applyFill="1" applyBorder="1" applyAlignment="1" applyProtection="1">
      <alignment horizontal="center" vertical="center"/>
      <protection locked="0"/>
    </xf>
    <xf numFmtId="49" fontId="3" fillId="0" borderId="12" xfId="0" applyNumberFormat="1" applyFont="1" applyFill="1" applyBorder="1" applyAlignment="1" applyProtection="1">
      <alignment horizontal="center" vertical="center"/>
      <protection hidden="1"/>
    </xf>
    <xf numFmtId="49" fontId="3" fillId="0" borderId="13" xfId="0" applyNumberFormat="1" applyFont="1" applyFill="1" applyBorder="1" applyAlignment="1" applyProtection="1">
      <alignment horizontal="center" vertical="center"/>
      <protection hidden="1"/>
    </xf>
    <xf numFmtId="49" fontId="3" fillId="0" borderId="45" xfId="0" applyNumberFormat="1" applyFont="1" applyFill="1" applyBorder="1" applyAlignment="1" applyProtection="1">
      <alignment horizontal="center" vertical="center"/>
      <protection hidden="1"/>
    </xf>
    <xf numFmtId="180" fontId="3" fillId="0" borderId="14" xfId="0" applyNumberFormat="1" applyFont="1" applyFill="1" applyBorder="1" applyAlignment="1" applyProtection="1">
      <alignment horizontal="center" vertical="center"/>
      <protection locked="0" hidden="1"/>
    </xf>
    <xf numFmtId="180" fontId="3" fillId="0" borderId="16" xfId="0" applyNumberFormat="1" applyFont="1" applyFill="1" applyBorder="1" applyAlignment="1" applyProtection="1">
      <alignment horizontal="center" vertical="center"/>
      <protection locked="0" hidden="1"/>
    </xf>
    <xf numFmtId="0" fontId="3" fillId="0" borderId="22" xfId="0" applyNumberFormat="1" applyFont="1" applyBorder="1" applyAlignment="1" applyProtection="1">
      <alignment horizontal="center" vertical="center"/>
      <protection hidden="1"/>
    </xf>
    <xf numFmtId="0" fontId="3" fillId="0" borderId="32" xfId="0" applyFont="1" applyBorder="1" applyAlignment="1" applyProtection="1">
      <alignment horizontal="center" vertical="center"/>
      <protection locked="0"/>
    </xf>
    <xf numFmtId="0" fontId="3" fillId="0" borderId="33" xfId="0" applyFont="1" applyBorder="1" applyAlignment="1" applyProtection="1">
      <alignment horizontal="center" vertical="center"/>
      <protection locked="0"/>
    </xf>
    <xf numFmtId="1" fontId="3" fillId="0" borderId="24" xfId="0" applyNumberFormat="1" applyFont="1" applyBorder="1" applyAlignment="1" applyProtection="1">
      <alignment horizontal="center" vertical="center"/>
      <protection hidden="1"/>
    </xf>
    <xf numFmtId="0" fontId="3" fillId="3" borderId="32" xfId="0" applyFont="1" applyFill="1" applyBorder="1" applyAlignment="1" applyProtection="1">
      <alignment horizontal="center" vertical="center"/>
      <protection locked="0"/>
    </xf>
    <xf numFmtId="0" fontId="3" fillId="3" borderId="33" xfId="0" applyFont="1" applyFill="1" applyBorder="1" applyAlignment="1" applyProtection="1">
      <alignment horizontal="center" vertical="center"/>
      <protection locked="0"/>
    </xf>
    <xf numFmtId="0" fontId="4" fillId="0" borderId="9" xfId="0" applyFont="1" applyBorder="1" applyAlignment="1" applyProtection="1">
      <alignment horizontal="center" vertical="center" wrapText="1"/>
      <protection hidden="1"/>
    </xf>
    <xf numFmtId="0" fontId="4" fillId="0" borderId="24" xfId="0" applyFont="1" applyBorder="1" applyAlignment="1" applyProtection="1">
      <alignment horizontal="center" vertical="center" wrapText="1"/>
      <protection hidden="1"/>
    </xf>
    <xf numFmtId="0" fontId="3" fillId="3" borderId="9" xfId="0" applyFont="1" applyFill="1" applyBorder="1" applyAlignment="1" applyProtection="1">
      <alignment horizontal="center" vertical="center"/>
      <protection locked="0"/>
    </xf>
    <xf numFmtId="0" fontId="3" fillId="0" borderId="16" xfId="0" applyFont="1" applyBorder="1" applyAlignment="1" applyProtection="1">
      <alignment horizontal="center" vertical="center"/>
      <protection hidden="1"/>
    </xf>
    <xf numFmtId="0" fontId="3" fillId="3" borderId="37" xfId="0" applyFont="1" applyFill="1" applyBorder="1" applyAlignment="1" applyProtection="1">
      <alignment horizontal="center" vertical="center"/>
      <protection hidden="1"/>
    </xf>
    <xf numFmtId="0" fontId="3" fillId="3" borderId="16" xfId="0" applyFont="1" applyFill="1" applyBorder="1" applyAlignment="1" applyProtection="1">
      <alignment horizontal="center" vertical="center"/>
      <protection hidden="1"/>
    </xf>
    <xf numFmtId="0" fontId="3" fillId="3" borderId="44" xfId="0" applyFont="1" applyFill="1" applyBorder="1" applyAlignment="1" applyProtection="1">
      <alignment horizontal="center" vertical="center"/>
      <protection hidden="1"/>
    </xf>
    <xf numFmtId="0" fontId="3" fillId="3" borderId="34" xfId="0" applyFont="1" applyFill="1" applyBorder="1" applyAlignment="1" applyProtection="1">
      <alignment horizontal="center" vertical="center"/>
      <protection hidden="1"/>
    </xf>
    <xf numFmtId="0" fontId="3" fillId="0" borderId="20" xfId="0" applyFont="1" applyBorder="1" applyAlignment="1" applyProtection="1">
      <alignment horizontal="center" vertical="center" wrapText="1"/>
      <protection hidden="1"/>
    </xf>
    <xf numFmtId="0" fontId="3" fillId="3" borderId="15" xfId="0" applyFont="1" applyFill="1" applyBorder="1" applyAlignment="1" applyProtection="1">
      <alignment horizontal="left" vertical="center" indent="1"/>
      <protection locked="0"/>
    </xf>
    <xf numFmtId="0" fontId="3" fillId="3" borderId="21" xfId="0" applyFont="1" applyFill="1" applyBorder="1" applyAlignment="1" applyProtection="1">
      <alignment horizontal="left" vertical="center" indent="1"/>
      <protection locked="0"/>
    </xf>
    <xf numFmtId="0" fontId="3" fillId="0" borderId="14" xfId="0" applyFont="1" applyBorder="1" applyAlignment="1" applyProtection="1">
      <alignment horizontal="left" vertical="center" indent="1"/>
      <protection locked="0"/>
    </xf>
    <xf numFmtId="0" fontId="3" fillId="0" borderId="15" xfId="0" applyFont="1" applyBorder="1" applyAlignment="1" applyProtection="1">
      <alignment horizontal="left" vertical="center" indent="1"/>
      <protection locked="0"/>
    </xf>
    <xf numFmtId="0" fontId="3" fillId="0" borderId="21" xfId="0" applyFont="1" applyBorder="1" applyAlignment="1" applyProtection="1">
      <alignment horizontal="left" vertical="center" indent="1"/>
      <protection locked="0"/>
    </xf>
    <xf numFmtId="0" fontId="3" fillId="3" borderId="25" xfId="0" applyFont="1" applyFill="1" applyBorder="1" applyAlignment="1" applyProtection="1">
      <alignment horizontal="left" vertical="center" indent="1"/>
      <protection locked="0"/>
    </xf>
    <xf numFmtId="0" fontId="3" fillId="3" borderId="26" xfId="0" applyFont="1" applyFill="1" applyBorder="1" applyAlignment="1" applyProtection="1">
      <alignment horizontal="left" vertical="center" indent="1"/>
      <protection locked="0"/>
    </xf>
    <xf numFmtId="0" fontId="3" fillId="3" borderId="27" xfId="0" applyFont="1" applyFill="1" applyBorder="1" applyAlignment="1" applyProtection="1">
      <alignment horizontal="left" vertical="center" indent="1"/>
      <protection locked="0"/>
    </xf>
    <xf numFmtId="0" fontId="3" fillId="0" borderId="24" xfId="0" applyFont="1" applyBorder="1" applyAlignment="1" applyProtection="1">
      <alignment horizontal="center" vertical="center"/>
      <protection hidden="1"/>
    </xf>
    <xf numFmtId="0" fontId="3" fillId="0" borderId="31" xfId="0" applyFont="1" applyBorder="1" applyAlignment="1" applyProtection="1">
      <alignment horizontal="center" vertical="center"/>
      <protection hidden="1"/>
    </xf>
    <xf numFmtId="0" fontId="3" fillId="0" borderId="23" xfId="0" applyFont="1" applyBorder="1" applyAlignment="1" applyProtection="1">
      <alignment horizontal="center" vertical="center"/>
      <protection hidden="1"/>
    </xf>
    <xf numFmtId="0" fontId="3" fillId="0" borderId="22" xfId="0" applyFont="1" applyBorder="1" applyAlignment="1" applyProtection="1">
      <alignment horizontal="center" vertical="center" wrapText="1"/>
      <protection hidden="1"/>
    </xf>
    <xf numFmtId="49" fontId="3" fillId="0" borderId="14" xfId="0" applyNumberFormat="1" applyFont="1" applyFill="1" applyBorder="1" applyAlignment="1" applyProtection="1">
      <alignment horizontal="center" vertical="center"/>
      <protection hidden="1"/>
    </xf>
    <xf numFmtId="49" fontId="3" fillId="0" borderId="21" xfId="0" applyNumberFormat="1" applyFont="1" applyFill="1" applyBorder="1" applyAlignment="1" applyProtection="1">
      <alignment horizontal="center" vertical="center"/>
      <protection hidden="1"/>
    </xf>
    <xf numFmtId="49" fontId="3" fillId="3" borderId="21" xfId="0" applyNumberFormat="1" applyFont="1" applyFill="1" applyBorder="1" applyAlignment="1" applyProtection="1">
      <alignment horizontal="center" vertical="center"/>
      <protection locked="0"/>
    </xf>
    <xf numFmtId="0" fontId="31" fillId="2" borderId="54" xfId="0" applyFont="1" applyFill="1" applyBorder="1" applyAlignment="1" applyProtection="1">
      <alignment horizontal="center" vertical="center"/>
      <protection hidden="1"/>
    </xf>
    <xf numFmtId="0" fontId="31" fillId="2" borderId="55" xfId="0" applyFont="1" applyFill="1" applyBorder="1" applyAlignment="1" applyProtection="1">
      <alignment horizontal="center" vertical="center"/>
      <protection hidden="1"/>
    </xf>
    <xf numFmtId="0" fontId="31" fillId="2" borderId="56" xfId="0" applyFont="1" applyFill="1" applyBorder="1" applyAlignment="1" applyProtection="1">
      <alignment horizontal="center" vertical="center"/>
      <protection hidden="1"/>
    </xf>
    <xf numFmtId="0" fontId="3" fillId="0" borderId="22" xfId="0" applyFont="1" applyFill="1" applyBorder="1" applyAlignment="1" applyProtection="1">
      <alignment horizontal="center" vertical="center"/>
      <protection hidden="1"/>
    </xf>
    <xf numFmtId="49" fontId="3" fillId="0" borderId="14" xfId="0" applyNumberFormat="1" applyFont="1" applyFill="1" applyBorder="1" applyAlignment="1" applyProtection="1">
      <alignment horizontal="center" vertical="center"/>
      <protection locked="0" hidden="1"/>
    </xf>
    <xf numFmtId="49" fontId="3" fillId="0" borderId="21" xfId="0" applyNumberFormat="1" applyFont="1" applyFill="1" applyBorder="1" applyAlignment="1" applyProtection="1">
      <alignment horizontal="center" vertical="center"/>
      <protection locked="0" hidden="1"/>
    </xf>
    <xf numFmtId="49" fontId="3" fillId="0" borderId="25" xfId="0" applyNumberFormat="1" applyFont="1" applyFill="1" applyBorder="1" applyAlignment="1" applyProtection="1">
      <alignment horizontal="center" vertical="center"/>
      <protection locked="0"/>
    </xf>
    <xf numFmtId="49" fontId="3" fillId="0" borderId="27" xfId="0" applyNumberFormat="1" applyFont="1" applyFill="1" applyBorder="1" applyAlignment="1" applyProtection="1">
      <alignment horizontal="center" vertical="center"/>
      <protection locked="0"/>
    </xf>
    <xf numFmtId="177" fontId="3" fillId="3" borderId="10" xfId="0" applyNumberFormat="1" applyFont="1" applyFill="1" applyBorder="1" applyAlignment="1" applyProtection="1">
      <alignment horizontal="center" vertical="center"/>
      <protection locked="0"/>
    </xf>
    <xf numFmtId="177" fontId="3" fillId="3" borderId="11" xfId="0" applyNumberFormat="1" applyFont="1" applyFill="1" applyBorder="1" applyAlignment="1" applyProtection="1">
      <alignment horizontal="center" vertical="center"/>
      <protection locked="0"/>
    </xf>
    <xf numFmtId="177" fontId="3" fillId="3" borderId="35" xfId="0" applyNumberFormat="1" applyFont="1" applyFill="1" applyBorder="1" applyAlignment="1" applyProtection="1">
      <alignment horizontal="center" vertical="center"/>
      <protection locked="0"/>
    </xf>
    <xf numFmtId="177" fontId="3" fillId="3" borderId="32" xfId="0" applyNumberFormat="1" applyFont="1" applyFill="1" applyBorder="1" applyAlignment="1" applyProtection="1">
      <alignment horizontal="center" vertical="center"/>
      <protection locked="0"/>
    </xf>
    <xf numFmtId="177" fontId="3" fillId="3" borderId="7" xfId="0" applyNumberFormat="1" applyFont="1" applyFill="1" applyBorder="1" applyAlignment="1" applyProtection="1">
      <alignment horizontal="center" vertical="center"/>
      <protection locked="0"/>
    </xf>
    <xf numFmtId="177" fontId="3" fillId="3" borderId="8" xfId="0" applyNumberFormat="1" applyFont="1" applyFill="1" applyBorder="1" applyAlignment="1" applyProtection="1">
      <alignment horizontal="center" vertical="center"/>
      <protection locked="0"/>
    </xf>
    <xf numFmtId="176" fontId="3" fillId="0" borderId="24" xfId="0" applyNumberFormat="1" applyFont="1" applyBorder="1" applyAlignment="1" applyProtection="1">
      <alignment horizontal="center" vertical="center"/>
      <protection locked="0"/>
    </xf>
    <xf numFmtId="0" fontId="3" fillId="0" borderId="24" xfId="0" applyNumberFormat="1" applyFont="1" applyBorder="1" applyAlignment="1" applyProtection="1">
      <alignment horizontal="center" vertical="center"/>
      <protection hidden="1"/>
    </xf>
    <xf numFmtId="0" fontId="3" fillId="0" borderId="53" xfId="0" applyNumberFormat="1" applyFont="1" applyBorder="1" applyAlignment="1" applyProtection="1">
      <alignment horizontal="center" vertical="center"/>
      <protection hidden="1"/>
    </xf>
    <xf numFmtId="0" fontId="3" fillId="0" borderId="25" xfId="0" applyNumberFormat="1" applyFont="1" applyBorder="1" applyAlignment="1" applyProtection="1">
      <alignment horizontal="center" vertical="center"/>
      <protection locked="0"/>
    </xf>
    <xf numFmtId="0" fontId="3" fillId="0" borderId="26" xfId="0" applyNumberFormat="1" applyFont="1" applyBorder="1" applyAlignment="1" applyProtection="1">
      <alignment horizontal="center" vertical="center"/>
      <protection locked="0"/>
    </xf>
    <xf numFmtId="0" fontId="3" fillId="0" borderId="34" xfId="0" applyNumberFormat="1" applyFont="1" applyBorder="1" applyAlignment="1" applyProtection="1">
      <alignment horizontal="center" vertical="center"/>
      <protection locked="0"/>
    </xf>
    <xf numFmtId="0" fontId="3" fillId="4" borderId="22" xfId="0" applyNumberFormat="1" applyFont="1" applyFill="1" applyBorder="1" applyAlignment="1" applyProtection="1">
      <alignment horizontal="center" vertical="center"/>
      <protection hidden="1"/>
    </xf>
    <xf numFmtId="0" fontId="3" fillId="0" borderId="31" xfId="0" applyNumberFormat="1" applyFont="1" applyBorder="1" applyAlignment="1" applyProtection="1">
      <alignment horizontal="center" vertical="center"/>
      <protection hidden="1"/>
    </xf>
    <xf numFmtId="0" fontId="1" fillId="0" borderId="0" xfId="0" applyFont="1" applyAlignment="1">
      <alignment horizontal="center" vertical="center"/>
    </xf>
    <xf numFmtId="0" fontId="21" fillId="0" borderId="0" xfId="1" applyFont="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7" fillId="7" borderId="0" xfId="0" applyFont="1" applyFill="1" applyAlignment="1" applyProtection="1">
      <alignment horizontal="left" vertical="center"/>
      <protection hidden="1"/>
    </xf>
    <xf numFmtId="0" fontId="3" fillId="0" borderId="16" xfId="0" applyFont="1" applyFill="1" applyBorder="1" applyAlignment="1" applyProtection="1">
      <alignment horizontal="center" vertical="center"/>
      <protection hidden="1"/>
    </xf>
    <xf numFmtId="0" fontId="3" fillId="0" borderId="37" xfId="0" applyFont="1" applyFill="1" applyBorder="1" applyAlignment="1" applyProtection="1">
      <alignment horizontal="center" vertical="center"/>
      <protection hidden="1"/>
    </xf>
    <xf numFmtId="0" fontId="3" fillId="0" borderId="4" xfId="0" applyFont="1" applyFill="1" applyBorder="1" applyAlignment="1" applyProtection="1">
      <alignment horizontal="center" vertical="center"/>
      <protection hidden="1"/>
    </xf>
    <xf numFmtId="0" fontId="3" fillId="0" borderId="0" xfId="0" applyFont="1" applyFill="1" applyBorder="1" applyAlignment="1" applyProtection="1">
      <alignment horizontal="center" vertical="center"/>
      <protection hidden="1"/>
    </xf>
    <xf numFmtId="0" fontId="3" fillId="0" borderId="46" xfId="0" applyFont="1" applyFill="1" applyBorder="1" applyAlignment="1" applyProtection="1">
      <alignment horizontal="center" vertical="center"/>
      <protection hidden="1"/>
    </xf>
    <xf numFmtId="0" fontId="3" fillId="0" borderId="57" xfId="0" applyFont="1" applyFill="1" applyBorder="1" applyAlignment="1" applyProtection="1">
      <alignment horizontal="center" vertical="center"/>
      <protection hidden="1"/>
    </xf>
    <xf numFmtId="0" fontId="3" fillId="3" borderId="57" xfId="0" applyFont="1" applyFill="1" applyBorder="1" applyAlignment="1" applyProtection="1">
      <alignment horizontal="center" vertical="center"/>
      <protection hidden="1"/>
    </xf>
    <xf numFmtId="0" fontId="3" fillId="4" borderId="37" xfId="0" applyFont="1" applyFill="1" applyBorder="1" applyAlignment="1" applyProtection="1">
      <alignment horizontal="center" vertical="center"/>
      <protection hidden="1"/>
    </xf>
    <xf numFmtId="0" fontId="3" fillId="4" borderId="14" xfId="0" applyFont="1" applyFill="1" applyBorder="1" applyAlignment="1" applyProtection="1">
      <alignment horizontal="center" vertical="center"/>
      <protection hidden="1"/>
    </xf>
    <xf numFmtId="0" fontId="3" fillId="4" borderId="4" xfId="0" applyFont="1" applyFill="1" applyBorder="1" applyAlignment="1" applyProtection="1">
      <alignment horizontal="center" vertical="center"/>
      <protection hidden="1"/>
    </xf>
    <xf numFmtId="0" fontId="3" fillId="4" borderId="0" xfId="0" applyFont="1" applyFill="1" applyBorder="1" applyAlignment="1" applyProtection="1">
      <alignment horizontal="center" vertical="center"/>
      <protection hidden="1"/>
    </xf>
    <xf numFmtId="0" fontId="3" fillId="4" borderId="57" xfId="0" applyFont="1" applyFill="1" applyBorder="1" applyAlignment="1" applyProtection="1">
      <alignment horizontal="center" vertical="center"/>
      <protection hidden="1"/>
    </xf>
    <xf numFmtId="0" fontId="3" fillId="3" borderId="32" xfId="0" applyFont="1" applyFill="1" applyBorder="1" applyAlignment="1" applyProtection="1">
      <alignment horizontal="center" vertical="center"/>
      <protection hidden="1"/>
    </xf>
    <xf numFmtId="0" fontId="3" fillId="4" borderId="14" xfId="0" applyFont="1" applyFill="1" applyBorder="1" applyAlignment="1" applyProtection="1">
      <alignment horizontal="left" vertical="center" wrapText="1"/>
      <protection hidden="1"/>
    </xf>
    <xf numFmtId="0" fontId="3" fillId="4" borderId="15" xfId="0" applyFont="1" applyFill="1" applyBorder="1" applyAlignment="1" applyProtection="1">
      <alignment horizontal="left" vertical="center" wrapText="1"/>
      <protection hidden="1"/>
    </xf>
    <xf numFmtId="0" fontId="3" fillId="4" borderId="21" xfId="0" applyFont="1" applyFill="1" applyBorder="1" applyAlignment="1" applyProtection="1">
      <alignment horizontal="left" vertical="center" wrapText="1"/>
      <protection hidden="1"/>
    </xf>
    <xf numFmtId="0" fontId="3" fillId="0" borderId="44" xfId="0" applyFont="1" applyFill="1" applyBorder="1" applyAlignment="1" applyProtection="1">
      <alignment horizontal="center" vertical="center"/>
      <protection hidden="1"/>
    </xf>
    <xf numFmtId="49" fontId="5" fillId="2" borderId="1" xfId="0" applyNumberFormat="1" applyFont="1" applyFill="1" applyBorder="1" applyAlignment="1" applyProtection="1">
      <alignment horizontal="left" vertical="center"/>
      <protection locked="0"/>
    </xf>
    <xf numFmtId="49" fontId="5" fillId="2" borderId="2" xfId="0" applyNumberFormat="1" applyFont="1" applyFill="1" applyBorder="1" applyAlignment="1" applyProtection="1">
      <alignment horizontal="left" vertical="center"/>
      <protection locked="0"/>
    </xf>
    <xf numFmtId="49" fontId="5" fillId="2" borderId="3" xfId="0" applyNumberFormat="1" applyFont="1" applyFill="1" applyBorder="1" applyAlignment="1" applyProtection="1">
      <alignment horizontal="left" vertical="center"/>
      <protection locked="0"/>
    </xf>
    <xf numFmtId="49" fontId="18" fillId="0" borderId="6" xfId="0" applyNumberFormat="1" applyFont="1" applyBorder="1" applyAlignment="1" applyProtection="1">
      <alignment horizontal="center" vertical="center"/>
      <protection locked="0"/>
    </xf>
    <xf numFmtId="49" fontId="18" fillId="0" borderId="7" xfId="0" applyNumberFormat="1" applyFont="1" applyBorder="1" applyAlignment="1" applyProtection="1">
      <alignment horizontal="center" vertical="center"/>
      <protection locked="0"/>
    </xf>
    <xf numFmtId="49" fontId="18" fillId="0" borderId="8" xfId="0" applyNumberFormat="1" applyFont="1" applyBorder="1" applyAlignment="1" applyProtection="1">
      <alignment horizontal="center" vertical="center"/>
      <protection locked="0"/>
    </xf>
    <xf numFmtId="49" fontId="18" fillId="0" borderId="4" xfId="0" applyNumberFormat="1" applyFont="1" applyBorder="1" applyAlignment="1" applyProtection="1">
      <alignment horizontal="center" vertical="center" wrapText="1"/>
      <protection locked="0"/>
    </xf>
    <xf numFmtId="49" fontId="18" fillId="0" borderId="0" xfId="0" applyNumberFormat="1" applyFont="1" applyBorder="1" applyAlignment="1" applyProtection="1">
      <alignment horizontal="center" vertical="center" wrapText="1"/>
      <protection locked="0"/>
    </xf>
    <xf numFmtId="49" fontId="18" fillId="0" borderId="5" xfId="0" applyNumberFormat="1" applyFont="1" applyBorder="1" applyAlignment="1" applyProtection="1">
      <alignment horizontal="center" vertical="center" wrapText="1"/>
      <protection locked="0"/>
    </xf>
    <xf numFmtId="49" fontId="18" fillId="0" borderId="6" xfId="0" applyNumberFormat="1" applyFont="1" applyBorder="1" applyAlignment="1" applyProtection="1">
      <alignment horizontal="center" vertical="center" wrapText="1"/>
      <protection locked="0"/>
    </xf>
    <xf numFmtId="49" fontId="18" fillId="0" borderId="7" xfId="0" applyNumberFormat="1" applyFont="1" applyBorder="1" applyAlignment="1" applyProtection="1">
      <alignment horizontal="center" vertical="center" wrapText="1"/>
      <protection locked="0"/>
    </xf>
    <xf numFmtId="49" fontId="18" fillId="0" borderId="8" xfId="0" applyNumberFormat="1" applyFont="1" applyBorder="1" applyAlignment="1" applyProtection="1">
      <alignment horizontal="center" vertical="center" wrapText="1"/>
      <protection locked="0"/>
    </xf>
    <xf numFmtId="0" fontId="13" fillId="2" borderId="28" xfId="0" applyFont="1" applyFill="1" applyBorder="1" applyAlignment="1" applyProtection="1">
      <alignment horizontal="center" vertical="center"/>
    </xf>
    <xf numFmtId="0" fontId="13" fillId="2" borderId="29" xfId="0" applyFont="1" applyFill="1" applyBorder="1" applyAlignment="1" applyProtection="1">
      <alignment horizontal="center" vertical="center"/>
    </xf>
    <xf numFmtId="0" fontId="13" fillId="2" borderId="30" xfId="0" applyFont="1" applyFill="1" applyBorder="1" applyAlignment="1" applyProtection="1">
      <alignment horizontal="center" vertical="center"/>
    </xf>
    <xf numFmtId="0" fontId="3" fillId="4" borderId="20" xfId="0" applyFont="1" applyFill="1" applyBorder="1" applyAlignment="1" applyProtection="1">
      <alignment horizontal="center" vertical="center"/>
    </xf>
    <xf numFmtId="0" fontId="3" fillId="4" borderId="9" xfId="0" applyFont="1" applyFill="1" applyBorder="1" applyAlignment="1" applyProtection="1">
      <alignment horizontal="center" vertical="center"/>
    </xf>
    <xf numFmtId="0" fontId="3" fillId="4" borderId="22" xfId="0" applyFont="1" applyFill="1" applyBorder="1" applyAlignment="1" applyProtection="1">
      <alignment horizontal="center" vertical="center"/>
    </xf>
    <xf numFmtId="0" fontId="14" fillId="0" borderId="9" xfId="0" applyFont="1" applyBorder="1" applyAlignment="1">
      <alignment horizontal="center" vertical="center"/>
    </xf>
    <xf numFmtId="0" fontId="14" fillId="0" borderId="22" xfId="0" applyFont="1" applyBorder="1" applyAlignment="1">
      <alignment horizontal="center" vertical="center"/>
    </xf>
    <xf numFmtId="0" fontId="14" fillId="0" borderId="24" xfId="0" applyFont="1" applyBorder="1" applyAlignment="1">
      <alignment horizontal="center" vertical="center"/>
    </xf>
    <xf numFmtId="0" fontId="14" fillId="0" borderId="31" xfId="0" applyFont="1" applyBorder="1" applyAlignment="1">
      <alignment horizontal="center" vertical="center"/>
    </xf>
    <xf numFmtId="0" fontId="14" fillId="0" borderId="20" xfId="0" applyFont="1" applyBorder="1" applyAlignment="1">
      <alignment horizontal="center" vertical="center"/>
    </xf>
    <xf numFmtId="0" fontId="14" fillId="0" borderId="23" xfId="0" applyFont="1" applyBorder="1" applyAlignment="1">
      <alignment horizontal="center" vertical="center"/>
    </xf>
    <xf numFmtId="0" fontId="13" fillId="2" borderId="14" xfId="0" applyFont="1" applyFill="1" applyBorder="1" applyAlignment="1" applyProtection="1">
      <alignment horizontal="center" vertical="center"/>
      <protection hidden="1"/>
    </xf>
    <xf numFmtId="0" fontId="13" fillId="2" borderId="16" xfId="0" applyFont="1" applyFill="1" applyBorder="1" applyAlignment="1" applyProtection="1">
      <alignment horizontal="center" vertical="center"/>
      <protection hidden="1"/>
    </xf>
  </cellXfs>
  <cellStyles count="2">
    <cellStyle name="常规" xfId="0" builtinId="0"/>
    <cellStyle name="超链接" xfId="1" builtinId="8"/>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19</xdr:col>
          <xdr:colOff>53340</xdr:colOff>
          <xdr:row>15</xdr:row>
          <xdr:rowOff>60960</xdr:rowOff>
        </xdr:from>
        <xdr:to>
          <xdr:col>22</xdr:col>
          <xdr:colOff>83820</xdr:colOff>
          <xdr:row>17</xdr:row>
          <xdr:rowOff>60960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zh-CN" altLang="en-US" sz="1100" b="0" i="0" u="none" strike="noStrike" baseline="0">
                  <a:solidFill>
                    <a:srgbClr val="000000"/>
                  </a:solidFill>
                  <a:latin typeface="微软雅黑"/>
                  <a:ea typeface="微软雅黑"/>
                </a:rPr>
                <a:t>生成属性</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19</xdr:col>
          <xdr:colOff>53340</xdr:colOff>
          <xdr:row>19</xdr:row>
          <xdr:rowOff>99060</xdr:rowOff>
        </xdr:from>
        <xdr:to>
          <xdr:col>22</xdr:col>
          <xdr:colOff>83820</xdr:colOff>
          <xdr:row>21</xdr:row>
          <xdr:rowOff>99060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zh-CN" altLang="en-US" sz="1100" b="0" i="0" u="none" strike="noStrike" baseline="0">
                  <a:solidFill>
                    <a:srgbClr val="000000"/>
                  </a:solidFill>
                  <a:latin typeface="微软雅黑"/>
                  <a:ea typeface="微软雅黑"/>
                </a:rPr>
                <a:t>清空属性</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99060</xdr:colOff>
          <xdr:row>41</xdr:row>
          <xdr:rowOff>38100</xdr:rowOff>
        </xdr:from>
        <xdr:to>
          <xdr:col>11</xdr:col>
          <xdr:colOff>167640</xdr:colOff>
          <xdr:row>42</xdr:row>
          <xdr:rowOff>152400</xdr:rowOff>
        </xdr:to>
        <xdr:sp macro="" textlink="">
          <xdr:nvSpPr>
            <xdr:cNvPr id="1033" name="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zh-CN" altLang="en-US" sz="1100" b="0" i="0" u="none" strike="noStrike" baseline="0">
                  <a:solidFill>
                    <a:srgbClr val="000000"/>
                  </a:solidFill>
                  <a:latin typeface="微软雅黑"/>
                  <a:ea typeface="微软雅黑"/>
                </a:rPr>
                <a:t>生成幸运</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213360</xdr:colOff>
          <xdr:row>32</xdr:row>
          <xdr:rowOff>83820</xdr:rowOff>
        </xdr:from>
        <xdr:to>
          <xdr:col>15</xdr:col>
          <xdr:colOff>22860</xdr:colOff>
          <xdr:row>34</xdr:row>
          <xdr:rowOff>83820</xdr:rowOff>
        </xdr:to>
        <xdr:sp macro="" textlink="">
          <xdr:nvSpPr>
            <xdr:cNvPr id="1043" name="Button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zh-CN" altLang="en-US" sz="1100" b="0" i="0" u="none" strike="noStrike" baseline="0">
                  <a:solidFill>
                    <a:srgbClr val="000000"/>
                  </a:solidFill>
                  <a:latin typeface="微软雅黑"/>
                  <a:ea typeface="微软雅黑"/>
                </a:rPr>
                <a:t>应用天赋</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213360</xdr:colOff>
          <xdr:row>35</xdr:row>
          <xdr:rowOff>7620</xdr:rowOff>
        </xdr:from>
        <xdr:to>
          <xdr:col>15</xdr:col>
          <xdr:colOff>22860</xdr:colOff>
          <xdr:row>37</xdr:row>
          <xdr:rowOff>7620</xdr:rowOff>
        </xdr:to>
        <xdr:sp macro="" textlink="">
          <xdr:nvSpPr>
            <xdr:cNvPr id="1044" name="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zh-CN" altLang="en-US" sz="1100" b="0" i="0" u="none" strike="noStrike" baseline="0">
                  <a:solidFill>
                    <a:srgbClr val="000000"/>
                  </a:solidFill>
                  <a:latin typeface="微软雅黑"/>
                  <a:ea typeface="微软雅黑"/>
                </a:rPr>
                <a:t>清空天赋</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99060</xdr:colOff>
          <xdr:row>43</xdr:row>
          <xdr:rowOff>53340</xdr:rowOff>
        </xdr:from>
        <xdr:to>
          <xdr:col>11</xdr:col>
          <xdr:colOff>167640</xdr:colOff>
          <xdr:row>44</xdr:row>
          <xdr:rowOff>167640</xdr:rowOff>
        </xdr:to>
        <xdr:sp macro="" textlink="">
          <xdr:nvSpPr>
            <xdr:cNvPr id="1046" name="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zh-CN" altLang="en-US" sz="1100" b="0" i="0" u="none" strike="noStrike" baseline="0">
                  <a:solidFill>
                    <a:srgbClr val="000000"/>
                  </a:solidFill>
                  <a:latin typeface="微软雅黑"/>
                  <a:ea typeface="微软雅黑"/>
                </a:rPr>
                <a:t>清除幸运</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228600</xdr:colOff>
          <xdr:row>6</xdr:row>
          <xdr:rowOff>0</xdr:rowOff>
        </xdr:from>
        <xdr:to>
          <xdr:col>13</xdr:col>
          <xdr:colOff>83820</xdr:colOff>
          <xdr:row>8</xdr:row>
          <xdr:rowOff>0</xdr:rowOff>
        </xdr:to>
        <xdr:sp macro="" textlink="">
          <xdr:nvSpPr>
            <xdr:cNvPr id="9217" name="Button 1" hidden="1">
              <a:extLst>
                <a:ext uri="{63B3BB69-23CF-44E3-9099-C40C66FF867C}">
                  <a14:compatExt spid="_x0000_s9217"/>
                </a:ext>
                <a:ext uri="{FF2B5EF4-FFF2-40B4-BE49-F238E27FC236}">
                  <a16:creationId xmlns:a16="http://schemas.microsoft.com/office/drawing/2014/main" id="{00000000-0008-0000-0700-0000012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zh-CN" altLang="en-US" sz="1100" b="0" i="0" u="none" strike="noStrike" baseline="0">
                  <a:solidFill>
                    <a:srgbClr val="000000"/>
                  </a:solidFill>
                  <a:latin typeface="等线"/>
                  <a:ea typeface="等线"/>
                </a:rPr>
                <a:t>刷新掷骰结果</a:t>
              </a:r>
            </a:p>
          </xdr:txBody>
        </xdr:sp>
        <xdr:clientData fPrintsWithSheet="0"/>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3462-C7F9-40D5-9336-8242713D17F2}">
  <sheetPr codeName="Sheet1"/>
  <dimension ref="A1:BE1048563"/>
  <sheetViews>
    <sheetView showGridLines="0" showRowColHeaders="0" tabSelected="1" zoomScale="115" zoomScaleNormal="115" workbookViewId="0">
      <selection activeCell="B5" sqref="B5:G5"/>
    </sheetView>
  </sheetViews>
  <sheetFormatPr defaultColWidth="3.21875" defaultRowHeight="15" x14ac:dyDescent="0.25"/>
  <cols>
    <col min="1" max="1" width="3.21875" style="38" customWidth="1"/>
    <col min="2" max="36" width="3.21875" style="36"/>
    <col min="37" max="39" width="3.21875" style="147"/>
    <col min="40" max="56" width="3.21875" style="39"/>
    <col min="57" max="16384" width="3.21875" style="36"/>
  </cols>
  <sheetData>
    <row r="1" spans="1:57" s="35" customFormat="1" x14ac:dyDescent="0.25">
      <c r="A1" s="34"/>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37"/>
      <c r="AK1" s="146"/>
      <c r="AL1" s="146"/>
      <c r="AM1" s="146"/>
      <c r="AN1" s="132"/>
      <c r="AO1" s="132"/>
      <c r="AP1" s="132"/>
      <c r="AQ1" s="132"/>
      <c r="AR1" s="132"/>
      <c r="AS1" s="132"/>
      <c r="AT1" s="132"/>
      <c r="AU1" s="132"/>
      <c r="AV1" s="132"/>
      <c r="AW1" s="132"/>
      <c r="AX1" s="132"/>
      <c r="AY1" s="132"/>
      <c r="AZ1" s="132"/>
      <c r="BA1" s="132"/>
      <c r="BB1" s="132"/>
      <c r="BC1" s="132"/>
      <c r="BD1" s="132"/>
    </row>
    <row r="2" spans="1:57" s="35" customFormat="1" ht="27.6" x14ac:dyDescent="0.25">
      <c r="A2" s="34"/>
      <c r="B2" s="191" t="s">
        <v>469</v>
      </c>
      <c r="C2" s="191"/>
      <c r="D2" s="191"/>
      <c r="E2" s="191"/>
      <c r="F2" s="191"/>
      <c r="G2" s="191"/>
      <c r="H2" s="191"/>
      <c r="I2" s="191"/>
      <c r="J2" s="191"/>
      <c r="K2" s="191"/>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37"/>
      <c r="AK2" s="146"/>
      <c r="AL2" s="146"/>
      <c r="AM2" s="146"/>
      <c r="AN2" s="132"/>
      <c r="AO2" s="132"/>
      <c r="AP2" s="132"/>
      <c r="AQ2" s="132"/>
      <c r="AR2" s="132"/>
      <c r="AS2" s="132"/>
      <c r="AT2" s="132"/>
      <c r="AU2" s="132"/>
      <c r="AV2" s="132"/>
      <c r="AW2" s="132"/>
      <c r="AX2" s="132"/>
      <c r="AY2" s="132"/>
      <c r="AZ2" s="132"/>
      <c r="BA2" s="132"/>
      <c r="BB2" s="132"/>
      <c r="BC2" s="132"/>
      <c r="BD2" s="132"/>
    </row>
    <row r="3" spans="1:57" s="35" customFormat="1" ht="15.6" thickBot="1" x14ac:dyDescent="0.3">
      <c r="A3" s="34"/>
      <c r="B3" s="158" t="s">
        <v>924</v>
      </c>
      <c r="C3" s="158"/>
      <c r="D3" s="158"/>
      <c r="E3" s="158"/>
      <c r="F3" s="158"/>
      <c r="G3" s="158"/>
      <c r="H3" s="158"/>
      <c r="I3" s="158"/>
      <c r="J3" s="158"/>
      <c r="K3" s="158"/>
      <c r="L3" s="158"/>
      <c r="M3" s="158"/>
      <c r="N3" s="158"/>
      <c r="O3" s="158"/>
      <c r="P3" s="158"/>
      <c r="Q3" s="158"/>
      <c r="R3" s="158"/>
      <c r="S3" s="158"/>
      <c r="T3" s="158"/>
      <c r="U3" s="158"/>
      <c r="V3" s="158"/>
      <c r="W3" s="158"/>
      <c r="X3" s="158"/>
      <c r="Y3" s="158"/>
      <c r="Z3" s="158"/>
      <c r="AA3" s="158"/>
      <c r="AB3" s="158"/>
      <c r="AC3" s="158"/>
      <c r="AD3" s="158"/>
      <c r="AE3" s="158"/>
      <c r="AF3" s="158"/>
      <c r="AG3" s="158"/>
      <c r="AH3" s="158"/>
      <c r="AI3" s="158"/>
      <c r="AJ3" s="137"/>
      <c r="AK3" s="146"/>
      <c r="AL3" s="146"/>
      <c r="AM3" s="146"/>
      <c r="AN3" s="132"/>
      <c r="AO3" s="132"/>
      <c r="AP3" s="132"/>
      <c r="AQ3" s="132"/>
      <c r="AR3" s="132"/>
      <c r="AS3" s="132"/>
      <c r="AT3" s="132"/>
      <c r="AU3" s="132"/>
      <c r="AV3" s="132"/>
      <c r="AW3" s="132"/>
      <c r="AX3" s="132"/>
      <c r="AY3" s="132"/>
      <c r="AZ3" s="132"/>
      <c r="BA3" s="132"/>
      <c r="BB3" s="132"/>
      <c r="BC3" s="132"/>
      <c r="BD3" s="132"/>
    </row>
    <row r="4" spans="1:57" s="35" customFormat="1" x14ac:dyDescent="0.25">
      <c r="A4" s="34"/>
      <c r="B4" s="242" t="s">
        <v>526</v>
      </c>
      <c r="C4" s="243"/>
      <c r="D4" s="243"/>
      <c r="E4" s="243"/>
      <c r="F4" s="243"/>
      <c r="G4" s="244"/>
      <c r="H4" s="137"/>
      <c r="I4" s="236" t="str">
        <f>LOOKUP(模板选择,角色卡模板!C1:H1,角色卡模板!C199:H199)</f>
        <v>来自《克苏鲁的呼唤》核心规则。</v>
      </c>
      <c r="J4" s="237"/>
      <c r="K4" s="237"/>
      <c r="L4" s="237"/>
      <c r="M4" s="237"/>
      <c r="N4" s="237"/>
      <c r="O4" s="237"/>
      <c r="P4" s="237"/>
      <c r="Q4" s="237"/>
      <c r="R4" s="237"/>
      <c r="S4" s="237"/>
      <c r="T4" s="237"/>
      <c r="U4" s="237"/>
      <c r="V4" s="237"/>
      <c r="W4" s="237"/>
      <c r="X4" s="237"/>
      <c r="Y4" s="237"/>
      <c r="Z4" s="237"/>
      <c r="AA4" s="237"/>
      <c r="AB4" s="237"/>
      <c r="AC4" s="237"/>
      <c r="AD4" s="237"/>
      <c r="AE4" s="237"/>
      <c r="AF4" s="237"/>
      <c r="AG4" s="237"/>
      <c r="AH4" s="237"/>
      <c r="AI4" s="238"/>
      <c r="AJ4" s="137"/>
      <c r="AK4" s="146"/>
      <c r="AL4" s="146"/>
      <c r="AM4" s="146"/>
      <c r="AN4" s="132"/>
      <c r="AO4" s="132"/>
      <c r="AP4" s="132"/>
      <c r="AQ4" s="132"/>
      <c r="AR4" s="132"/>
      <c r="AS4" s="132"/>
      <c r="AT4" s="132"/>
      <c r="AU4" s="132"/>
      <c r="AV4" s="132"/>
      <c r="AW4" s="132"/>
      <c r="AX4" s="132"/>
      <c r="AY4" s="132"/>
      <c r="AZ4" s="132"/>
      <c r="BA4" s="132"/>
      <c r="BB4" s="132"/>
      <c r="BC4" s="132"/>
      <c r="BD4" s="132"/>
    </row>
    <row r="5" spans="1:57" s="35" customFormat="1" ht="15.6" thickBot="1" x14ac:dyDescent="0.3">
      <c r="A5" s="34"/>
      <c r="B5" s="249" t="s">
        <v>1125</v>
      </c>
      <c r="C5" s="250"/>
      <c r="D5" s="250"/>
      <c r="E5" s="250"/>
      <c r="F5" s="250"/>
      <c r="G5" s="251"/>
      <c r="H5" s="137"/>
      <c r="I5" s="239"/>
      <c r="J5" s="240"/>
      <c r="K5" s="240"/>
      <c r="L5" s="240"/>
      <c r="M5" s="240"/>
      <c r="N5" s="240"/>
      <c r="O5" s="240"/>
      <c r="P5" s="240"/>
      <c r="Q5" s="240"/>
      <c r="R5" s="240"/>
      <c r="S5" s="240"/>
      <c r="T5" s="240"/>
      <c r="U5" s="240"/>
      <c r="V5" s="240"/>
      <c r="W5" s="240"/>
      <c r="X5" s="240"/>
      <c r="Y5" s="240"/>
      <c r="Z5" s="240"/>
      <c r="AA5" s="240"/>
      <c r="AB5" s="240"/>
      <c r="AC5" s="240"/>
      <c r="AD5" s="240"/>
      <c r="AE5" s="240"/>
      <c r="AF5" s="240"/>
      <c r="AG5" s="240"/>
      <c r="AH5" s="240"/>
      <c r="AI5" s="241"/>
      <c r="AJ5" s="137"/>
      <c r="AK5" s="146"/>
      <c r="AL5" s="146"/>
      <c r="AM5" s="146"/>
      <c r="AN5" s="132"/>
      <c r="AO5" s="132"/>
      <c r="AP5" s="132"/>
      <c r="AQ5" s="132"/>
      <c r="AR5" s="132"/>
      <c r="AS5" s="132"/>
      <c r="AT5" s="132"/>
      <c r="AU5" s="132"/>
      <c r="AV5" s="132"/>
      <c r="AW5" s="132"/>
      <c r="AX5" s="132"/>
      <c r="AY5" s="132"/>
      <c r="AZ5" s="132"/>
      <c r="BA5" s="132"/>
      <c r="BB5" s="132"/>
      <c r="BC5" s="132"/>
      <c r="BD5" s="132"/>
    </row>
    <row r="6" spans="1:57" s="35" customFormat="1" ht="15.6" thickBot="1" x14ac:dyDescent="0.3">
      <c r="A6" s="34"/>
      <c r="B6" s="158"/>
      <c r="C6" s="158"/>
      <c r="D6" s="158"/>
      <c r="E6" s="158"/>
      <c r="F6" s="158"/>
      <c r="G6" s="158"/>
      <c r="H6" s="158"/>
      <c r="I6" s="158"/>
      <c r="J6" s="158"/>
      <c r="K6" s="158"/>
      <c r="L6" s="158"/>
      <c r="M6" s="158"/>
      <c r="N6" s="158"/>
      <c r="O6" s="158"/>
      <c r="P6" s="158"/>
      <c r="Q6" s="158"/>
      <c r="R6" s="158"/>
      <c r="S6" s="158"/>
      <c r="T6" s="158"/>
      <c r="U6" s="158"/>
      <c r="V6" s="158"/>
      <c r="W6" s="158"/>
      <c r="X6" s="158"/>
      <c r="Y6" s="158"/>
      <c r="Z6" s="158"/>
      <c r="AA6" s="158"/>
      <c r="AB6" s="158"/>
      <c r="AC6" s="158"/>
      <c r="AD6" s="158"/>
      <c r="AE6" s="158"/>
      <c r="AF6" s="158"/>
      <c r="AG6" s="158"/>
      <c r="AH6" s="158"/>
      <c r="AI6" s="158"/>
      <c r="AJ6" s="137"/>
      <c r="AK6" s="146"/>
      <c r="AL6" s="146"/>
      <c r="AM6" s="146"/>
      <c r="AN6" s="132"/>
      <c r="AO6" s="132"/>
      <c r="AP6" s="132"/>
      <c r="AQ6" s="132"/>
      <c r="AR6" s="132"/>
      <c r="AS6" s="132"/>
      <c r="AT6" s="132"/>
      <c r="AU6" s="132"/>
      <c r="AV6" s="132"/>
      <c r="AW6" s="132"/>
      <c r="AX6" s="132"/>
      <c r="AY6" s="132"/>
      <c r="AZ6" s="132"/>
      <c r="BA6" s="132"/>
      <c r="BB6" s="132"/>
      <c r="BC6" s="132"/>
      <c r="BD6" s="132"/>
    </row>
    <row r="7" spans="1:57" s="35" customFormat="1" x14ac:dyDescent="0.25">
      <c r="A7" s="34"/>
      <c r="B7" s="159" t="s">
        <v>705</v>
      </c>
      <c r="C7" s="160"/>
      <c r="D7" s="160"/>
      <c r="E7" s="160"/>
      <c r="F7" s="160"/>
      <c r="G7" s="160"/>
      <c r="H7" s="164" t="s">
        <v>709</v>
      </c>
      <c r="I7" s="165"/>
      <c r="J7" s="165"/>
      <c r="K7" s="166"/>
      <c r="L7" s="213" t="s">
        <v>930</v>
      </c>
      <c r="M7" s="214"/>
      <c r="N7" s="214"/>
      <c r="O7" s="214"/>
      <c r="P7" s="214"/>
      <c r="Q7" s="214"/>
      <c r="R7" s="214"/>
      <c r="S7" s="214"/>
      <c r="T7" s="214"/>
      <c r="U7" s="214"/>
      <c r="V7" s="214"/>
      <c r="W7" s="214"/>
      <c r="X7" s="214"/>
      <c r="Y7" s="214"/>
      <c r="Z7" s="214"/>
      <c r="AA7" s="214"/>
      <c r="AB7" s="214"/>
      <c r="AC7" s="214"/>
      <c r="AD7" s="214"/>
      <c r="AE7" s="214"/>
      <c r="AF7" s="214"/>
      <c r="AG7" s="214"/>
      <c r="AH7" s="214"/>
      <c r="AI7" s="215"/>
      <c r="AJ7" s="137"/>
      <c r="AK7" s="146"/>
      <c r="AL7" s="146"/>
      <c r="AM7" s="146"/>
      <c r="AN7" s="132"/>
      <c r="AO7" s="132"/>
      <c r="AP7" s="132"/>
      <c r="AQ7" s="132"/>
      <c r="AR7" s="132"/>
      <c r="AS7" s="132"/>
      <c r="AT7" s="132"/>
      <c r="AU7" s="132"/>
      <c r="AV7" s="132"/>
      <c r="AW7" s="132"/>
      <c r="AX7" s="132"/>
      <c r="AY7" s="132"/>
      <c r="AZ7" s="132"/>
      <c r="BA7" s="132"/>
      <c r="BB7" s="132"/>
      <c r="BC7" s="132"/>
      <c r="BD7" s="132"/>
    </row>
    <row r="8" spans="1:57" s="35" customFormat="1" x14ac:dyDescent="0.25">
      <c r="A8" s="34"/>
      <c r="B8" s="195" t="s">
        <v>711</v>
      </c>
      <c r="C8" s="188"/>
      <c r="D8" s="188"/>
      <c r="E8" s="188"/>
      <c r="F8" s="188"/>
      <c r="G8" s="188"/>
      <c r="H8" s="200" t="s">
        <v>925</v>
      </c>
      <c r="I8" s="201"/>
      <c r="J8" s="201"/>
      <c r="K8" s="202"/>
      <c r="L8" s="265" t="str">
        <f>IF(Pulp_Switch="启用",LOOKUP(模板选择,角色卡模板!C1:H1,角色卡模板!C200:H200),"使用标准规则创建调查员。")</f>
        <v>使用标准规则创建调查员。</v>
      </c>
      <c r="M8" s="266"/>
      <c r="N8" s="266"/>
      <c r="O8" s="266"/>
      <c r="P8" s="266"/>
      <c r="Q8" s="266"/>
      <c r="R8" s="266"/>
      <c r="S8" s="266"/>
      <c r="T8" s="266"/>
      <c r="U8" s="266"/>
      <c r="V8" s="266"/>
      <c r="W8" s="266"/>
      <c r="X8" s="266"/>
      <c r="Y8" s="266"/>
      <c r="Z8" s="266"/>
      <c r="AA8" s="266"/>
      <c r="AB8" s="266"/>
      <c r="AC8" s="266"/>
      <c r="AD8" s="266"/>
      <c r="AE8" s="266"/>
      <c r="AF8" s="266"/>
      <c r="AG8" s="266"/>
      <c r="AH8" s="266"/>
      <c r="AI8" s="267"/>
      <c r="AJ8" s="137"/>
      <c r="AK8" s="146"/>
      <c r="AL8" s="146"/>
      <c r="AM8" s="146"/>
      <c r="AN8" s="132"/>
      <c r="AO8" s="132"/>
      <c r="AP8" s="132"/>
      <c r="AQ8" s="132"/>
      <c r="AR8" s="132"/>
      <c r="AS8" s="132"/>
      <c r="AT8" s="132"/>
      <c r="AU8" s="132"/>
      <c r="AV8" s="132"/>
      <c r="AW8" s="132"/>
      <c r="AX8" s="132"/>
      <c r="AY8" s="132"/>
      <c r="AZ8" s="132"/>
      <c r="BA8" s="132"/>
      <c r="BB8" s="132"/>
      <c r="BC8" s="132"/>
      <c r="BD8" s="132"/>
    </row>
    <row r="9" spans="1:57" s="35" customFormat="1" x14ac:dyDescent="0.25">
      <c r="A9" s="34"/>
      <c r="B9" s="193" t="s">
        <v>706</v>
      </c>
      <c r="C9" s="194"/>
      <c r="D9" s="194"/>
      <c r="E9" s="194"/>
      <c r="F9" s="194"/>
      <c r="G9" s="194"/>
      <c r="H9" s="197" t="s">
        <v>1021</v>
      </c>
      <c r="I9" s="198"/>
      <c r="J9" s="198"/>
      <c r="K9" s="199"/>
      <c r="L9" s="268" t="str">
        <f>IF(Pulp_Switch="启用","查看“扩展资源”标签或阅读《通俗克苏鲁》第二章来确认各个英雄类型，并从中做出选择。","《通俗克苏鲁》已禁用。")</f>
        <v>《通俗克苏鲁》已禁用。</v>
      </c>
      <c r="M9" s="269"/>
      <c r="N9" s="269"/>
      <c r="O9" s="269"/>
      <c r="P9" s="269"/>
      <c r="Q9" s="269"/>
      <c r="R9" s="269"/>
      <c r="S9" s="269"/>
      <c r="T9" s="269"/>
      <c r="U9" s="269"/>
      <c r="V9" s="269"/>
      <c r="W9" s="269"/>
      <c r="X9" s="269"/>
      <c r="Y9" s="269"/>
      <c r="Z9" s="269"/>
      <c r="AA9" s="269"/>
      <c r="AB9" s="269"/>
      <c r="AC9" s="269"/>
      <c r="AD9" s="269"/>
      <c r="AE9" s="269"/>
      <c r="AF9" s="269"/>
      <c r="AG9" s="269"/>
      <c r="AH9" s="269"/>
      <c r="AI9" s="270"/>
      <c r="AJ9" s="137"/>
      <c r="AK9" s="146"/>
      <c r="AL9" s="146"/>
      <c r="AM9" s="146"/>
      <c r="AN9" s="132"/>
      <c r="AO9" s="132"/>
      <c r="AP9" s="132"/>
      <c r="AQ9" s="132"/>
      <c r="AR9" s="132"/>
      <c r="AS9" s="132"/>
      <c r="AT9" s="132"/>
      <c r="AU9" s="132"/>
      <c r="AV9" s="132"/>
      <c r="AW9" s="132"/>
      <c r="AX9" s="132"/>
      <c r="AY9" s="132"/>
      <c r="AZ9" s="132"/>
      <c r="BA9" s="132"/>
      <c r="BB9" s="132"/>
      <c r="BC9" s="132"/>
      <c r="BD9" s="132"/>
    </row>
    <row r="10" spans="1:57" s="35" customFormat="1" x14ac:dyDescent="0.25">
      <c r="A10" s="34"/>
      <c r="B10" s="195" t="s">
        <v>707</v>
      </c>
      <c r="C10" s="188"/>
      <c r="D10" s="188"/>
      <c r="E10" s="188"/>
      <c r="F10" s="188"/>
      <c r="G10" s="188"/>
      <c r="H10" s="200" t="s">
        <v>1206</v>
      </c>
      <c r="I10" s="201"/>
      <c r="J10" s="201"/>
      <c r="K10" s="202"/>
      <c r="L10" s="265" t="str">
        <f>IF(Pulp_Switch="启用",H9&amp;"的核心属性应为"&amp;VLOOKUP(H9,扩展资源!B5:G26,4,0)&amp;"。","《通俗克苏鲁》已禁用。")</f>
        <v>《通俗克苏鲁》已禁用。</v>
      </c>
      <c r="M10" s="266"/>
      <c r="N10" s="266"/>
      <c r="O10" s="266"/>
      <c r="P10" s="266"/>
      <c r="Q10" s="266"/>
      <c r="R10" s="266"/>
      <c r="S10" s="266"/>
      <c r="T10" s="266"/>
      <c r="U10" s="266"/>
      <c r="V10" s="266"/>
      <c r="W10" s="266"/>
      <c r="X10" s="266"/>
      <c r="Y10" s="266"/>
      <c r="Z10" s="266"/>
      <c r="AA10" s="266"/>
      <c r="AB10" s="266"/>
      <c r="AC10" s="266"/>
      <c r="AD10" s="266"/>
      <c r="AE10" s="266"/>
      <c r="AF10" s="266"/>
      <c r="AG10" s="266"/>
      <c r="AH10" s="266"/>
      <c r="AI10" s="267"/>
      <c r="AJ10" s="137"/>
      <c r="AK10" s="146"/>
      <c r="AL10" s="146"/>
      <c r="AM10" s="146"/>
      <c r="AN10" s="132"/>
      <c r="AO10" s="132"/>
      <c r="AP10" s="132"/>
      <c r="AQ10" s="132"/>
      <c r="AR10" s="132"/>
      <c r="AS10" s="132"/>
      <c r="AT10" s="132"/>
      <c r="AU10" s="132"/>
      <c r="AV10" s="132"/>
      <c r="AW10" s="132"/>
      <c r="AX10" s="132"/>
      <c r="AY10" s="132"/>
      <c r="AZ10" s="132"/>
      <c r="BA10" s="132"/>
      <c r="BB10" s="132"/>
      <c r="BC10" s="132"/>
      <c r="BD10" s="132"/>
    </row>
    <row r="11" spans="1:57" s="35" customFormat="1" ht="15.6" thickBot="1" x14ac:dyDescent="0.3">
      <c r="A11" s="34"/>
      <c r="B11" s="196" t="s">
        <v>708</v>
      </c>
      <c r="C11" s="163"/>
      <c r="D11" s="163"/>
      <c r="E11" s="163"/>
      <c r="F11" s="163"/>
      <c r="G11" s="163"/>
      <c r="H11" s="203" t="s">
        <v>1131</v>
      </c>
      <c r="I11" s="204"/>
      <c r="J11" s="204"/>
      <c r="K11" s="205"/>
      <c r="L11" s="271" t="str">
        <f>IF(Pulp_Switch="启用",IF(H11="核心规则","使用《克苏鲁的呼唤》标准规则计算生命值（CON与SIZ之和除以10）。","使用《通俗克苏鲁》规则计算生命值（CON与SIZ之和除以5）。"),"《通俗克苏鲁》已禁用。")</f>
        <v>《通俗克苏鲁》已禁用。</v>
      </c>
      <c r="M11" s="272"/>
      <c r="N11" s="272"/>
      <c r="O11" s="272"/>
      <c r="P11" s="272"/>
      <c r="Q11" s="272"/>
      <c r="R11" s="272"/>
      <c r="S11" s="272"/>
      <c r="T11" s="272"/>
      <c r="U11" s="272"/>
      <c r="V11" s="272"/>
      <c r="W11" s="272"/>
      <c r="X11" s="272"/>
      <c r="Y11" s="272"/>
      <c r="Z11" s="272"/>
      <c r="AA11" s="272"/>
      <c r="AB11" s="272"/>
      <c r="AC11" s="272"/>
      <c r="AD11" s="272"/>
      <c r="AE11" s="272"/>
      <c r="AF11" s="272"/>
      <c r="AG11" s="272"/>
      <c r="AH11" s="272"/>
      <c r="AI11" s="273"/>
      <c r="AJ11" s="137"/>
      <c r="AK11" s="146"/>
      <c r="AL11" s="146"/>
      <c r="AM11" s="146"/>
      <c r="AN11" s="132"/>
      <c r="AO11" s="132"/>
      <c r="AP11" s="132"/>
      <c r="AQ11" s="132"/>
      <c r="AR11" s="132"/>
      <c r="AS11" s="132"/>
      <c r="AT11" s="132"/>
      <c r="AU11" s="132"/>
      <c r="AV11" s="132"/>
      <c r="AW11" s="132"/>
      <c r="AX11" s="132"/>
      <c r="AY11" s="132"/>
      <c r="AZ11" s="132"/>
      <c r="BA11" s="132"/>
      <c r="BB11" s="132"/>
      <c r="BC11" s="132"/>
      <c r="BD11" s="132"/>
    </row>
    <row r="12" spans="1:57" s="35" customFormat="1" x14ac:dyDescent="0.25">
      <c r="A12" s="34"/>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46"/>
      <c r="AL12" s="146"/>
      <c r="AM12" s="146"/>
      <c r="AN12" s="132"/>
      <c r="AO12" s="132"/>
      <c r="AP12" s="132"/>
      <c r="AQ12" s="132"/>
      <c r="AR12" s="132"/>
      <c r="AS12" s="132"/>
      <c r="AT12" s="132"/>
      <c r="AU12" s="132"/>
      <c r="AV12" s="132"/>
      <c r="AW12" s="132"/>
      <c r="AX12" s="132"/>
      <c r="AY12" s="132"/>
      <c r="AZ12" s="132"/>
      <c r="BA12" s="132"/>
      <c r="BB12" s="132"/>
      <c r="BC12" s="132"/>
      <c r="BD12" s="132"/>
    </row>
    <row r="13" spans="1:57" ht="27.6" x14ac:dyDescent="0.25">
      <c r="A13" s="34"/>
      <c r="B13" s="191" t="s">
        <v>919</v>
      </c>
      <c r="C13" s="191"/>
      <c r="D13" s="191"/>
      <c r="E13" s="191"/>
      <c r="F13" s="191"/>
      <c r="G13" s="191"/>
      <c r="H13" s="191"/>
      <c r="I13" s="191"/>
      <c r="J13" s="191"/>
      <c r="K13" s="191"/>
      <c r="L13" s="191"/>
      <c r="M13" s="191"/>
      <c r="N13" s="191"/>
      <c r="O13" s="191"/>
      <c r="P13" s="191"/>
      <c r="Q13" s="191"/>
      <c r="R13" s="192"/>
      <c r="S13" s="192"/>
      <c r="T13" s="192"/>
      <c r="U13" s="192"/>
      <c r="V13" s="192"/>
      <c r="W13" s="192"/>
      <c r="X13" s="192"/>
      <c r="Y13" s="192"/>
      <c r="Z13" s="192"/>
      <c r="AA13" s="192"/>
      <c r="AB13" s="192"/>
      <c r="AC13" s="192"/>
      <c r="AD13" s="192"/>
      <c r="AE13" s="192"/>
      <c r="AF13" s="192"/>
      <c r="AG13" s="192"/>
      <c r="AH13" s="192"/>
      <c r="AI13" s="192"/>
      <c r="AJ13" s="137"/>
      <c r="AK13" s="146"/>
    </row>
    <row r="14" spans="1:57" ht="15.6" customHeight="1" thickBot="1" x14ac:dyDescent="0.3">
      <c r="A14" s="34"/>
      <c r="B14" s="286" t="s">
        <v>950</v>
      </c>
      <c r="C14" s="286"/>
      <c r="D14" s="286"/>
      <c r="E14" s="286"/>
      <c r="F14" s="286"/>
      <c r="G14" s="286"/>
      <c r="H14" s="286"/>
      <c r="I14" s="286"/>
      <c r="J14" s="286"/>
      <c r="K14" s="286"/>
      <c r="L14" s="286"/>
      <c r="M14" s="286"/>
      <c r="N14" s="286"/>
      <c r="O14" s="286"/>
      <c r="P14" s="286"/>
      <c r="Q14" s="286"/>
      <c r="R14" s="286"/>
      <c r="S14" s="286"/>
      <c r="T14" s="286"/>
      <c r="U14" s="286"/>
      <c r="V14" s="286"/>
      <c r="W14" s="286"/>
      <c r="X14" s="286"/>
      <c r="Y14" s="286"/>
      <c r="Z14" s="286"/>
      <c r="AA14" s="286"/>
      <c r="AB14" s="286"/>
      <c r="AC14" s="286"/>
      <c r="AD14" s="286"/>
      <c r="AE14" s="286"/>
      <c r="AF14" s="286"/>
      <c r="AG14" s="286"/>
      <c r="AH14" s="286"/>
      <c r="AI14" s="286"/>
      <c r="AJ14" s="137"/>
      <c r="AK14" s="146">
        <f ca="1">RANDBETWEEN(1,6)</f>
        <v>6</v>
      </c>
      <c r="AL14" s="147" t="s">
        <v>322</v>
      </c>
    </row>
    <row r="15" spans="1:57" x14ac:dyDescent="0.25">
      <c r="A15" s="128"/>
      <c r="B15" s="159" t="s">
        <v>229</v>
      </c>
      <c r="C15" s="160"/>
      <c r="D15" s="160"/>
      <c r="E15" s="160"/>
      <c r="F15" s="160" t="s">
        <v>948</v>
      </c>
      <c r="G15" s="160"/>
      <c r="H15" s="160"/>
      <c r="I15" s="160"/>
      <c r="J15" s="160" t="s">
        <v>877</v>
      </c>
      <c r="K15" s="160"/>
      <c r="L15" s="160"/>
      <c r="M15" s="160" t="s">
        <v>645</v>
      </c>
      <c r="N15" s="160"/>
      <c r="O15" s="160"/>
      <c r="P15" s="160" t="s">
        <v>949</v>
      </c>
      <c r="Q15" s="160"/>
      <c r="R15" s="173"/>
      <c r="S15" s="139"/>
      <c r="T15" s="139"/>
      <c r="U15" s="139"/>
      <c r="V15" s="139"/>
      <c r="W15" s="139"/>
      <c r="X15" s="139"/>
      <c r="Y15" s="139"/>
      <c r="Z15" s="139"/>
      <c r="AA15" s="139"/>
      <c r="AB15" s="139"/>
      <c r="AC15" s="291" t="s">
        <v>468</v>
      </c>
      <c r="AD15" s="165"/>
      <c r="AE15" s="165"/>
      <c r="AF15" s="165"/>
      <c r="AG15" s="165"/>
      <c r="AH15" s="165"/>
      <c r="AI15" s="167"/>
      <c r="AJ15" s="139"/>
      <c r="AK15" s="146">
        <f t="shared" ref="AK15:AK37" ca="1" si="0">RANDBETWEEN(1,6)</f>
        <v>3</v>
      </c>
      <c r="AL15" s="147" t="s">
        <v>322</v>
      </c>
    </row>
    <row r="16" spans="1:57" x14ac:dyDescent="0.25">
      <c r="A16" s="128"/>
      <c r="B16" s="208" t="s">
        <v>940</v>
      </c>
      <c r="C16" s="209"/>
      <c r="D16" s="194" t="s">
        <v>322</v>
      </c>
      <c r="E16" s="194"/>
      <c r="F16" s="263" t="str">
        <f>IF(AND(Pulp_Switch="启用",H10="STR"),"(1D6+13)×5","3D6×5")</f>
        <v>3D6×5</v>
      </c>
      <c r="G16" s="263"/>
      <c r="H16" s="263"/>
      <c r="I16" s="263"/>
      <c r="J16" s="197"/>
      <c r="K16" s="198"/>
      <c r="L16" s="199"/>
      <c r="M16" s="210"/>
      <c r="N16" s="210"/>
      <c r="O16" s="210"/>
      <c r="P16" s="274">
        <f>SUM(J16:O16)</f>
        <v>0</v>
      </c>
      <c r="Q16" s="275"/>
      <c r="R16" s="276"/>
      <c r="S16" s="139"/>
      <c r="T16" s="139"/>
      <c r="U16" s="139"/>
      <c r="V16" s="139"/>
      <c r="W16" s="130"/>
      <c r="X16" s="130"/>
      <c r="Y16" s="130"/>
      <c r="Z16" s="131"/>
      <c r="AA16" s="131"/>
      <c r="AB16" s="130"/>
      <c r="AC16" s="208" t="s">
        <v>940</v>
      </c>
      <c r="AD16" s="209"/>
      <c r="AE16" s="194" t="s">
        <v>322</v>
      </c>
      <c r="AF16" s="194"/>
      <c r="AG16" s="274">
        <f ca="1">IF(F16="(1D6+13)×5",SUM(AK14,13)*5,SUM(AK14:AK16)*5)</f>
        <v>70</v>
      </c>
      <c r="AH16" s="275"/>
      <c r="AI16" s="276"/>
      <c r="AJ16" s="139"/>
      <c r="AK16" s="146">
        <f t="shared" ca="1" si="0"/>
        <v>5</v>
      </c>
      <c r="AL16" s="147" t="s">
        <v>322</v>
      </c>
      <c r="BE16" s="39"/>
    </row>
    <row r="17" spans="1:57" ht="15" customHeight="1" x14ac:dyDescent="0.25">
      <c r="A17" s="128"/>
      <c r="B17" s="206" t="s">
        <v>941</v>
      </c>
      <c r="C17" s="207"/>
      <c r="D17" s="188" t="s">
        <v>791</v>
      </c>
      <c r="E17" s="188"/>
      <c r="F17" s="190" t="str">
        <f>IF(AND(Pulp_Switch="启用",H10="CON"),"(1D6+13)×5","3D6×5")</f>
        <v>3D6×5</v>
      </c>
      <c r="G17" s="190"/>
      <c r="H17" s="190"/>
      <c r="I17" s="190"/>
      <c r="J17" s="200"/>
      <c r="K17" s="201"/>
      <c r="L17" s="202"/>
      <c r="M17" s="264"/>
      <c r="N17" s="264"/>
      <c r="O17" s="264"/>
      <c r="P17" s="277">
        <f t="shared" ref="P17:P23" si="1">SUM(J17:O17)</f>
        <v>0</v>
      </c>
      <c r="Q17" s="278"/>
      <c r="R17" s="279"/>
      <c r="S17" s="139"/>
      <c r="T17" s="139"/>
      <c r="U17" s="139"/>
      <c r="V17" s="139"/>
      <c r="W17" s="130"/>
      <c r="X17" s="130"/>
      <c r="Y17" s="130"/>
      <c r="Z17" s="131"/>
      <c r="AA17" s="131"/>
      <c r="AB17" s="130"/>
      <c r="AC17" s="206" t="s">
        <v>941</v>
      </c>
      <c r="AD17" s="207"/>
      <c r="AE17" s="188" t="s">
        <v>791</v>
      </c>
      <c r="AF17" s="188"/>
      <c r="AG17" s="277">
        <f ca="1">IF(F17="(1D6+13)×5",SUM(AK17,13)*5,SUM(AK17:AK19)*5)</f>
        <v>70</v>
      </c>
      <c r="AH17" s="278"/>
      <c r="AI17" s="279"/>
      <c r="AJ17" s="139"/>
      <c r="AK17" s="146">
        <f t="shared" ca="1" si="0"/>
        <v>4</v>
      </c>
      <c r="AL17" s="146" t="s">
        <v>791</v>
      </c>
      <c r="BE17" s="39"/>
    </row>
    <row r="18" spans="1:57" ht="15" customHeight="1" x14ac:dyDescent="0.25">
      <c r="A18" s="128"/>
      <c r="B18" s="208" t="s">
        <v>942</v>
      </c>
      <c r="C18" s="209"/>
      <c r="D18" s="194" t="s">
        <v>328</v>
      </c>
      <c r="E18" s="194"/>
      <c r="F18" s="263" t="str">
        <f>IF(AND(Pulp_Switch="启用",H10="SIZ"),"(1D6+13)×5","(2D6+6)×5")</f>
        <v>(2D6+6)×5</v>
      </c>
      <c r="G18" s="263"/>
      <c r="H18" s="263"/>
      <c r="I18" s="263"/>
      <c r="J18" s="197"/>
      <c r="K18" s="198"/>
      <c r="L18" s="199"/>
      <c r="M18" s="210"/>
      <c r="N18" s="210"/>
      <c r="O18" s="210"/>
      <c r="P18" s="274">
        <f t="shared" si="1"/>
        <v>0</v>
      </c>
      <c r="Q18" s="275"/>
      <c r="R18" s="276"/>
      <c r="S18" s="139"/>
      <c r="T18" s="139"/>
      <c r="U18" s="139"/>
      <c r="V18" s="139"/>
      <c r="W18" s="130"/>
      <c r="X18" s="130"/>
      <c r="Y18" s="130"/>
      <c r="Z18" s="131"/>
      <c r="AA18" s="131"/>
      <c r="AB18" s="130"/>
      <c r="AC18" s="208" t="s">
        <v>942</v>
      </c>
      <c r="AD18" s="209"/>
      <c r="AE18" s="194" t="s">
        <v>328</v>
      </c>
      <c r="AF18" s="194"/>
      <c r="AG18" s="274">
        <f ca="1">IF(F18="(1D6+13)×5",SUM(AK20,13)*5,SUM(AK20:AK21,6)*5)</f>
        <v>50</v>
      </c>
      <c r="AH18" s="275"/>
      <c r="AI18" s="276"/>
      <c r="AJ18" s="139"/>
      <c r="AK18" s="146">
        <f t="shared" ca="1" si="0"/>
        <v>5</v>
      </c>
      <c r="AL18" s="146" t="s">
        <v>791</v>
      </c>
      <c r="BE18" s="39"/>
    </row>
    <row r="19" spans="1:57" ht="15" customHeight="1" x14ac:dyDescent="0.25">
      <c r="A19" s="128"/>
      <c r="B19" s="206" t="s">
        <v>943</v>
      </c>
      <c r="C19" s="207"/>
      <c r="D19" s="188" t="s">
        <v>323</v>
      </c>
      <c r="E19" s="188"/>
      <c r="F19" s="190" t="str">
        <f>IF(AND(Pulp_Switch="启用",H10="DEX"),"(1D6+13)×5","3D6×5")</f>
        <v>3D6×5</v>
      </c>
      <c r="G19" s="190"/>
      <c r="H19" s="190"/>
      <c r="I19" s="190"/>
      <c r="J19" s="200"/>
      <c r="K19" s="201"/>
      <c r="L19" s="202"/>
      <c r="M19" s="264"/>
      <c r="N19" s="264"/>
      <c r="O19" s="264"/>
      <c r="P19" s="277">
        <f t="shared" si="1"/>
        <v>0</v>
      </c>
      <c r="Q19" s="278"/>
      <c r="R19" s="279"/>
      <c r="S19" s="139"/>
      <c r="T19" s="139"/>
      <c r="U19" s="139"/>
      <c r="V19" s="139"/>
      <c r="W19" s="130"/>
      <c r="X19" s="130"/>
      <c r="Y19" s="130"/>
      <c r="Z19" s="131"/>
      <c r="AA19" s="131"/>
      <c r="AB19" s="130"/>
      <c r="AC19" s="206" t="s">
        <v>943</v>
      </c>
      <c r="AD19" s="207"/>
      <c r="AE19" s="188" t="s">
        <v>323</v>
      </c>
      <c r="AF19" s="188"/>
      <c r="AG19" s="277">
        <f ca="1">IF(F19="(1D6+13)×5",SUM(AK22,13)*5,SUM(AK22:AK24)*5)</f>
        <v>50</v>
      </c>
      <c r="AH19" s="278"/>
      <c r="AI19" s="279"/>
      <c r="AJ19" s="139"/>
      <c r="AK19" s="146">
        <f t="shared" ca="1" si="0"/>
        <v>5</v>
      </c>
      <c r="AL19" s="146" t="s">
        <v>791</v>
      </c>
      <c r="BE19" s="39"/>
    </row>
    <row r="20" spans="1:57" ht="15" customHeight="1" x14ac:dyDescent="0.25">
      <c r="A20" s="128"/>
      <c r="B20" s="208" t="s">
        <v>944</v>
      </c>
      <c r="C20" s="209"/>
      <c r="D20" s="194" t="s">
        <v>794</v>
      </c>
      <c r="E20" s="194"/>
      <c r="F20" s="263" t="str">
        <f>IF(AND(Pulp_Switch="启用",H10="APP"),"(1D6+13)×5","3D6×5")</f>
        <v>3D6×5</v>
      </c>
      <c r="G20" s="263"/>
      <c r="H20" s="263"/>
      <c r="I20" s="263"/>
      <c r="J20" s="197"/>
      <c r="K20" s="198"/>
      <c r="L20" s="199"/>
      <c r="M20" s="210"/>
      <c r="N20" s="210"/>
      <c r="O20" s="210"/>
      <c r="P20" s="274">
        <f t="shared" si="1"/>
        <v>0</v>
      </c>
      <c r="Q20" s="275"/>
      <c r="R20" s="276"/>
      <c r="S20" s="139"/>
      <c r="T20" s="139"/>
      <c r="U20" s="139"/>
      <c r="V20" s="139"/>
      <c r="W20" s="130"/>
      <c r="X20" s="130"/>
      <c r="Y20" s="130"/>
      <c r="Z20" s="131"/>
      <c r="AA20" s="131"/>
      <c r="AB20" s="130"/>
      <c r="AC20" s="208" t="s">
        <v>944</v>
      </c>
      <c r="AD20" s="209"/>
      <c r="AE20" s="194" t="s">
        <v>794</v>
      </c>
      <c r="AF20" s="194"/>
      <c r="AG20" s="274">
        <f ca="1">IF(F20="(1D6+13)×5",SUM(AK25,13)*5,SUM(AK25:AK27)*5)</f>
        <v>65</v>
      </c>
      <c r="AH20" s="275"/>
      <c r="AI20" s="276"/>
      <c r="AJ20" s="139"/>
      <c r="AK20" s="146">
        <f t="shared" ca="1" si="0"/>
        <v>1</v>
      </c>
      <c r="AL20" s="146" t="s">
        <v>328</v>
      </c>
      <c r="BE20" s="39"/>
    </row>
    <row r="21" spans="1:57" ht="15" customHeight="1" x14ac:dyDescent="0.25">
      <c r="A21" s="128"/>
      <c r="B21" s="206" t="s">
        <v>945</v>
      </c>
      <c r="C21" s="207"/>
      <c r="D21" s="188" t="s">
        <v>804</v>
      </c>
      <c r="E21" s="188"/>
      <c r="F21" s="190" t="str">
        <f>IF(AND(Pulp_Switch="启用",H10="EDU"),"(1D6+13)×5","(2D6+6)×5")</f>
        <v>(2D6+6)×5</v>
      </c>
      <c r="G21" s="190"/>
      <c r="H21" s="190"/>
      <c r="I21" s="190"/>
      <c r="J21" s="200"/>
      <c r="K21" s="201"/>
      <c r="L21" s="202"/>
      <c r="M21" s="264"/>
      <c r="N21" s="264"/>
      <c r="O21" s="264"/>
      <c r="P21" s="277">
        <f t="shared" si="1"/>
        <v>0</v>
      </c>
      <c r="Q21" s="278"/>
      <c r="R21" s="279"/>
      <c r="S21" s="139"/>
      <c r="T21" s="139"/>
      <c r="U21" s="139"/>
      <c r="V21" s="139"/>
      <c r="W21" s="130"/>
      <c r="X21" s="130"/>
      <c r="Y21" s="130"/>
      <c r="Z21" s="131"/>
      <c r="AA21" s="131"/>
      <c r="AB21" s="130"/>
      <c r="AC21" s="206" t="s">
        <v>945</v>
      </c>
      <c r="AD21" s="207"/>
      <c r="AE21" s="188" t="s">
        <v>804</v>
      </c>
      <c r="AF21" s="188"/>
      <c r="AG21" s="277">
        <f ca="1">IF(F21="(1D6+13)×5",SUM(AK28,13)*5,SUM(AK28:AK29,6)*5)</f>
        <v>45</v>
      </c>
      <c r="AH21" s="278"/>
      <c r="AI21" s="279"/>
      <c r="AJ21" s="139"/>
      <c r="AK21" s="146">
        <f t="shared" ca="1" si="0"/>
        <v>3</v>
      </c>
      <c r="AL21" s="146" t="s">
        <v>328</v>
      </c>
      <c r="BE21" s="39"/>
    </row>
    <row r="22" spans="1:57" ht="15" customHeight="1" x14ac:dyDescent="0.25">
      <c r="A22" s="128"/>
      <c r="B22" s="208" t="s">
        <v>946</v>
      </c>
      <c r="C22" s="209"/>
      <c r="D22" s="194" t="s">
        <v>778</v>
      </c>
      <c r="E22" s="194"/>
      <c r="F22" s="263" t="str">
        <f>IF(AND(Pulp_Switch="启用",H10="INT"),"(1D6+13)×5","(2D6+6)×5")</f>
        <v>(2D6+6)×5</v>
      </c>
      <c r="G22" s="263"/>
      <c r="H22" s="263"/>
      <c r="I22" s="263"/>
      <c r="J22" s="197"/>
      <c r="K22" s="198"/>
      <c r="L22" s="199"/>
      <c r="M22" s="210"/>
      <c r="N22" s="210"/>
      <c r="O22" s="210"/>
      <c r="P22" s="274">
        <f t="shared" si="1"/>
        <v>0</v>
      </c>
      <c r="Q22" s="275"/>
      <c r="R22" s="276"/>
      <c r="S22" s="139"/>
      <c r="T22" s="139"/>
      <c r="U22" s="139"/>
      <c r="V22" s="139"/>
      <c r="W22" s="130"/>
      <c r="X22" s="130"/>
      <c r="Y22" s="130"/>
      <c r="Z22" s="131"/>
      <c r="AA22" s="131"/>
      <c r="AB22" s="130"/>
      <c r="AC22" s="208" t="s">
        <v>946</v>
      </c>
      <c r="AD22" s="209"/>
      <c r="AE22" s="194" t="s">
        <v>778</v>
      </c>
      <c r="AF22" s="194"/>
      <c r="AG22" s="274">
        <f ca="1">IF(F22="(1D6+13)×5",SUM(AK30,13)*5,SUM(AK30:AK31,6)*5)</f>
        <v>55</v>
      </c>
      <c r="AH22" s="275"/>
      <c r="AI22" s="276"/>
      <c r="AJ22" s="139"/>
      <c r="AK22" s="146">
        <f t="shared" ca="1" si="0"/>
        <v>6</v>
      </c>
      <c r="AL22" s="146" t="s">
        <v>323</v>
      </c>
      <c r="BE22" s="39"/>
    </row>
    <row r="23" spans="1:57" ht="15" customHeight="1" thickBot="1" x14ac:dyDescent="0.3">
      <c r="A23" s="128"/>
      <c r="B23" s="180" t="s">
        <v>947</v>
      </c>
      <c r="C23" s="181"/>
      <c r="D23" s="176" t="s">
        <v>781</v>
      </c>
      <c r="E23" s="176"/>
      <c r="F23" s="175" t="str">
        <f>IF(AND(Pulp_Switch="启用",H10="POW"),"(1D6+13)×5","3D6×5")</f>
        <v>3D6×5</v>
      </c>
      <c r="G23" s="175"/>
      <c r="H23" s="175"/>
      <c r="I23" s="175"/>
      <c r="J23" s="283"/>
      <c r="K23" s="284"/>
      <c r="L23" s="285"/>
      <c r="M23" s="184"/>
      <c r="N23" s="184"/>
      <c r="O23" s="184"/>
      <c r="P23" s="280">
        <f t="shared" si="1"/>
        <v>0</v>
      </c>
      <c r="Q23" s="281"/>
      <c r="R23" s="282"/>
      <c r="S23" s="139"/>
      <c r="T23" s="139"/>
      <c r="U23" s="139"/>
      <c r="V23" s="139"/>
      <c r="W23" s="130"/>
      <c r="X23" s="130"/>
      <c r="Y23" s="130"/>
      <c r="Z23" s="131"/>
      <c r="AA23" s="131"/>
      <c r="AB23" s="130"/>
      <c r="AC23" s="180" t="s">
        <v>947</v>
      </c>
      <c r="AD23" s="181"/>
      <c r="AE23" s="176" t="s">
        <v>781</v>
      </c>
      <c r="AF23" s="176"/>
      <c r="AG23" s="280">
        <f ca="1">IF(F23="(1D6+13)×5",SUM(AK32,13)*5,SUM(AK32:AK34)*5)</f>
        <v>50</v>
      </c>
      <c r="AH23" s="281"/>
      <c r="AI23" s="282"/>
      <c r="AJ23" s="139"/>
      <c r="AK23" s="146">
        <f t="shared" ca="1" si="0"/>
        <v>3</v>
      </c>
      <c r="AL23" s="146" t="s">
        <v>323</v>
      </c>
      <c r="BE23" s="39"/>
    </row>
    <row r="24" spans="1:57" ht="15" customHeight="1" x14ac:dyDescent="0.25">
      <c r="A24" s="128"/>
      <c r="B24" s="262"/>
      <c r="C24" s="262"/>
      <c r="D24" s="262"/>
      <c r="E24" s="131"/>
      <c r="F24" s="131"/>
      <c r="G24" s="131"/>
      <c r="H24" s="130"/>
      <c r="I24" s="130"/>
      <c r="J24" s="131"/>
      <c r="K24" s="131"/>
      <c r="L24" s="129"/>
      <c r="M24" s="129"/>
      <c r="N24" s="130"/>
      <c r="O24" s="130"/>
      <c r="P24" s="131"/>
      <c r="Q24" s="131"/>
      <c r="R24" s="129"/>
      <c r="S24" s="129"/>
      <c r="T24" s="139"/>
      <c r="U24" s="139"/>
      <c r="V24" s="139"/>
      <c r="W24" s="139"/>
      <c r="X24" s="130"/>
      <c r="Y24" s="130"/>
      <c r="Z24" s="131"/>
      <c r="AA24" s="131"/>
      <c r="AB24" s="130"/>
      <c r="AC24" s="130"/>
      <c r="AD24" s="131"/>
      <c r="AE24" s="131"/>
      <c r="AF24" s="130"/>
      <c r="AG24" s="130"/>
      <c r="AH24" s="131"/>
      <c r="AI24" s="131"/>
      <c r="AJ24" s="139"/>
      <c r="AK24" s="146">
        <f t="shared" ca="1" si="0"/>
        <v>1</v>
      </c>
      <c r="AL24" s="146" t="s">
        <v>323</v>
      </c>
      <c r="BE24" s="39"/>
    </row>
    <row r="25" spans="1:57" ht="16.2" thickBot="1" x14ac:dyDescent="0.3">
      <c r="A25" s="128"/>
      <c r="B25" s="286" t="s">
        <v>959</v>
      </c>
      <c r="C25" s="286"/>
      <c r="D25" s="286"/>
      <c r="E25" s="286"/>
      <c r="F25" s="286"/>
      <c r="G25" s="286"/>
      <c r="H25" s="286"/>
      <c r="I25" s="286"/>
      <c r="J25" s="286"/>
      <c r="K25" s="286"/>
      <c r="L25" s="286"/>
      <c r="M25" s="286"/>
      <c r="N25" s="286"/>
      <c r="O25" s="286"/>
      <c r="P25" s="286"/>
      <c r="Q25" s="286"/>
      <c r="R25" s="286"/>
      <c r="S25" s="286"/>
      <c r="T25" s="286"/>
      <c r="U25" s="286"/>
      <c r="V25" s="286"/>
      <c r="W25" s="286"/>
      <c r="X25" s="286"/>
      <c r="Y25" s="286"/>
      <c r="Z25" s="286"/>
      <c r="AA25" s="286"/>
      <c r="AB25" s="286"/>
      <c r="AC25" s="286"/>
      <c r="AD25" s="286"/>
      <c r="AE25" s="286"/>
      <c r="AF25" s="286"/>
      <c r="AG25" s="286"/>
      <c r="AH25" s="286"/>
      <c r="AI25" s="286"/>
      <c r="AJ25" s="139"/>
      <c r="AK25" s="146">
        <f t="shared" ca="1" si="0"/>
        <v>5</v>
      </c>
      <c r="AL25" s="147" t="s">
        <v>794</v>
      </c>
    </row>
    <row r="26" spans="1:57" x14ac:dyDescent="0.25">
      <c r="A26" s="128"/>
      <c r="B26" s="159" t="s">
        <v>3</v>
      </c>
      <c r="C26" s="160"/>
      <c r="D26" s="160"/>
      <c r="E26" s="287" t="s">
        <v>960</v>
      </c>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87"/>
      <c r="AE26" s="287"/>
      <c r="AF26" s="287"/>
      <c r="AG26" s="287"/>
      <c r="AH26" s="287"/>
      <c r="AI26" s="288"/>
      <c r="AJ26" s="139"/>
      <c r="AK26" s="146">
        <f t="shared" ca="1" si="0"/>
        <v>6</v>
      </c>
      <c r="AL26" s="147" t="s">
        <v>794</v>
      </c>
    </row>
    <row r="27" spans="1:57" ht="15.6" thickBot="1" x14ac:dyDescent="0.3">
      <c r="A27" s="128"/>
      <c r="B27" s="196">
        <f>Age</f>
        <v>0</v>
      </c>
      <c r="C27" s="163"/>
      <c r="D27" s="163"/>
      <c r="E27" s="289" t="str">
        <f>_xlfn.IFNA(IF(Pulp_Switch="启用","年龄调整已被《通俗克苏鲁》禁用。",LOOKUP(Age,附表!E34:E40,附表!F34:F40)),"请在“角色卡”标签填写年龄。")</f>
        <v>请在“角色卡”标签填写年龄。</v>
      </c>
      <c r="F27" s="289"/>
      <c r="G27" s="289"/>
      <c r="H27" s="289"/>
      <c r="I27" s="289"/>
      <c r="J27" s="289"/>
      <c r="K27" s="289"/>
      <c r="L27" s="289"/>
      <c r="M27" s="289"/>
      <c r="N27" s="289"/>
      <c r="O27" s="289"/>
      <c r="P27" s="289"/>
      <c r="Q27" s="289"/>
      <c r="R27" s="289"/>
      <c r="S27" s="289"/>
      <c r="T27" s="289"/>
      <c r="U27" s="289"/>
      <c r="V27" s="289"/>
      <c r="W27" s="289"/>
      <c r="X27" s="289"/>
      <c r="Y27" s="289"/>
      <c r="Z27" s="289"/>
      <c r="AA27" s="289"/>
      <c r="AB27" s="289"/>
      <c r="AC27" s="289"/>
      <c r="AD27" s="289"/>
      <c r="AE27" s="289"/>
      <c r="AF27" s="289"/>
      <c r="AG27" s="289"/>
      <c r="AH27" s="289"/>
      <c r="AI27" s="290"/>
      <c r="AJ27" s="139"/>
      <c r="AK27" s="146">
        <f t="shared" ca="1" si="0"/>
        <v>2</v>
      </c>
      <c r="AL27" s="147" t="s">
        <v>794</v>
      </c>
    </row>
    <row r="28" spans="1:57" s="37" customFormat="1" x14ac:dyDescent="0.25">
      <c r="A28" s="34"/>
      <c r="B28" s="248" t="s">
        <v>1022</v>
      </c>
      <c r="C28" s="248"/>
      <c r="D28" s="248"/>
      <c r="E28" s="248"/>
      <c r="F28" s="248"/>
      <c r="G28" s="248"/>
      <c r="H28" s="248"/>
      <c r="I28" s="248"/>
      <c r="J28" s="248"/>
      <c r="K28" s="248"/>
      <c r="L28" s="248"/>
      <c r="M28" s="248"/>
      <c r="N28" s="248"/>
      <c r="O28" s="248"/>
      <c r="P28" s="248"/>
      <c r="Q28" s="248"/>
      <c r="R28" s="248"/>
      <c r="S28" s="248"/>
      <c r="T28" s="248"/>
      <c r="U28" s="248"/>
      <c r="V28" s="248"/>
      <c r="W28" s="248"/>
      <c r="X28" s="248"/>
      <c r="Y28" s="248"/>
      <c r="Z28" s="248"/>
      <c r="AA28" s="248"/>
      <c r="AB28" s="248"/>
      <c r="AC28" s="248"/>
      <c r="AD28" s="248"/>
      <c r="AE28" s="248"/>
      <c r="AF28" s="248"/>
      <c r="AG28" s="248"/>
      <c r="AH28" s="248"/>
      <c r="AI28" s="248"/>
      <c r="AJ28" s="138"/>
      <c r="AK28" s="146">
        <f t="shared" ca="1" si="0"/>
        <v>1</v>
      </c>
      <c r="AL28" s="148" t="s">
        <v>804</v>
      </c>
      <c r="AM28" s="148"/>
      <c r="AN28" s="133"/>
      <c r="AO28" s="133"/>
      <c r="AP28" s="133"/>
      <c r="AQ28" s="133"/>
      <c r="AR28" s="133"/>
      <c r="AS28" s="133"/>
      <c r="AT28" s="133"/>
      <c r="AU28" s="133"/>
      <c r="AV28" s="133"/>
      <c r="AW28" s="133"/>
      <c r="AX28" s="133"/>
      <c r="AY28" s="133"/>
      <c r="AZ28" s="133"/>
      <c r="BA28" s="133"/>
      <c r="BB28" s="133"/>
      <c r="BC28" s="133"/>
      <c r="BD28" s="133"/>
    </row>
    <row r="29" spans="1:57" x14ac:dyDescent="0.25">
      <c r="A29" s="34"/>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c r="AA29" s="140"/>
      <c r="AB29" s="140"/>
      <c r="AC29" s="140"/>
      <c r="AD29" s="140"/>
      <c r="AE29" s="140"/>
      <c r="AF29" s="140"/>
      <c r="AG29" s="140"/>
      <c r="AH29" s="140"/>
      <c r="AI29" s="140"/>
      <c r="AJ29" s="138"/>
      <c r="AK29" s="146">
        <f t="shared" ca="1" si="0"/>
        <v>2</v>
      </c>
      <c r="AL29" s="148" t="s">
        <v>804</v>
      </c>
      <c r="AM29" s="146"/>
      <c r="AN29" s="132"/>
    </row>
    <row r="30" spans="1:57" ht="27.6" x14ac:dyDescent="0.25">
      <c r="A30" s="34"/>
      <c r="B30" s="191" t="s">
        <v>920</v>
      </c>
      <c r="C30" s="191"/>
      <c r="D30" s="191"/>
      <c r="E30" s="191"/>
      <c r="F30" s="191"/>
      <c r="G30" s="191"/>
      <c r="H30" s="191"/>
      <c r="I30" s="191"/>
      <c r="J30" s="191"/>
      <c r="K30" s="191"/>
      <c r="L30" s="191"/>
      <c r="M30" s="191"/>
      <c r="N30" s="191"/>
      <c r="O30" s="191"/>
      <c r="P30" s="191"/>
      <c r="Q30" s="191"/>
      <c r="R30" s="192"/>
      <c r="S30" s="192"/>
      <c r="T30" s="192"/>
      <c r="U30" s="192"/>
      <c r="V30" s="192"/>
      <c r="W30" s="192"/>
      <c r="X30" s="192"/>
      <c r="Y30" s="192"/>
      <c r="Z30" s="192"/>
      <c r="AA30" s="192"/>
      <c r="AB30" s="192"/>
      <c r="AC30" s="192"/>
      <c r="AD30" s="192"/>
      <c r="AE30" s="192"/>
      <c r="AF30" s="192"/>
      <c r="AG30" s="192"/>
      <c r="AH30" s="192"/>
      <c r="AI30" s="192"/>
      <c r="AJ30" s="138"/>
      <c r="AK30" s="146">
        <f t="shared" ca="1" si="0"/>
        <v>2</v>
      </c>
      <c r="AL30" s="147" t="s">
        <v>778</v>
      </c>
    </row>
    <row r="31" spans="1:57" x14ac:dyDescent="0.25">
      <c r="A31" s="34"/>
      <c r="B31" s="295" t="str">
        <f>"检查你所使用的建卡方案、可选规则和扩展书。将属性、次要属性及技能调整值分别填写至Step1、3和4。"&amp;IF(Pulp_Switch="启用","选择天赋后，点击“应用天赋”按钮，或将“英雄天赋”表格内容手动复制至“角色卡”页。","由于未启用《通俗克苏鲁》，请无视下方的天赋表格。")&amp;LOOKUP(模板选择,角色卡模板!C1:H1,角色卡模板!C201:H201)</f>
        <v>检查你所使用的建卡方案、可选规则和扩展书。将属性、次要属性及技能调整值分别填写至Step1、3和4。由于未启用《通俗克苏鲁》，请无视下方的天赋表格。</v>
      </c>
      <c r="C31" s="295"/>
      <c r="D31" s="295"/>
      <c r="E31" s="295"/>
      <c r="F31" s="295"/>
      <c r="G31" s="295"/>
      <c r="H31" s="295"/>
      <c r="I31" s="295"/>
      <c r="J31" s="295"/>
      <c r="K31" s="295"/>
      <c r="L31" s="295"/>
      <c r="M31" s="295"/>
      <c r="N31" s="295"/>
      <c r="O31" s="295"/>
      <c r="P31" s="295"/>
      <c r="Q31" s="295"/>
      <c r="R31" s="295"/>
      <c r="S31" s="295"/>
      <c r="T31" s="295"/>
      <c r="U31" s="295"/>
      <c r="V31" s="295"/>
      <c r="W31" s="295"/>
      <c r="X31" s="295"/>
      <c r="Y31" s="295"/>
      <c r="Z31" s="295"/>
      <c r="AA31" s="295"/>
      <c r="AB31" s="295"/>
      <c r="AC31" s="295"/>
      <c r="AD31" s="295"/>
      <c r="AE31" s="295"/>
      <c r="AF31" s="295"/>
      <c r="AG31" s="295"/>
      <c r="AH31" s="295"/>
      <c r="AI31" s="295"/>
      <c r="AJ31" s="138"/>
      <c r="AK31" s="146">
        <f t="shared" ca="1" si="0"/>
        <v>3</v>
      </c>
      <c r="AL31" s="146" t="s">
        <v>778</v>
      </c>
      <c r="AM31" s="146"/>
      <c r="AN31" s="132"/>
    </row>
    <row r="32" spans="1:57" ht="15" customHeight="1" thickBot="1" x14ac:dyDescent="0.3">
      <c r="A32" s="34"/>
      <c r="B32" s="295"/>
      <c r="C32" s="295"/>
      <c r="D32" s="295"/>
      <c r="E32" s="295"/>
      <c r="F32" s="295"/>
      <c r="G32" s="295"/>
      <c r="H32" s="295"/>
      <c r="I32" s="295"/>
      <c r="J32" s="295"/>
      <c r="K32" s="295"/>
      <c r="L32" s="295"/>
      <c r="M32" s="295"/>
      <c r="N32" s="295"/>
      <c r="O32" s="295"/>
      <c r="P32" s="295"/>
      <c r="Q32" s="295"/>
      <c r="R32" s="295"/>
      <c r="S32" s="295"/>
      <c r="T32" s="295"/>
      <c r="U32" s="295"/>
      <c r="V32" s="295"/>
      <c r="W32" s="295"/>
      <c r="X32" s="295"/>
      <c r="Y32" s="295"/>
      <c r="Z32" s="295"/>
      <c r="AA32" s="295"/>
      <c r="AB32" s="295"/>
      <c r="AC32" s="295"/>
      <c r="AD32" s="295"/>
      <c r="AE32" s="295"/>
      <c r="AF32" s="295"/>
      <c r="AG32" s="295"/>
      <c r="AH32" s="295"/>
      <c r="AI32" s="295"/>
      <c r="AJ32" s="138"/>
      <c r="AK32" s="146">
        <f t="shared" ca="1" si="0"/>
        <v>4</v>
      </c>
      <c r="AL32" s="146" t="s">
        <v>781</v>
      </c>
      <c r="AM32" s="146"/>
      <c r="AN32" s="132"/>
    </row>
    <row r="33" spans="1:40" x14ac:dyDescent="0.25">
      <c r="A33" s="34"/>
      <c r="B33" s="159" t="s">
        <v>1020</v>
      </c>
      <c r="C33" s="160"/>
      <c r="D33" s="160"/>
      <c r="E33" s="160" t="s">
        <v>709</v>
      </c>
      <c r="F33" s="160"/>
      <c r="G33" s="160"/>
      <c r="H33" s="160" t="s">
        <v>1018</v>
      </c>
      <c r="I33" s="160"/>
      <c r="J33" s="173"/>
      <c r="K33" s="140"/>
      <c r="L33" s="140"/>
      <c r="M33" s="140"/>
      <c r="N33" s="140"/>
      <c r="O33" s="140"/>
      <c r="P33" s="140"/>
      <c r="Q33" s="140"/>
      <c r="R33" s="140"/>
      <c r="S33" s="140"/>
      <c r="T33" s="291" t="s">
        <v>856</v>
      </c>
      <c r="U33" s="165"/>
      <c r="V33" s="165"/>
      <c r="W33" s="165"/>
      <c r="X33" s="165"/>
      <c r="Y33" s="165"/>
      <c r="Z33" s="165"/>
      <c r="AA33" s="165"/>
      <c r="AB33" s="165"/>
      <c r="AC33" s="165"/>
      <c r="AD33" s="165"/>
      <c r="AE33" s="165"/>
      <c r="AF33" s="165"/>
      <c r="AG33" s="165"/>
      <c r="AH33" s="165"/>
      <c r="AI33" s="167"/>
      <c r="AJ33" s="138"/>
      <c r="AK33" s="146">
        <f t="shared" ca="1" si="0"/>
        <v>4</v>
      </c>
      <c r="AL33" s="146" t="s">
        <v>781</v>
      </c>
      <c r="AM33" s="146"/>
      <c r="AN33" s="132"/>
    </row>
    <row r="34" spans="1:40" x14ac:dyDescent="0.25">
      <c r="A34" s="34"/>
      <c r="B34" s="195" t="s">
        <v>1014</v>
      </c>
      <c r="C34" s="188"/>
      <c r="D34" s="188"/>
      <c r="E34" s="264" t="s">
        <v>934</v>
      </c>
      <c r="F34" s="264"/>
      <c r="G34" s="264"/>
      <c r="H34" s="264"/>
      <c r="I34" s="264"/>
      <c r="J34" s="293"/>
      <c r="K34" s="140"/>
      <c r="L34" s="140"/>
      <c r="M34" s="140"/>
      <c r="N34" s="140"/>
      <c r="O34" s="140"/>
      <c r="P34" s="140"/>
      <c r="Q34" s="140"/>
      <c r="R34" s="140"/>
      <c r="S34" s="140"/>
      <c r="T34" s="296" t="str">
        <f>IF(Pulp_Switch="启用",IF(E34="启用",_xlfn.IFNA(VLOOKUP(H34,天赋,2,0)&amp;"："&amp;VLOOKUP(H34,天赋,6,0),""),""),"")</f>
        <v/>
      </c>
      <c r="U34" s="297"/>
      <c r="V34" s="297"/>
      <c r="W34" s="297"/>
      <c r="X34" s="297"/>
      <c r="Y34" s="297"/>
      <c r="Z34" s="297"/>
      <c r="AA34" s="297"/>
      <c r="AB34" s="297"/>
      <c r="AC34" s="297"/>
      <c r="AD34" s="297"/>
      <c r="AE34" s="297"/>
      <c r="AF34" s="297"/>
      <c r="AG34" s="297"/>
      <c r="AH34" s="297"/>
      <c r="AI34" s="298"/>
      <c r="AJ34" s="138"/>
      <c r="AK34" s="146">
        <f t="shared" ca="1" si="0"/>
        <v>2</v>
      </c>
      <c r="AL34" s="146" t="s">
        <v>781</v>
      </c>
      <c r="AM34" s="146"/>
      <c r="AN34" s="132"/>
    </row>
    <row r="35" spans="1:40" x14ac:dyDescent="0.25">
      <c r="A35" s="34"/>
      <c r="B35" s="193" t="s">
        <v>1015</v>
      </c>
      <c r="C35" s="194"/>
      <c r="D35" s="194"/>
      <c r="E35" s="210" t="s">
        <v>925</v>
      </c>
      <c r="F35" s="210"/>
      <c r="G35" s="210"/>
      <c r="H35" s="210"/>
      <c r="I35" s="210"/>
      <c r="J35" s="294"/>
      <c r="K35" s="140"/>
      <c r="L35" s="140"/>
      <c r="M35" s="140"/>
      <c r="N35" s="140"/>
      <c r="O35" s="140"/>
      <c r="P35" s="140"/>
      <c r="Q35" s="140"/>
      <c r="R35" s="140"/>
      <c r="S35" s="140"/>
      <c r="T35" s="299" t="str">
        <f>IF(Pulp_Switch="启用",IF(E35="启用",_xlfn.IFNA(VLOOKUP(H35,天赋,2,0)&amp;"："&amp;VLOOKUP(H35,天赋,6,0),""),""),"")</f>
        <v/>
      </c>
      <c r="U35" s="300"/>
      <c r="V35" s="300"/>
      <c r="W35" s="300"/>
      <c r="X35" s="300"/>
      <c r="Y35" s="300"/>
      <c r="Z35" s="300"/>
      <c r="AA35" s="300"/>
      <c r="AB35" s="300"/>
      <c r="AC35" s="300"/>
      <c r="AD35" s="300"/>
      <c r="AE35" s="300"/>
      <c r="AF35" s="300"/>
      <c r="AG35" s="300"/>
      <c r="AH35" s="300"/>
      <c r="AI35" s="301"/>
      <c r="AJ35" s="138"/>
      <c r="AK35" s="146">
        <f t="shared" ca="1" si="0"/>
        <v>2</v>
      </c>
      <c r="AL35" s="146" t="s">
        <v>1031</v>
      </c>
      <c r="AM35" s="146"/>
      <c r="AN35" s="132"/>
    </row>
    <row r="36" spans="1:40" x14ac:dyDescent="0.25">
      <c r="A36" s="34"/>
      <c r="B36" s="195" t="s">
        <v>1016</v>
      </c>
      <c r="C36" s="188"/>
      <c r="D36" s="188"/>
      <c r="E36" s="264" t="s">
        <v>925</v>
      </c>
      <c r="F36" s="264"/>
      <c r="G36" s="264"/>
      <c r="H36" s="264"/>
      <c r="I36" s="264"/>
      <c r="J36" s="293"/>
      <c r="K36" s="140"/>
      <c r="L36" s="140"/>
      <c r="M36" s="140"/>
      <c r="N36" s="140"/>
      <c r="O36" s="140"/>
      <c r="P36" s="140"/>
      <c r="Q36" s="140"/>
      <c r="R36" s="140"/>
      <c r="S36" s="140"/>
      <c r="T36" s="302" t="str">
        <f>IF(Pulp_Switch="启用",IF(E36="启用",_xlfn.IFNA(VLOOKUP(H36,天赋,2,0)&amp;"："&amp;VLOOKUP(H36,天赋,6,0),""),""),"")</f>
        <v/>
      </c>
      <c r="U36" s="303"/>
      <c r="V36" s="303"/>
      <c r="W36" s="303"/>
      <c r="X36" s="303"/>
      <c r="Y36" s="303"/>
      <c r="Z36" s="303"/>
      <c r="AA36" s="303"/>
      <c r="AB36" s="303"/>
      <c r="AC36" s="303"/>
      <c r="AD36" s="303"/>
      <c r="AE36" s="303"/>
      <c r="AF36" s="303"/>
      <c r="AG36" s="303"/>
      <c r="AH36" s="303"/>
      <c r="AI36" s="304"/>
      <c r="AJ36" s="138"/>
      <c r="AK36" s="146">
        <f t="shared" ca="1" si="0"/>
        <v>3</v>
      </c>
      <c r="AL36" s="146" t="s">
        <v>1031</v>
      </c>
      <c r="AM36" s="146"/>
      <c r="AN36" s="132"/>
    </row>
    <row r="37" spans="1:40" x14ac:dyDescent="0.25">
      <c r="A37" s="34"/>
      <c r="B37" s="193" t="s">
        <v>1017</v>
      </c>
      <c r="C37" s="194"/>
      <c r="D37" s="194"/>
      <c r="E37" s="210" t="s">
        <v>925</v>
      </c>
      <c r="F37" s="210"/>
      <c r="G37" s="210"/>
      <c r="H37" s="210"/>
      <c r="I37" s="210"/>
      <c r="J37" s="294"/>
      <c r="K37" s="140"/>
      <c r="L37" s="140"/>
      <c r="M37" s="140"/>
      <c r="N37" s="140"/>
      <c r="O37" s="140"/>
      <c r="P37" s="140"/>
      <c r="Q37" s="140"/>
      <c r="R37" s="140"/>
      <c r="S37" s="140"/>
      <c r="T37" s="299" t="str">
        <f>IF(Pulp_Switch="启用",IF(E37="启用",_xlfn.IFNA(VLOOKUP(H37,天赋,2,0)&amp;"："&amp;VLOOKUP(H37,天赋,6,0),""),""),"")</f>
        <v/>
      </c>
      <c r="U37" s="300"/>
      <c r="V37" s="300"/>
      <c r="W37" s="300"/>
      <c r="X37" s="300"/>
      <c r="Y37" s="300"/>
      <c r="Z37" s="300"/>
      <c r="AA37" s="300"/>
      <c r="AB37" s="300"/>
      <c r="AC37" s="300"/>
      <c r="AD37" s="300"/>
      <c r="AE37" s="300"/>
      <c r="AF37" s="300"/>
      <c r="AG37" s="300"/>
      <c r="AH37" s="300"/>
      <c r="AI37" s="301"/>
      <c r="AJ37" s="138"/>
      <c r="AK37" s="146">
        <f t="shared" ca="1" si="0"/>
        <v>2</v>
      </c>
      <c r="AL37" s="146" t="s">
        <v>1031</v>
      </c>
      <c r="AM37" s="146"/>
      <c r="AN37" s="132"/>
    </row>
    <row r="38" spans="1:40" ht="15.6" thickBot="1" x14ac:dyDescent="0.3">
      <c r="A38" s="34"/>
      <c r="B38" s="292" t="s">
        <v>1019</v>
      </c>
      <c r="C38" s="176"/>
      <c r="D38" s="176"/>
      <c r="E38" s="176" t="s">
        <v>32</v>
      </c>
      <c r="F38" s="176"/>
      <c r="G38" s="176"/>
      <c r="H38" s="176" t="s">
        <v>32</v>
      </c>
      <c r="I38" s="176"/>
      <c r="J38" s="177"/>
      <c r="K38" s="140"/>
      <c r="L38" s="140"/>
      <c r="M38" s="140"/>
      <c r="N38" s="140"/>
      <c r="O38" s="140"/>
      <c r="P38" s="140"/>
      <c r="Q38" s="140"/>
      <c r="R38" s="140"/>
      <c r="S38" s="140"/>
      <c r="T38" s="305"/>
      <c r="U38" s="306"/>
      <c r="V38" s="306"/>
      <c r="W38" s="306"/>
      <c r="X38" s="306"/>
      <c r="Y38" s="306"/>
      <c r="Z38" s="306"/>
      <c r="AA38" s="306"/>
      <c r="AB38" s="306"/>
      <c r="AC38" s="306"/>
      <c r="AD38" s="306"/>
      <c r="AE38" s="306"/>
      <c r="AF38" s="306"/>
      <c r="AG38" s="306"/>
      <c r="AH38" s="306"/>
      <c r="AI38" s="307"/>
      <c r="AJ38" s="137"/>
      <c r="AK38" s="146"/>
      <c r="AL38" s="146"/>
      <c r="AM38" s="146"/>
      <c r="AN38" s="132"/>
    </row>
    <row r="39" spans="1:40" x14ac:dyDescent="0.25">
      <c r="A39" s="34"/>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8"/>
      <c r="AF39" s="158"/>
      <c r="AG39" s="158"/>
      <c r="AH39" s="158"/>
      <c r="AI39" s="158"/>
      <c r="AJ39" s="137"/>
      <c r="AK39" s="146"/>
      <c r="AL39" s="146"/>
      <c r="AM39" s="146"/>
      <c r="AN39" s="132"/>
    </row>
    <row r="40" spans="1:40" ht="27.6" x14ac:dyDescent="0.25">
      <c r="A40" s="34"/>
      <c r="B40" s="191" t="s">
        <v>961</v>
      </c>
      <c r="C40" s="191"/>
      <c r="D40" s="191"/>
      <c r="E40" s="191"/>
      <c r="F40" s="191"/>
      <c r="G40" s="191"/>
      <c r="H40" s="191"/>
      <c r="I40" s="191"/>
      <c r="J40" s="191"/>
      <c r="K40" s="191"/>
      <c r="L40" s="191"/>
      <c r="M40" s="191"/>
      <c r="N40" s="191"/>
      <c r="O40" s="191"/>
      <c r="P40" s="191"/>
      <c r="Q40" s="191"/>
      <c r="R40" s="192"/>
      <c r="S40" s="192"/>
      <c r="T40" s="192"/>
      <c r="U40" s="192"/>
      <c r="V40" s="192"/>
      <c r="W40" s="192"/>
      <c r="X40" s="192"/>
      <c r="Y40" s="192"/>
      <c r="Z40" s="192"/>
      <c r="AA40" s="192"/>
      <c r="AB40" s="192"/>
      <c r="AC40" s="192"/>
      <c r="AD40" s="192"/>
      <c r="AE40" s="192"/>
      <c r="AF40" s="192"/>
      <c r="AG40" s="192"/>
      <c r="AH40" s="192"/>
      <c r="AI40" s="192"/>
      <c r="AJ40" s="137"/>
      <c r="AK40" s="146"/>
    </row>
    <row r="41" spans="1:40" ht="15.6" thickBot="1" x14ac:dyDescent="0.3">
      <c r="A41" s="34"/>
      <c r="B41" s="158" t="str">
        <f>IF(Pulp_Switch="启用","投掷(2D6+6)×5决定幸运","投掷3D6×5决定幸运")&amp;"，其余次要属性均已自动计算。由可选规则或扩展书产生的次要属性调整值填写至“调整”行。"</f>
        <v>投掷3D6×5决定幸运，其余次要属性均已自动计算。由可选规则或扩展书产生的次要属性调整值填写至“调整”行。</v>
      </c>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c r="AH41" s="158"/>
      <c r="AI41" s="158"/>
      <c r="AJ41" s="137"/>
      <c r="AK41" s="146"/>
      <c r="AL41" s="146"/>
      <c r="AM41" s="146"/>
      <c r="AN41" s="132"/>
    </row>
    <row r="42" spans="1:40" ht="15" customHeight="1" x14ac:dyDescent="0.25">
      <c r="A42" s="34"/>
      <c r="B42" s="178" t="s">
        <v>1025</v>
      </c>
      <c r="C42" s="179"/>
      <c r="D42" s="179"/>
      <c r="E42" s="160" t="s">
        <v>1029</v>
      </c>
      <c r="F42" s="160"/>
      <c r="G42" s="173"/>
      <c r="H42" s="135"/>
      <c r="I42" s="137"/>
      <c r="J42" s="137"/>
      <c r="K42" s="137"/>
      <c r="L42" s="138"/>
      <c r="M42" s="138"/>
      <c r="N42" s="138"/>
      <c r="O42" s="178" t="s">
        <v>1025</v>
      </c>
      <c r="P42" s="179"/>
      <c r="Q42" s="179"/>
      <c r="R42" s="160" t="s">
        <v>472</v>
      </c>
      <c r="S42" s="160"/>
      <c r="T42" s="160"/>
      <c r="U42" s="160" t="s">
        <v>473</v>
      </c>
      <c r="V42" s="160"/>
      <c r="W42" s="160"/>
      <c r="X42" s="160" t="s">
        <v>474</v>
      </c>
      <c r="Y42" s="160"/>
      <c r="Z42" s="160"/>
      <c r="AA42" s="160" t="s">
        <v>939</v>
      </c>
      <c r="AB42" s="160"/>
      <c r="AC42" s="160"/>
      <c r="AD42" s="160" t="s">
        <v>1027</v>
      </c>
      <c r="AE42" s="160"/>
      <c r="AF42" s="160"/>
      <c r="AG42" s="160" t="s">
        <v>1028</v>
      </c>
      <c r="AH42" s="160"/>
      <c r="AI42" s="173"/>
      <c r="AJ42" s="137"/>
      <c r="AK42" s="146"/>
      <c r="AL42" s="146"/>
      <c r="AM42" s="146"/>
      <c r="AN42" s="132"/>
    </row>
    <row r="43" spans="1:40" ht="15.6" customHeight="1" thickBot="1" x14ac:dyDescent="0.3">
      <c r="A43" s="34"/>
      <c r="B43" s="180" t="s">
        <v>877</v>
      </c>
      <c r="C43" s="181"/>
      <c r="D43" s="181"/>
      <c r="E43" s="184"/>
      <c r="F43" s="184"/>
      <c r="G43" s="185"/>
      <c r="H43" s="137"/>
      <c r="I43" s="137"/>
      <c r="J43" s="137"/>
      <c r="K43" s="137"/>
      <c r="L43" s="138"/>
      <c r="M43" s="138"/>
      <c r="N43" s="138"/>
      <c r="O43" s="206" t="s">
        <v>1026</v>
      </c>
      <c r="P43" s="207"/>
      <c r="Q43" s="207"/>
      <c r="R43" s="188" t="str">
        <f>LOOKUP(STR+SIZ,附表!A2:A32,附表!B2:B32)</f>
        <v>错误</v>
      </c>
      <c r="S43" s="188"/>
      <c r="T43" s="188"/>
      <c r="U43" s="188" t="str">
        <f>LOOKUP(STR+SIZ,附表!A2:A32,附表!C2:C32)</f>
        <v>错误</v>
      </c>
      <c r="V43" s="188"/>
      <c r="W43" s="188"/>
      <c r="X43" s="188" t="str">
        <f>IF(Pulp_Switch="启用",MOV_main,IF(ISBLANK(Age),"年龄为空",MOV_main-LOOKUP(Age,附表!E2:E7,附表!F2:F7)))</f>
        <v>年龄为空</v>
      </c>
      <c r="Y43" s="188"/>
      <c r="Z43" s="188"/>
      <c r="AA43" s="188">
        <f>IF(AND(IF(Pulp_Switch="启用",1),IF(H11="通俗克苏鲁",1)),INT((CON+SIZ)/5),INT((CON+SIZ)/10))</f>
        <v>0</v>
      </c>
      <c r="AB43" s="188"/>
      <c r="AC43" s="188"/>
      <c r="AD43" s="190">
        <f>POW</f>
        <v>0</v>
      </c>
      <c r="AE43" s="188"/>
      <c r="AF43" s="188"/>
      <c r="AG43" s="188">
        <f>INT(POW/5)</f>
        <v>0</v>
      </c>
      <c r="AH43" s="188"/>
      <c r="AI43" s="189"/>
      <c r="AJ43" s="137"/>
      <c r="AK43" s="146"/>
      <c r="AL43" s="146"/>
      <c r="AM43" s="146"/>
      <c r="AN43" s="132"/>
    </row>
    <row r="44" spans="1:40" ht="15" customHeight="1" thickBot="1" x14ac:dyDescent="0.3">
      <c r="A44" s="34"/>
      <c r="B44" s="136"/>
      <c r="C44" s="136"/>
      <c r="D44" s="136"/>
      <c r="E44" s="136"/>
      <c r="F44" s="136"/>
      <c r="G44" s="136"/>
      <c r="H44" s="134"/>
      <c r="I44" s="134"/>
      <c r="J44" s="134"/>
      <c r="K44" s="134"/>
      <c r="L44" s="134"/>
      <c r="M44" s="134"/>
      <c r="N44" s="136"/>
      <c r="O44" s="208" t="s">
        <v>645</v>
      </c>
      <c r="P44" s="209"/>
      <c r="Q44" s="209"/>
      <c r="R44" s="210"/>
      <c r="S44" s="210"/>
      <c r="T44" s="210"/>
      <c r="U44" s="211"/>
      <c r="V44" s="211"/>
      <c r="W44" s="211"/>
      <c r="X44" s="211"/>
      <c r="Y44" s="211"/>
      <c r="Z44" s="211"/>
      <c r="AA44" s="211"/>
      <c r="AB44" s="211"/>
      <c r="AC44" s="211"/>
      <c r="AD44" s="211"/>
      <c r="AE44" s="211"/>
      <c r="AF44" s="211"/>
      <c r="AG44" s="211"/>
      <c r="AH44" s="211"/>
      <c r="AI44" s="212"/>
      <c r="AJ44" s="137"/>
      <c r="AK44" s="146"/>
      <c r="AL44" s="146"/>
      <c r="AM44" s="146"/>
      <c r="AN44" s="132"/>
    </row>
    <row r="45" spans="1:40" ht="15.6" thickBot="1" x14ac:dyDescent="0.3">
      <c r="A45" s="34"/>
      <c r="B45" s="182" t="s">
        <v>1030</v>
      </c>
      <c r="C45" s="183"/>
      <c r="D45" s="183"/>
      <c r="E45" s="186">
        <f ca="1">IF(Pulp_Switch="启用",SUM(AK35:AK36,6)*5,SUM(AK35:AK37)*5)</f>
        <v>35</v>
      </c>
      <c r="F45" s="186"/>
      <c r="G45" s="187"/>
      <c r="H45" s="134"/>
      <c r="I45" s="134"/>
      <c r="J45" s="134"/>
      <c r="K45" s="134"/>
      <c r="L45" s="134"/>
      <c r="M45" s="134"/>
      <c r="N45" s="136"/>
      <c r="O45" s="180" t="s">
        <v>949</v>
      </c>
      <c r="P45" s="181"/>
      <c r="Q45" s="181"/>
      <c r="R45" s="176" t="str">
        <f>IF(ISBLANK(R44),R43,R44)</f>
        <v>错误</v>
      </c>
      <c r="S45" s="176"/>
      <c r="T45" s="176"/>
      <c r="U45" s="176">
        <f>SUM(U43:W44)</f>
        <v>0</v>
      </c>
      <c r="V45" s="176"/>
      <c r="W45" s="176"/>
      <c r="X45" s="176">
        <f t="shared" ref="X45" si="2">SUM(X43:Z44)</f>
        <v>0</v>
      </c>
      <c r="Y45" s="176"/>
      <c r="Z45" s="176"/>
      <c r="AA45" s="176">
        <f t="shared" ref="AA45" si="3">SUM(AA43:AC44)</f>
        <v>0</v>
      </c>
      <c r="AB45" s="176"/>
      <c r="AC45" s="176"/>
      <c r="AD45" s="175">
        <f t="shared" ref="AD45" si="4">SUM(AD43:AF44)</f>
        <v>0</v>
      </c>
      <c r="AE45" s="176"/>
      <c r="AF45" s="176"/>
      <c r="AG45" s="176">
        <f t="shared" ref="AG45" si="5">SUM(AG43:AI44)</f>
        <v>0</v>
      </c>
      <c r="AH45" s="176"/>
      <c r="AI45" s="177"/>
      <c r="AJ45" s="137"/>
    </row>
    <row r="46" spans="1:40" x14ac:dyDescent="0.25">
      <c r="A46" s="34"/>
      <c r="B46" s="158"/>
      <c r="C46" s="158"/>
      <c r="D46" s="158"/>
      <c r="E46" s="158"/>
      <c r="F46" s="158"/>
      <c r="G46" s="141">
        <f ca="1">RANDBETWEEN(1,6)</f>
        <v>5</v>
      </c>
      <c r="H46" s="141">
        <f ca="1">RANDBETWEEN(1,6)</f>
        <v>2</v>
      </c>
      <c r="I46" s="141">
        <f ca="1">RANDBETWEEN(1,6)</f>
        <v>1</v>
      </c>
      <c r="J46" s="247"/>
      <c r="K46" s="247"/>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137"/>
      <c r="AK46" s="146"/>
      <c r="AL46" s="146"/>
      <c r="AM46" s="146"/>
      <c r="AN46" s="132"/>
    </row>
    <row r="47" spans="1:40" ht="27.6" x14ac:dyDescent="0.25">
      <c r="A47" s="34"/>
      <c r="B47" s="191" t="s">
        <v>921</v>
      </c>
      <c r="C47" s="191"/>
      <c r="D47" s="191"/>
      <c r="E47" s="191"/>
      <c r="F47" s="191"/>
      <c r="G47" s="191"/>
      <c r="H47" s="191"/>
      <c r="I47" s="191"/>
      <c r="J47" s="191"/>
      <c r="K47" s="191"/>
      <c r="L47" s="191"/>
      <c r="M47" s="191"/>
      <c r="N47" s="191"/>
      <c r="O47" s="191"/>
      <c r="P47" s="191"/>
      <c r="Q47" s="191"/>
      <c r="R47" s="192"/>
      <c r="S47" s="192"/>
      <c r="T47" s="192"/>
      <c r="U47" s="192"/>
      <c r="V47" s="192"/>
      <c r="W47" s="192"/>
      <c r="X47" s="192"/>
      <c r="Y47" s="192"/>
      <c r="Z47" s="192"/>
      <c r="AA47" s="192"/>
      <c r="AB47" s="192"/>
      <c r="AC47" s="192"/>
      <c r="AD47" s="192"/>
      <c r="AE47" s="192"/>
      <c r="AF47" s="192"/>
      <c r="AG47" s="192"/>
      <c r="AH47" s="192"/>
      <c r="AI47" s="192"/>
      <c r="AJ47" s="137"/>
      <c r="AK47" s="146"/>
      <c r="AL47" s="146"/>
      <c r="AM47" s="146"/>
      <c r="AN47" s="132"/>
    </row>
    <row r="48" spans="1:40" ht="15.6" thickBot="1" x14ac:dyDescent="0.3">
      <c r="A48" s="34"/>
      <c r="B48" s="158" t="s">
        <v>1032</v>
      </c>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c r="AA48" s="158"/>
      <c r="AB48" s="158"/>
      <c r="AC48" s="158"/>
      <c r="AD48" s="158"/>
      <c r="AE48" s="158"/>
      <c r="AF48" s="158"/>
      <c r="AG48" s="158"/>
      <c r="AH48" s="158"/>
      <c r="AI48" s="158"/>
      <c r="AJ48" s="137"/>
      <c r="AK48" s="146"/>
      <c r="AL48" s="146"/>
      <c r="AM48" s="146"/>
      <c r="AN48" s="132"/>
    </row>
    <row r="49" spans="1:56" s="145" customFormat="1" x14ac:dyDescent="0.25">
      <c r="A49" s="142"/>
      <c r="B49" s="159" t="s">
        <v>1033</v>
      </c>
      <c r="C49" s="160"/>
      <c r="D49" s="160"/>
      <c r="E49" s="160" t="s">
        <v>1049</v>
      </c>
      <c r="F49" s="160"/>
      <c r="G49" s="160"/>
      <c r="H49" s="160"/>
      <c r="I49" s="160"/>
      <c r="J49" s="160"/>
      <c r="K49" s="160"/>
      <c r="L49" s="160"/>
      <c r="M49" s="160" t="s">
        <v>1050</v>
      </c>
      <c r="N49" s="160"/>
      <c r="O49" s="160"/>
      <c r="P49" s="160"/>
      <c r="Q49" s="160"/>
      <c r="R49" s="160" t="s">
        <v>1047</v>
      </c>
      <c r="S49" s="160"/>
      <c r="T49" s="160"/>
      <c r="U49" s="164" t="s">
        <v>1045</v>
      </c>
      <c r="V49" s="165"/>
      <c r="W49" s="165"/>
      <c r="X49" s="165"/>
      <c r="Y49" s="166"/>
      <c r="Z49" s="164" t="s">
        <v>1046</v>
      </c>
      <c r="AA49" s="165"/>
      <c r="AB49" s="165"/>
      <c r="AC49" s="165"/>
      <c r="AD49" s="166"/>
      <c r="AE49" s="164" t="s">
        <v>1048</v>
      </c>
      <c r="AF49" s="165"/>
      <c r="AG49" s="165"/>
      <c r="AH49" s="165"/>
      <c r="AI49" s="167"/>
      <c r="AJ49" s="143"/>
      <c r="AK49" s="149"/>
      <c r="AL49" s="149"/>
      <c r="AM49" s="149"/>
      <c r="AN49" s="144"/>
      <c r="AO49" s="144"/>
      <c r="AP49" s="144"/>
      <c r="AQ49" s="144"/>
      <c r="AR49" s="144"/>
      <c r="AS49" s="144"/>
      <c r="AT49" s="144"/>
      <c r="AU49" s="144"/>
      <c r="AV49" s="144"/>
      <c r="AW49" s="144"/>
      <c r="AX49" s="144"/>
      <c r="AY49" s="144"/>
      <c r="AZ49" s="144"/>
      <c r="BA49" s="144"/>
      <c r="BB49" s="144"/>
      <c r="BC49" s="144"/>
      <c r="BD49" s="144"/>
    </row>
    <row r="50" spans="1:56" s="145" customFormat="1" ht="15.6" thickBot="1" x14ac:dyDescent="0.3">
      <c r="A50" s="142"/>
      <c r="B50" s="161">
        <v>1</v>
      </c>
      <c r="C50" s="162"/>
      <c r="D50" s="162"/>
      <c r="E50" s="163" t="str">
        <f>VLOOKUP(OccNo,职业列表,3,0)</f>
        <v>会计师</v>
      </c>
      <c r="F50" s="163"/>
      <c r="G50" s="163"/>
      <c r="H50" s="163"/>
      <c r="I50" s="163"/>
      <c r="J50" s="163"/>
      <c r="K50" s="163"/>
      <c r="L50" s="163"/>
      <c r="M50" s="163" t="str">
        <f>VLOOKUP(OccNo,职业列表,2,0)</f>
        <v>调查员手册</v>
      </c>
      <c r="N50" s="163"/>
      <c r="O50" s="163"/>
      <c r="P50" s="163"/>
      <c r="Q50" s="163"/>
      <c r="R50" s="153" t="str">
        <f>VLOOKUP(OccNo,职业列表,4,0)</f>
        <v>30-70</v>
      </c>
      <c r="S50" s="154"/>
      <c r="T50" s="168"/>
      <c r="U50" s="153">
        <f>VLOOKUP(OccNo,职业列表,6,0)</f>
        <v>0</v>
      </c>
      <c r="V50" s="154"/>
      <c r="W50" s="154"/>
      <c r="X50" s="154"/>
      <c r="Y50" s="168"/>
      <c r="Z50" s="153">
        <f>INT*2</f>
        <v>0</v>
      </c>
      <c r="AA50" s="154"/>
      <c r="AB50" s="154"/>
      <c r="AC50" s="154"/>
      <c r="AD50" s="168"/>
      <c r="AE50" s="153">
        <f>IF(Pulp_Switch="启用",100,0)</f>
        <v>0</v>
      </c>
      <c r="AF50" s="154"/>
      <c r="AG50" s="154"/>
      <c r="AH50" s="154"/>
      <c r="AI50" s="155"/>
      <c r="AJ50" s="143"/>
      <c r="AK50" s="149"/>
      <c r="AL50" s="149"/>
      <c r="AM50" s="149"/>
      <c r="AN50" s="144"/>
      <c r="AO50" s="144"/>
      <c r="AP50" s="144"/>
      <c r="AQ50" s="144"/>
      <c r="AR50" s="144"/>
      <c r="AS50" s="144"/>
      <c r="AT50" s="144"/>
      <c r="AU50" s="144"/>
      <c r="AV50" s="144"/>
      <c r="AW50" s="144"/>
      <c r="AX50" s="144"/>
      <c r="AY50" s="144"/>
      <c r="AZ50" s="144"/>
      <c r="BA50" s="144"/>
      <c r="BB50" s="144"/>
      <c r="BC50" s="144"/>
      <c r="BD50" s="144"/>
    </row>
    <row r="51" spans="1:56" x14ac:dyDescent="0.25">
      <c r="A51" s="34"/>
      <c r="B51" s="156" t="str">
        <f>"将本职技能点分配给本职技能和信用评级，信用评级需符合职业信用范围。再将兴趣技能点分配给除克苏鲁神话以外的任意技能。"&amp;CHAR(10)&amp;"本职技能："&amp;VLOOKUP(OccNo,职业列表,7,0)&amp;IF(Pulp_Switch="启用",CHAR(10)&amp;"奖励技能："&amp;VLOOKUP(H9,英雄类型,6,0),"")</f>
        <v>将本职技能点分配给本职技能和信用评级，信用评级需符合职业信用范围。再将兴趣技能点分配给除克苏鲁神话以外的任意技能。
本职技能：会计，法律，图书馆，聆听，说服，侦查，任意其他两项个人或时代特长。</v>
      </c>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37"/>
    </row>
    <row r="52" spans="1:56" x14ac:dyDescent="0.25">
      <c r="A52" s="34"/>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37"/>
    </row>
    <row r="53" spans="1:56" x14ac:dyDescent="0.25">
      <c r="A53" s="34"/>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37"/>
    </row>
    <row r="54" spans="1:56" ht="15" customHeight="1" thickBot="1" x14ac:dyDescent="0.3">
      <c r="A54" s="34"/>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c r="AF54" s="157"/>
      <c r="AG54" s="157"/>
      <c r="AH54" s="157"/>
      <c r="AI54" s="157"/>
      <c r="AJ54" s="138"/>
    </row>
    <row r="55" spans="1:56" x14ac:dyDescent="0.25">
      <c r="A55" s="34"/>
      <c r="B55" s="159" t="str">
        <f>模板选择&amp;" 技能表"</f>
        <v>1920s 技能表</v>
      </c>
      <c r="C55" s="160"/>
      <c r="D55" s="160"/>
      <c r="E55" s="160"/>
      <c r="F55" s="160"/>
      <c r="G55" s="160"/>
      <c r="H55" s="160"/>
      <c r="I55" s="160"/>
      <c r="J55" s="160"/>
      <c r="K55" s="160"/>
      <c r="L55" s="160"/>
      <c r="M55" s="160"/>
      <c r="N55" s="160"/>
      <c r="O55" s="160"/>
      <c r="P55" s="160"/>
      <c r="Q55" s="160"/>
      <c r="R55" s="160"/>
      <c r="S55" s="160"/>
      <c r="T55" s="160"/>
      <c r="U55" s="160"/>
      <c r="V55" s="160"/>
      <c r="W55" s="160"/>
      <c r="X55" s="160"/>
      <c r="Y55" s="160"/>
      <c r="Z55" s="160"/>
      <c r="AA55" s="160"/>
      <c r="AB55" s="160"/>
      <c r="AC55" s="160"/>
      <c r="AD55" s="160"/>
      <c r="AE55" s="160"/>
      <c r="AF55" s="160"/>
      <c r="AG55" s="160"/>
      <c r="AH55" s="160"/>
      <c r="AI55" s="173"/>
      <c r="AJ55" s="138"/>
    </row>
    <row r="56" spans="1:56" ht="15" customHeight="1" x14ac:dyDescent="0.25">
      <c r="A56" s="34"/>
      <c r="B56" s="256" t="s">
        <v>284</v>
      </c>
      <c r="C56" s="245"/>
      <c r="D56" s="245"/>
      <c r="E56" s="245"/>
      <c r="F56" s="245"/>
      <c r="G56" s="245"/>
      <c r="H56" s="245" t="s">
        <v>612</v>
      </c>
      <c r="I56" s="245"/>
      <c r="J56" s="245" t="s">
        <v>613</v>
      </c>
      <c r="K56" s="245"/>
      <c r="L56" s="245" t="s">
        <v>7</v>
      </c>
      <c r="M56" s="245"/>
      <c r="N56" s="245" t="s">
        <v>645</v>
      </c>
      <c r="O56" s="245"/>
      <c r="P56" s="245" t="s">
        <v>8</v>
      </c>
      <c r="Q56" s="245"/>
      <c r="R56" s="260"/>
      <c r="S56" s="259" t="s">
        <v>284</v>
      </c>
      <c r="T56" s="245"/>
      <c r="U56" s="245"/>
      <c r="V56" s="245"/>
      <c r="W56" s="245"/>
      <c r="X56" s="245"/>
      <c r="Y56" s="245" t="s">
        <v>612</v>
      </c>
      <c r="Z56" s="245"/>
      <c r="AA56" s="245" t="s">
        <v>613</v>
      </c>
      <c r="AB56" s="245"/>
      <c r="AC56" s="245" t="s">
        <v>7</v>
      </c>
      <c r="AD56" s="245"/>
      <c r="AE56" s="245" t="s">
        <v>645</v>
      </c>
      <c r="AF56" s="245"/>
      <c r="AG56" s="245" t="s">
        <v>8</v>
      </c>
      <c r="AH56" s="245"/>
      <c r="AI56" s="261"/>
      <c r="AJ56" s="138"/>
    </row>
    <row r="57" spans="1:56" x14ac:dyDescent="0.25">
      <c r="A57" s="34"/>
      <c r="B57" s="229" t="str">
        <f>角色卡模板!B4</f>
        <v>博物学</v>
      </c>
      <c r="C57" s="230"/>
      <c r="D57" s="230"/>
      <c r="E57" s="230"/>
      <c r="F57" s="230"/>
      <c r="G57" s="230"/>
      <c r="H57" s="174">
        <f t="shared" ref="H57:H88" si="6">_xlfn.IFNA(VLOOKUP(B57,常规技能,2,0),1)</f>
        <v>10</v>
      </c>
      <c r="I57" s="174"/>
      <c r="J57" s="174"/>
      <c r="K57" s="174"/>
      <c r="L57" s="174"/>
      <c r="M57" s="174"/>
      <c r="N57" s="174"/>
      <c r="O57" s="174"/>
      <c r="P57" s="224">
        <f>SUM(H57:O57)</f>
        <v>10</v>
      </c>
      <c r="Q57" s="224"/>
      <c r="R57" s="225"/>
      <c r="S57" s="257" t="str">
        <f>角色卡模板!B36</f>
        <v>信用评级</v>
      </c>
      <c r="T57" s="231"/>
      <c r="U57" s="231"/>
      <c r="V57" s="231"/>
      <c r="W57" s="231"/>
      <c r="X57" s="231"/>
      <c r="Y57" s="174">
        <f t="shared" ref="Y57:Y64" si="7">_xlfn.IFNA(VLOOKUP(S57,常规技能,2,0),1)</f>
        <v>0</v>
      </c>
      <c r="Z57" s="174"/>
      <c r="AA57" s="174"/>
      <c r="AB57" s="174"/>
      <c r="AC57" s="174"/>
      <c r="AD57" s="174"/>
      <c r="AE57" s="174"/>
      <c r="AF57" s="174"/>
      <c r="AG57" s="224">
        <f t="shared" ref="AG57:AG87" si="8">SUM(Y57:AF57)</f>
        <v>0</v>
      </c>
      <c r="AH57" s="224"/>
      <c r="AI57" s="252"/>
      <c r="AJ57" s="138"/>
    </row>
    <row r="58" spans="1:56" x14ac:dyDescent="0.25">
      <c r="A58" s="34"/>
      <c r="B58" s="216" t="str">
        <f>角色卡模板!B5</f>
        <v>操作重型机械</v>
      </c>
      <c r="C58" s="217"/>
      <c r="D58" s="217"/>
      <c r="E58" s="217"/>
      <c r="F58" s="217"/>
      <c r="G58" s="217"/>
      <c r="H58" s="218">
        <f t="shared" si="6"/>
        <v>1</v>
      </c>
      <c r="I58" s="218"/>
      <c r="J58" s="218"/>
      <c r="K58" s="218"/>
      <c r="L58" s="218"/>
      <c r="M58" s="218"/>
      <c r="N58" s="218"/>
      <c r="O58" s="218"/>
      <c r="P58" s="234">
        <f t="shared" ref="P58:P88" si="9">SUM(H58:O58)</f>
        <v>1</v>
      </c>
      <c r="Q58" s="234"/>
      <c r="R58" s="235"/>
      <c r="S58" s="253" t="str">
        <f>角色卡模板!B37</f>
        <v>医学</v>
      </c>
      <c r="T58" s="217"/>
      <c r="U58" s="217"/>
      <c r="V58" s="217"/>
      <c r="W58" s="217"/>
      <c r="X58" s="217"/>
      <c r="Y58" s="218">
        <f t="shared" si="7"/>
        <v>1</v>
      </c>
      <c r="Z58" s="218"/>
      <c r="AA58" s="218"/>
      <c r="AB58" s="218"/>
      <c r="AC58" s="218"/>
      <c r="AD58" s="218"/>
      <c r="AE58" s="218"/>
      <c r="AF58" s="218"/>
      <c r="AG58" s="234">
        <f t="shared" si="8"/>
        <v>1</v>
      </c>
      <c r="AH58" s="234"/>
      <c r="AI58" s="258"/>
      <c r="AJ58" s="138"/>
    </row>
    <row r="59" spans="1:56" x14ac:dyDescent="0.25">
      <c r="A59" s="34"/>
      <c r="B59" s="229" t="str">
        <f>角色卡模板!B6</f>
        <v>导航</v>
      </c>
      <c r="C59" s="230"/>
      <c r="D59" s="230"/>
      <c r="E59" s="230"/>
      <c r="F59" s="230"/>
      <c r="G59" s="230"/>
      <c r="H59" s="174">
        <f t="shared" si="6"/>
        <v>10</v>
      </c>
      <c r="I59" s="174"/>
      <c r="J59" s="174"/>
      <c r="K59" s="174"/>
      <c r="L59" s="174"/>
      <c r="M59" s="174"/>
      <c r="N59" s="174"/>
      <c r="O59" s="174"/>
      <c r="P59" s="224">
        <f t="shared" si="9"/>
        <v>10</v>
      </c>
      <c r="Q59" s="224"/>
      <c r="R59" s="225"/>
      <c r="S59" s="257" t="str">
        <f>角色卡模板!B38</f>
        <v>游泳</v>
      </c>
      <c r="T59" s="231"/>
      <c r="U59" s="231"/>
      <c r="V59" s="231"/>
      <c r="W59" s="231"/>
      <c r="X59" s="231"/>
      <c r="Y59" s="174">
        <f t="shared" si="7"/>
        <v>20</v>
      </c>
      <c r="Z59" s="174"/>
      <c r="AA59" s="174"/>
      <c r="AB59" s="174"/>
      <c r="AC59" s="174"/>
      <c r="AD59" s="174"/>
      <c r="AE59" s="174"/>
      <c r="AF59" s="174"/>
      <c r="AG59" s="224">
        <f t="shared" si="8"/>
        <v>20</v>
      </c>
      <c r="AH59" s="224"/>
      <c r="AI59" s="252"/>
      <c r="AJ59" s="138"/>
    </row>
    <row r="60" spans="1:56" x14ac:dyDescent="0.25">
      <c r="A60" s="34"/>
      <c r="B60" s="216" t="str">
        <f>角色卡模板!B7</f>
        <v>电气维修</v>
      </c>
      <c r="C60" s="217"/>
      <c r="D60" s="217"/>
      <c r="E60" s="217"/>
      <c r="F60" s="217"/>
      <c r="G60" s="217"/>
      <c r="H60" s="218">
        <f t="shared" si="6"/>
        <v>10</v>
      </c>
      <c r="I60" s="218"/>
      <c r="J60" s="218"/>
      <c r="K60" s="218"/>
      <c r="L60" s="218"/>
      <c r="M60" s="218"/>
      <c r="N60" s="218"/>
      <c r="O60" s="218"/>
      <c r="P60" s="234">
        <f t="shared" si="9"/>
        <v>10</v>
      </c>
      <c r="Q60" s="234"/>
      <c r="R60" s="235"/>
      <c r="S60" s="253" t="str">
        <f>角色卡模板!B39</f>
        <v>侦查</v>
      </c>
      <c r="T60" s="217"/>
      <c r="U60" s="217"/>
      <c r="V60" s="217"/>
      <c r="W60" s="217"/>
      <c r="X60" s="217"/>
      <c r="Y60" s="218">
        <f t="shared" si="7"/>
        <v>25</v>
      </c>
      <c r="Z60" s="218"/>
      <c r="AA60" s="218"/>
      <c r="AB60" s="218"/>
      <c r="AC60" s="218"/>
      <c r="AD60" s="218"/>
      <c r="AE60" s="218"/>
      <c r="AF60" s="218"/>
      <c r="AG60" s="234">
        <f t="shared" si="8"/>
        <v>25</v>
      </c>
      <c r="AH60" s="234"/>
      <c r="AI60" s="258"/>
      <c r="AJ60" s="138"/>
    </row>
    <row r="61" spans="1:56" x14ac:dyDescent="0.25">
      <c r="A61" s="34"/>
      <c r="B61" s="229" t="str">
        <f>角色卡模板!B8</f>
        <v>法律</v>
      </c>
      <c r="C61" s="230"/>
      <c r="D61" s="230"/>
      <c r="E61" s="230"/>
      <c r="F61" s="230"/>
      <c r="G61" s="230"/>
      <c r="H61" s="174">
        <f t="shared" si="6"/>
        <v>5</v>
      </c>
      <c r="I61" s="174"/>
      <c r="J61" s="174"/>
      <c r="K61" s="174"/>
      <c r="L61" s="174"/>
      <c r="M61" s="174"/>
      <c r="N61" s="174"/>
      <c r="O61" s="174"/>
      <c r="P61" s="224">
        <f t="shared" si="9"/>
        <v>5</v>
      </c>
      <c r="Q61" s="224"/>
      <c r="R61" s="225"/>
      <c r="S61" s="257" t="str">
        <f>角色卡模板!B40</f>
        <v>追踪</v>
      </c>
      <c r="T61" s="231"/>
      <c r="U61" s="231"/>
      <c r="V61" s="231"/>
      <c r="W61" s="231"/>
      <c r="X61" s="231"/>
      <c r="Y61" s="174">
        <f t="shared" si="7"/>
        <v>10</v>
      </c>
      <c r="Z61" s="174"/>
      <c r="AA61" s="174"/>
      <c r="AB61" s="174"/>
      <c r="AC61" s="174"/>
      <c r="AD61" s="174"/>
      <c r="AE61" s="174"/>
      <c r="AF61" s="174"/>
      <c r="AG61" s="224">
        <f t="shared" si="8"/>
        <v>10</v>
      </c>
      <c r="AH61" s="224"/>
      <c r="AI61" s="252"/>
      <c r="AJ61" s="138"/>
    </row>
    <row r="62" spans="1:56" x14ac:dyDescent="0.25">
      <c r="A62" s="34"/>
      <c r="B62" s="216" t="str">
        <f>角色卡模板!B9</f>
        <v>估价</v>
      </c>
      <c r="C62" s="217"/>
      <c r="D62" s="217"/>
      <c r="E62" s="217"/>
      <c r="F62" s="217"/>
      <c r="G62" s="217"/>
      <c r="H62" s="218">
        <f t="shared" si="6"/>
        <v>5</v>
      </c>
      <c r="I62" s="218"/>
      <c r="J62" s="218"/>
      <c r="K62" s="218"/>
      <c r="L62" s="218"/>
      <c r="M62" s="218"/>
      <c r="N62" s="218"/>
      <c r="O62" s="218"/>
      <c r="P62" s="234">
        <f t="shared" si="9"/>
        <v>5</v>
      </c>
      <c r="Q62" s="234"/>
      <c r="R62" s="235"/>
      <c r="S62" s="253" t="str">
        <f>角色卡模板!B41</f>
        <v/>
      </c>
      <c r="T62" s="217"/>
      <c r="U62" s="217"/>
      <c r="V62" s="217"/>
      <c r="W62" s="217"/>
      <c r="X62" s="217"/>
      <c r="Y62" s="218">
        <f t="shared" si="7"/>
        <v>1</v>
      </c>
      <c r="Z62" s="218"/>
      <c r="AA62" s="218"/>
      <c r="AB62" s="218"/>
      <c r="AC62" s="218"/>
      <c r="AD62" s="218"/>
      <c r="AE62" s="218"/>
      <c r="AF62" s="218"/>
      <c r="AG62" s="234">
        <f t="shared" si="8"/>
        <v>1</v>
      </c>
      <c r="AH62" s="234"/>
      <c r="AI62" s="258"/>
      <c r="AJ62" s="138"/>
    </row>
    <row r="63" spans="1:56" x14ac:dyDescent="0.25">
      <c r="A63" s="34"/>
      <c r="B63" s="229" t="str">
        <f>角色卡模板!B10</f>
        <v>话术</v>
      </c>
      <c r="C63" s="230"/>
      <c r="D63" s="230"/>
      <c r="E63" s="230"/>
      <c r="F63" s="230"/>
      <c r="G63" s="230"/>
      <c r="H63" s="174">
        <f t="shared" si="6"/>
        <v>5</v>
      </c>
      <c r="I63" s="174"/>
      <c r="J63" s="174"/>
      <c r="K63" s="174"/>
      <c r="L63" s="174"/>
      <c r="M63" s="174"/>
      <c r="N63" s="174"/>
      <c r="O63" s="174"/>
      <c r="P63" s="224">
        <f t="shared" si="9"/>
        <v>5</v>
      </c>
      <c r="Q63" s="224"/>
      <c r="R63" s="225"/>
      <c r="S63" s="257" t="str">
        <f>角色卡模板!B42</f>
        <v/>
      </c>
      <c r="T63" s="231"/>
      <c r="U63" s="231"/>
      <c r="V63" s="231"/>
      <c r="W63" s="231"/>
      <c r="X63" s="231"/>
      <c r="Y63" s="174">
        <f t="shared" si="7"/>
        <v>1</v>
      </c>
      <c r="Z63" s="174"/>
      <c r="AA63" s="174"/>
      <c r="AB63" s="174"/>
      <c r="AC63" s="174"/>
      <c r="AD63" s="174"/>
      <c r="AE63" s="174"/>
      <c r="AF63" s="174"/>
      <c r="AG63" s="224">
        <f t="shared" si="8"/>
        <v>1</v>
      </c>
      <c r="AH63" s="224"/>
      <c r="AI63" s="252"/>
      <c r="AJ63" s="138"/>
    </row>
    <row r="64" spans="1:56" x14ac:dyDescent="0.25">
      <c r="A64" s="34"/>
      <c r="B64" s="216" t="str">
        <f>角色卡模板!B11</f>
        <v>会计</v>
      </c>
      <c r="C64" s="217"/>
      <c r="D64" s="217"/>
      <c r="E64" s="217"/>
      <c r="F64" s="217"/>
      <c r="G64" s="217"/>
      <c r="H64" s="218">
        <f t="shared" si="6"/>
        <v>5</v>
      </c>
      <c r="I64" s="218"/>
      <c r="J64" s="218"/>
      <c r="K64" s="218"/>
      <c r="L64" s="218"/>
      <c r="M64" s="218"/>
      <c r="N64" s="218"/>
      <c r="O64" s="218"/>
      <c r="P64" s="234">
        <f t="shared" si="9"/>
        <v>5</v>
      </c>
      <c r="Q64" s="234"/>
      <c r="R64" s="235"/>
      <c r="S64" s="253" t="str">
        <f>角色卡模板!B43</f>
        <v/>
      </c>
      <c r="T64" s="217"/>
      <c r="U64" s="217"/>
      <c r="V64" s="217"/>
      <c r="W64" s="217"/>
      <c r="X64" s="217"/>
      <c r="Y64" s="218">
        <f t="shared" si="7"/>
        <v>1</v>
      </c>
      <c r="Z64" s="218"/>
      <c r="AA64" s="218"/>
      <c r="AB64" s="218"/>
      <c r="AC64" s="218"/>
      <c r="AD64" s="218"/>
      <c r="AE64" s="218"/>
      <c r="AF64" s="218"/>
      <c r="AG64" s="234">
        <f t="shared" si="8"/>
        <v>1</v>
      </c>
      <c r="AH64" s="234"/>
      <c r="AI64" s="258"/>
      <c r="AJ64" s="138"/>
    </row>
    <row r="65" spans="1:36" x14ac:dyDescent="0.25">
      <c r="A65" s="34"/>
      <c r="B65" s="229" t="str">
        <f>角色卡模板!B12</f>
        <v>机械维修</v>
      </c>
      <c r="C65" s="230"/>
      <c r="D65" s="230"/>
      <c r="E65" s="230"/>
      <c r="F65" s="230"/>
      <c r="G65" s="230"/>
      <c r="H65" s="174">
        <f t="shared" si="6"/>
        <v>10</v>
      </c>
      <c r="I65" s="174"/>
      <c r="J65" s="174"/>
      <c r="K65" s="174"/>
      <c r="L65" s="174"/>
      <c r="M65" s="174"/>
      <c r="N65" s="174"/>
      <c r="O65" s="174"/>
      <c r="P65" s="224">
        <f t="shared" si="9"/>
        <v>10</v>
      </c>
      <c r="Q65" s="224"/>
      <c r="R65" s="225"/>
      <c r="S65" s="257"/>
      <c r="T65" s="231"/>
      <c r="U65" s="231"/>
      <c r="V65" s="231"/>
      <c r="W65" s="231"/>
      <c r="X65" s="231"/>
      <c r="Y65" s="174"/>
      <c r="Z65" s="174"/>
      <c r="AA65" s="174"/>
      <c r="AB65" s="174"/>
      <c r="AC65" s="174"/>
      <c r="AD65" s="174"/>
      <c r="AE65" s="174"/>
      <c r="AF65" s="174"/>
      <c r="AG65" s="224">
        <f t="shared" si="8"/>
        <v>0</v>
      </c>
      <c r="AH65" s="224"/>
      <c r="AI65" s="252"/>
      <c r="AJ65" s="138"/>
    </row>
    <row r="66" spans="1:36" x14ac:dyDescent="0.25">
      <c r="A66" s="34"/>
      <c r="B66" s="216" t="str">
        <f>角色卡模板!B13</f>
        <v>急救</v>
      </c>
      <c r="C66" s="217"/>
      <c r="D66" s="217"/>
      <c r="E66" s="217"/>
      <c r="F66" s="217"/>
      <c r="G66" s="217"/>
      <c r="H66" s="218">
        <f t="shared" si="6"/>
        <v>30</v>
      </c>
      <c r="I66" s="218"/>
      <c r="J66" s="218"/>
      <c r="K66" s="218"/>
      <c r="L66" s="218"/>
      <c r="M66" s="218"/>
      <c r="N66" s="218"/>
      <c r="O66" s="218"/>
      <c r="P66" s="234">
        <f t="shared" si="9"/>
        <v>30</v>
      </c>
      <c r="Q66" s="234"/>
      <c r="R66" s="235"/>
      <c r="S66" s="253"/>
      <c r="T66" s="217"/>
      <c r="U66" s="217"/>
      <c r="V66" s="217"/>
      <c r="W66" s="217"/>
      <c r="X66" s="217"/>
      <c r="Y66" s="218"/>
      <c r="Z66" s="218"/>
      <c r="AA66" s="218"/>
      <c r="AB66" s="218"/>
      <c r="AC66" s="218"/>
      <c r="AD66" s="218"/>
      <c r="AE66" s="218"/>
      <c r="AF66" s="218"/>
      <c r="AG66" s="234">
        <f t="shared" si="8"/>
        <v>0</v>
      </c>
      <c r="AH66" s="234"/>
      <c r="AI66" s="258"/>
      <c r="AJ66" s="138"/>
    </row>
    <row r="67" spans="1:36" x14ac:dyDescent="0.25">
      <c r="A67" s="34"/>
      <c r="B67" s="229" t="str">
        <f>角色卡模板!B14</f>
        <v>精神分析</v>
      </c>
      <c r="C67" s="230"/>
      <c r="D67" s="230"/>
      <c r="E67" s="230"/>
      <c r="F67" s="230"/>
      <c r="G67" s="230"/>
      <c r="H67" s="174">
        <f t="shared" si="6"/>
        <v>1</v>
      </c>
      <c r="I67" s="174"/>
      <c r="J67" s="174"/>
      <c r="K67" s="174"/>
      <c r="L67" s="174"/>
      <c r="M67" s="174"/>
      <c r="N67" s="174"/>
      <c r="O67" s="174"/>
      <c r="P67" s="224">
        <f t="shared" si="9"/>
        <v>1</v>
      </c>
      <c r="Q67" s="224"/>
      <c r="R67" s="225"/>
      <c r="S67" s="169" t="str">
        <f>角色卡模板!B46</f>
        <v>技艺</v>
      </c>
      <c r="T67" s="170"/>
      <c r="U67" s="231"/>
      <c r="V67" s="231"/>
      <c r="W67" s="231"/>
      <c r="X67" s="231"/>
      <c r="Y67" s="174">
        <f>VLOOKUP(S67,总括技能,2,0)</f>
        <v>5</v>
      </c>
      <c r="Z67" s="174"/>
      <c r="AA67" s="174"/>
      <c r="AB67" s="174"/>
      <c r="AC67" s="174"/>
      <c r="AD67" s="174"/>
      <c r="AE67" s="174"/>
      <c r="AF67" s="174"/>
      <c r="AG67" s="224">
        <f t="shared" si="8"/>
        <v>5</v>
      </c>
      <c r="AH67" s="224"/>
      <c r="AI67" s="252"/>
      <c r="AJ67" s="138"/>
    </row>
    <row r="68" spans="1:36" x14ac:dyDescent="0.25">
      <c r="A68" s="34"/>
      <c r="B68" s="216" t="str">
        <f>角色卡模板!B15</f>
        <v>考古学</v>
      </c>
      <c r="C68" s="217"/>
      <c r="D68" s="217"/>
      <c r="E68" s="217"/>
      <c r="F68" s="217"/>
      <c r="G68" s="217"/>
      <c r="H68" s="218">
        <f>_xlfn.IFNA(VLOOKUP(B68,常规技能,2,0),1)</f>
        <v>1</v>
      </c>
      <c r="I68" s="218"/>
      <c r="J68" s="218"/>
      <c r="K68" s="218"/>
      <c r="L68" s="218"/>
      <c r="M68" s="218"/>
      <c r="N68" s="218"/>
      <c r="O68" s="218"/>
      <c r="P68" s="234">
        <f t="shared" si="9"/>
        <v>1</v>
      </c>
      <c r="Q68" s="234"/>
      <c r="R68" s="235"/>
      <c r="S68" s="171" t="str">
        <f>角色卡模板!B47</f>
        <v>技艺</v>
      </c>
      <c r="T68" s="172"/>
      <c r="U68" s="217"/>
      <c r="V68" s="217"/>
      <c r="W68" s="217"/>
      <c r="X68" s="217"/>
      <c r="Y68" s="218">
        <f>VLOOKUP(S68,总括技能,2,0)</f>
        <v>5</v>
      </c>
      <c r="Z68" s="218"/>
      <c r="AA68" s="218"/>
      <c r="AB68" s="218"/>
      <c r="AC68" s="218"/>
      <c r="AD68" s="218"/>
      <c r="AE68" s="218"/>
      <c r="AF68" s="218"/>
      <c r="AG68" s="234">
        <f t="shared" si="8"/>
        <v>5</v>
      </c>
      <c r="AH68" s="234"/>
      <c r="AI68" s="258"/>
      <c r="AJ68" s="138"/>
    </row>
    <row r="69" spans="1:36" x14ac:dyDescent="0.25">
      <c r="A69" s="34"/>
      <c r="B69" s="229" t="str">
        <f>角色卡模板!B16</f>
        <v>克苏鲁神话</v>
      </c>
      <c r="C69" s="230"/>
      <c r="D69" s="230"/>
      <c r="E69" s="230"/>
      <c r="F69" s="230"/>
      <c r="G69" s="230"/>
      <c r="H69" s="174">
        <f t="shared" si="6"/>
        <v>0</v>
      </c>
      <c r="I69" s="174"/>
      <c r="J69" s="174"/>
      <c r="K69" s="174"/>
      <c r="L69" s="174"/>
      <c r="M69" s="174"/>
      <c r="N69" s="174"/>
      <c r="O69" s="174"/>
      <c r="P69" s="224">
        <f t="shared" si="9"/>
        <v>0</v>
      </c>
      <c r="Q69" s="224"/>
      <c r="R69" s="225"/>
      <c r="S69" s="169" t="str">
        <f>角色卡模板!B48</f>
        <v>技艺</v>
      </c>
      <c r="T69" s="170"/>
      <c r="U69" s="231"/>
      <c r="V69" s="231"/>
      <c r="W69" s="231"/>
      <c r="X69" s="231"/>
      <c r="Y69" s="174">
        <f>VLOOKUP(S69,总括技能,2,0)</f>
        <v>5</v>
      </c>
      <c r="Z69" s="174"/>
      <c r="AA69" s="174"/>
      <c r="AB69" s="174"/>
      <c r="AC69" s="174"/>
      <c r="AD69" s="174"/>
      <c r="AE69" s="174"/>
      <c r="AF69" s="174"/>
      <c r="AG69" s="224">
        <f t="shared" si="8"/>
        <v>5</v>
      </c>
      <c r="AH69" s="224"/>
      <c r="AI69" s="252"/>
      <c r="AJ69" s="138"/>
    </row>
    <row r="70" spans="1:36" x14ac:dyDescent="0.25">
      <c r="A70" s="34"/>
      <c r="B70" s="216" t="str">
        <f>角色卡模板!B17</f>
        <v>恐吓</v>
      </c>
      <c r="C70" s="217"/>
      <c r="D70" s="217"/>
      <c r="E70" s="217"/>
      <c r="F70" s="217"/>
      <c r="G70" s="217"/>
      <c r="H70" s="218">
        <f t="shared" si="6"/>
        <v>15</v>
      </c>
      <c r="I70" s="218"/>
      <c r="J70" s="218"/>
      <c r="K70" s="218"/>
      <c r="L70" s="218"/>
      <c r="M70" s="218"/>
      <c r="N70" s="218"/>
      <c r="O70" s="218"/>
      <c r="P70" s="234">
        <f t="shared" si="9"/>
        <v>15</v>
      </c>
      <c r="Q70" s="234"/>
      <c r="R70" s="235"/>
      <c r="S70" s="171" t="str">
        <f>角色卡模板!B49</f>
        <v>格斗</v>
      </c>
      <c r="T70" s="172"/>
      <c r="U70" s="217" t="s">
        <v>62</v>
      </c>
      <c r="V70" s="217"/>
      <c r="W70" s="217"/>
      <c r="X70" s="217"/>
      <c r="Y70" s="218">
        <f>VLOOKUP(U70,格斗技能,2,0)</f>
        <v>25</v>
      </c>
      <c r="Z70" s="218"/>
      <c r="AA70" s="218"/>
      <c r="AB70" s="218"/>
      <c r="AC70" s="218"/>
      <c r="AD70" s="218"/>
      <c r="AE70" s="218"/>
      <c r="AF70" s="218"/>
      <c r="AG70" s="234">
        <f t="shared" si="8"/>
        <v>25</v>
      </c>
      <c r="AH70" s="234"/>
      <c r="AI70" s="258"/>
      <c r="AJ70" s="138"/>
    </row>
    <row r="71" spans="1:36" ht="15" customHeight="1" x14ac:dyDescent="0.25">
      <c r="A71" s="34"/>
      <c r="B71" s="229" t="str">
        <f>角色卡模板!B18</f>
        <v>历史</v>
      </c>
      <c r="C71" s="230"/>
      <c r="D71" s="230"/>
      <c r="E71" s="230"/>
      <c r="F71" s="230"/>
      <c r="G71" s="230"/>
      <c r="H71" s="174">
        <f t="shared" si="6"/>
        <v>5</v>
      </c>
      <c r="I71" s="174"/>
      <c r="J71" s="174"/>
      <c r="K71" s="174"/>
      <c r="L71" s="174"/>
      <c r="M71" s="174"/>
      <c r="N71" s="174"/>
      <c r="O71" s="174"/>
      <c r="P71" s="224">
        <f t="shared" si="9"/>
        <v>5</v>
      </c>
      <c r="Q71" s="224"/>
      <c r="R71" s="225"/>
      <c r="S71" s="169" t="str">
        <f>角色卡模板!B50</f>
        <v>格斗</v>
      </c>
      <c r="T71" s="170"/>
      <c r="U71" s="231" t="s">
        <v>654</v>
      </c>
      <c r="V71" s="231"/>
      <c r="W71" s="231"/>
      <c r="X71" s="231"/>
      <c r="Y71" s="174">
        <f>VLOOKUP(U71,格斗技能,2,0)</f>
        <v>20</v>
      </c>
      <c r="Z71" s="174"/>
      <c r="AA71" s="174"/>
      <c r="AB71" s="174"/>
      <c r="AC71" s="174"/>
      <c r="AD71" s="174"/>
      <c r="AE71" s="174"/>
      <c r="AF71" s="174"/>
      <c r="AG71" s="224">
        <f t="shared" si="8"/>
        <v>20</v>
      </c>
      <c r="AH71" s="224"/>
      <c r="AI71" s="252"/>
      <c r="AJ71" s="138"/>
    </row>
    <row r="72" spans="1:36" x14ac:dyDescent="0.25">
      <c r="A72" s="34"/>
      <c r="B72" s="216" t="str">
        <f>角色卡模板!B19</f>
        <v>聆听</v>
      </c>
      <c r="C72" s="217"/>
      <c r="D72" s="217"/>
      <c r="E72" s="217"/>
      <c r="F72" s="217"/>
      <c r="G72" s="217"/>
      <c r="H72" s="218">
        <f t="shared" si="6"/>
        <v>20</v>
      </c>
      <c r="I72" s="218"/>
      <c r="J72" s="218"/>
      <c r="K72" s="218"/>
      <c r="L72" s="218"/>
      <c r="M72" s="218"/>
      <c r="N72" s="218"/>
      <c r="O72" s="218"/>
      <c r="P72" s="234">
        <f t="shared" si="9"/>
        <v>20</v>
      </c>
      <c r="Q72" s="234"/>
      <c r="R72" s="235"/>
      <c r="S72" s="171" t="str">
        <f>角色卡模板!B51</f>
        <v>格斗</v>
      </c>
      <c r="T72" s="172"/>
      <c r="U72" s="217"/>
      <c r="V72" s="217"/>
      <c r="W72" s="217"/>
      <c r="X72" s="217"/>
      <c r="Y72" s="218"/>
      <c r="Z72" s="218"/>
      <c r="AA72" s="218"/>
      <c r="AB72" s="218"/>
      <c r="AC72" s="218"/>
      <c r="AD72" s="218"/>
      <c r="AE72" s="218"/>
      <c r="AF72" s="218"/>
      <c r="AG72" s="234">
        <f t="shared" si="8"/>
        <v>0</v>
      </c>
      <c r="AH72" s="234"/>
      <c r="AI72" s="258"/>
      <c r="AJ72" s="138"/>
    </row>
    <row r="73" spans="1:36" ht="15" customHeight="1" x14ac:dyDescent="0.25">
      <c r="A73" s="34"/>
      <c r="B73" s="229" t="str">
        <f>角色卡模板!B20</f>
        <v>妙手</v>
      </c>
      <c r="C73" s="230"/>
      <c r="D73" s="230"/>
      <c r="E73" s="230"/>
      <c r="F73" s="230"/>
      <c r="G73" s="230"/>
      <c r="H73" s="174">
        <f t="shared" si="6"/>
        <v>10</v>
      </c>
      <c r="I73" s="174"/>
      <c r="J73" s="174"/>
      <c r="K73" s="174"/>
      <c r="L73" s="174"/>
      <c r="M73" s="174"/>
      <c r="N73" s="174"/>
      <c r="O73" s="174"/>
      <c r="P73" s="224">
        <f t="shared" si="9"/>
        <v>10</v>
      </c>
      <c r="Q73" s="224"/>
      <c r="R73" s="225"/>
      <c r="S73" s="169" t="str">
        <f>角色卡模板!B52</f>
        <v>射击</v>
      </c>
      <c r="T73" s="170"/>
      <c r="U73" s="231" t="s">
        <v>679</v>
      </c>
      <c r="V73" s="231"/>
      <c r="W73" s="231"/>
      <c r="X73" s="231"/>
      <c r="Y73" s="174">
        <f>VLOOKUP(U73,射击技能,2,0)</f>
        <v>20</v>
      </c>
      <c r="Z73" s="174"/>
      <c r="AA73" s="174"/>
      <c r="AB73" s="174"/>
      <c r="AC73" s="174"/>
      <c r="AD73" s="174"/>
      <c r="AE73" s="174"/>
      <c r="AF73" s="174"/>
      <c r="AG73" s="224">
        <f t="shared" si="8"/>
        <v>20</v>
      </c>
      <c r="AH73" s="224"/>
      <c r="AI73" s="252"/>
      <c r="AJ73" s="138"/>
    </row>
    <row r="74" spans="1:36" x14ac:dyDescent="0.25">
      <c r="A74" s="34"/>
      <c r="B74" s="216" t="str">
        <f>角色卡模板!B21</f>
        <v>攀爬</v>
      </c>
      <c r="C74" s="217"/>
      <c r="D74" s="217"/>
      <c r="E74" s="217"/>
      <c r="F74" s="217"/>
      <c r="G74" s="217"/>
      <c r="H74" s="218">
        <f t="shared" si="6"/>
        <v>20</v>
      </c>
      <c r="I74" s="218"/>
      <c r="J74" s="218"/>
      <c r="K74" s="218"/>
      <c r="L74" s="218"/>
      <c r="M74" s="218"/>
      <c r="N74" s="218"/>
      <c r="O74" s="218"/>
      <c r="P74" s="234">
        <f t="shared" si="9"/>
        <v>20</v>
      </c>
      <c r="Q74" s="234"/>
      <c r="R74" s="235"/>
      <c r="S74" s="171" t="str">
        <f>角色卡模板!B53</f>
        <v>射击</v>
      </c>
      <c r="T74" s="172"/>
      <c r="U74" s="217" t="s">
        <v>680</v>
      </c>
      <c r="V74" s="217"/>
      <c r="W74" s="217"/>
      <c r="X74" s="217"/>
      <c r="Y74" s="218">
        <f>VLOOKUP(U74,射击技能,2,0)</f>
        <v>25</v>
      </c>
      <c r="Z74" s="218"/>
      <c r="AA74" s="218"/>
      <c r="AB74" s="218"/>
      <c r="AC74" s="218"/>
      <c r="AD74" s="218"/>
      <c r="AE74" s="218"/>
      <c r="AF74" s="218"/>
      <c r="AG74" s="234">
        <f t="shared" si="8"/>
        <v>25</v>
      </c>
      <c r="AH74" s="234"/>
      <c r="AI74" s="258"/>
      <c r="AJ74" s="138"/>
    </row>
    <row r="75" spans="1:36" x14ac:dyDescent="0.25">
      <c r="A75" s="34"/>
      <c r="B75" s="229" t="str">
        <f>角色卡模板!B22</f>
        <v>骑术</v>
      </c>
      <c r="C75" s="230"/>
      <c r="D75" s="230"/>
      <c r="E75" s="230"/>
      <c r="F75" s="230"/>
      <c r="G75" s="230"/>
      <c r="H75" s="174">
        <f t="shared" si="6"/>
        <v>5</v>
      </c>
      <c r="I75" s="174"/>
      <c r="J75" s="174"/>
      <c r="K75" s="174"/>
      <c r="L75" s="174"/>
      <c r="M75" s="174"/>
      <c r="N75" s="174"/>
      <c r="O75" s="174"/>
      <c r="P75" s="224">
        <f t="shared" si="9"/>
        <v>5</v>
      </c>
      <c r="Q75" s="224"/>
      <c r="R75" s="225"/>
      <c r="S75" s="169" t="str">
        <f>角色卡模板!B54</f>
        <v>射击</v>
      </c>
      <c r="T75" s="170"/>
      <c r="U75" s="231"/>
      <c r="V75" s="231"/>
      <c r="W75" s="231"/>
      <c r="X75" s="231"/>
      <c r="Y75" s="174"/>
      <c r="Z75" s="174"/>
      <c r="AA75" s="174"/>
      <c r="AB75" s="174"/>
      <c r="AC75" s="174"/>
      <c r="AD75" s="174"/>
      <c r="AE75" s="174"/>
      <c r="AF75" s="174"/>
      <c r="AG75" s="224">
        <f t="shared" si="8"/>
        <v>0</v>
      </c>
      <c r="AH75" s="224"/>
      <c r="AI75" s="252"/>
      <c r="AJ75" s="138"/>
    </row>
    <row r="76" spans="1:36" x14ac:dyDescent="0.25">
      <c r="A76" s="34"/>
      <c r="B76" s="216" t="str">
        <f>角色卡模板!B23</f>
        <v>汽车驾驶</v>
      </c>
      <c r="C76" s="217"/>
      <c r="D76" s="217"/>
      <c r="E76" s="217"/>
      <c r="F76" s="217"/>
      <c r="G76" s="217"/>
      <c r="H76" s="218">
        <f t="shared" si="6"/>
        <v>20</v>
      </c>
      <c r="I76" s="218"/>
      <c r="J76" s="218"/>
      <c r="K76" s="218"/>
      <c r="L76" s="218"/>
      <c r="M76" s="218"/>
      <c r="N76" s="218"/>
      <c r="O76" s="218"/>
      <c r="P76" s="234">
        <f t="shared" si="9"/>
        <v>20</v>
      </c>
      <c r="Q76" s="234"/>
      <c r="R76" s="235"/>
      <c r="S76" s="171" t="str">
        <f>角色卡模板!B55</f>
        <v>母语</v>
      </c>
      <c r="T76" s="172"/>
      <c r="U76" s="217"/>
      <c r="V76" s="217"/>
      <c r="W76" s="217"/>
      <c r="X76" s="217"/>
      <c r="Y76" s="218">
        <f>VLOOKUP(S76,总括技能,2,0)</f>
        <v>0</v>
      </c>
      <c r="Z76" s="218"/>
      <c r="AA76" s="218"/>
      <c r="AB76" s="218"/>
      <c r="AC76" s="218"/>
      <c r="AD76" s="218"/>
      <c r="AE76" s="218"/>
      <c r="AF76" s="218"/>
      <c r="AG76" s="234">
        <f t="shared" si="8"/>
        <v>0</v>
      </c>
      <c r="AH76" s="234"/>
      <c r="AI76" s="258"/>
      <c r="AJ76" s="138"/>
    </row>
    <row r="77" spans="1:36" x14ac:dyDescent="0.25">
      <c r="A77" s="34"/>
      <c r="B77" s="229" t="str">
        <f>角色卡模板!B24</f>
        <v>潜行</v>
      </c>
      <c r="C77" s="230"/>
      <c r="D77" s="230"/>
      <c r="E77" s="230"/>
      <c r="F77" s="230"/>
      <c r="G77" s="230"/>
      <c r="H77" s="174">
        <f t="shared" si="6"/>
        <v>20</v>
      </c>
      <c r="I77" s="174"/>
      <c r="J77" s="174"/>
      <c r="K77" s="174"/>
      <c r="L77" s="174"/>
      <c r="M77" s="174"/>
      <c r="N77" s="174"/>
      <c r="O77" s="174"/>
      <c r="P77" s="224">
        <f t="shared" si="9"/>
        <v>20</v>
      </c>
      <c r="Q77" s="224"/>
      <c r="R77" s="225"/>
      <c r="S77" s="169" t="str">
        <f>角色卡模板!B56</f>
        <v>语言</v>
      </c>
      <c r="T77" s="170"/>
      <c r="U77" s="231"/>
      <c r="V77" s="231"/>
      <c r="W77" s="231"/>
      <c r="X77" s="231"/>
      <c r="Y77" s="174">
        <f>VLOOKUP(S77,总括技能,2,0)</f>
        <v>1</v>
      </c>
      <c r="Z77" s="174"/>
      <c r="AA77" s="174"/>
      <c r="AB77" s="174"/>
      <c r="AC77" s="174"/>
      <c r="AD77" s="174"/>
      <c r="AE77" s="174"/>
      <c r="AF77" s="174"/>
      <c r="AG77" s="224">
        <f t="shared" si="8"/>
        <v>1</v>
      </c>
      <c r="AH77" s="224"/>
      <c r="AI77" s="252"/>
      <c r="AJ77" s="138"/>
    </row>
    <row r="78" spans="1:36" ht="15" customHeight="1" x14ac:dyDescent="0.25">
      <c r="A78" s="34"/>
      <c r="B78" s="216" t="str">
        <f>角色卡模板!B25</f>
        <v>乔装</v>
      </c>
      <c r="C78" s="217"/>
      <c r="D78" s="217"/>
      <c r="E78" s="217"/>
      <c r="F78" s="217"/>
      <c r="G78" s="217"/>
      <c r="H78" s="218">
        <f t="shared" si="6"/>
        <v>5</v>
      </c>
      <c r="I78" s="218"/>
      <c r="J78" s="218"/>
      <c r="K78" s="218"/>
      <c r="L78" s="218"/>
      <c r="M78" s="218"/>
      <c r="N78" s="218"/>
      <c r="O78" s="218"/>
      <c r="P78" s="234">
        <f t="shared" si="9"/>
        <v>5</v>
      </c>
      <c r="Q78" s="234"/>
      <c r="R78" s="235"/>
      <c r="S78" s="171" t="str">
        <f>角色卡模板!B57</f>
        <v>语言</v>
      </c>
      <c r="T78" s="172"/>
      <c r="U78" s="217"/>
      <c r="V78" s="217"/>
      <c r="W78" s="217"/>
      <c r="X78" s="217"/>
      <c r="Y78" s="218">
        <f>VLOOKUP(S78,总括技能,2,0)</f>
        <v>1</v>
      </c>
      <c r="Z78" s="218"/>
      <c r="AA78" s="218"/>
      <c r="AB78" s="218"/>
      <c r="AC78" s="218"/>
      <c r="AD78" s="218"/>
      <c r="AE78" s="218"/>
      <c r="AF78" s="218"/>
      <c r="AG78" s="234">
        <f t="shared" si="8"/>
        <v>1</v>
      </c>
      <c r="AH78" s="234"/>
      <c r="AI78" s="258"/>
      <c r="AJ78" s="138"/>
    </row>
    <row r="79" spans="1:36" ht="15" customHeight="1" x14ac:dyDescent="0.25">
      <c r="A79" s="34"/>
      <c r="B79" s="229" t="str">
        <f>角色卡模板!B26</f>
        <v>取悦</v>
      </c>
      <c r="C79" s="230"/>
      <c r="D79" s="230"/>
      <c r="E79" s="230"/>
      <c r="F79" s="230"/>
      <c r="G79" s="230"/>
      <c r="H79" s="174">
        <f t="shared" si="6"/>
        <v>15</v>
      </c>
      <c r="I79" s="174"/>
      <c r="J79" s="174"/>
      <c r="K79" s="174"/>
      <c r="L79" s="174"/>
      <c r="M79" s="174"/>
      <c r="N79" s="174"/>
      <c r="O79" s="174"/>
      <c r="P79" s="224">
        <f t="shared" si="9"/>
        <v>15</v>
      </c>
      <c r="Q79" s="224"/>
      <c r="R79" s="225"/>
      <c r="S79" s="169" t="str">
        <f>角色卡模板!B58</f>
        <v>语言</v>
      </c>
      <c r="T79" s="170"/>
      <c r="U79" s="231"/>
      <c r="V79" s="231"/>
      <c r="W79" s="231"/>
      <c r="X79" s="231"/>
      <c r="Y79" s="174">
        <f t="shared" ref="Y79:Y84" si="10">IF(U79="数学",10,VLOOKUP(S79,总括技能,2,0))</f>
        <v>1</v>
      </c>
      <c r="Z79" s="174"/>
      <c r="AA79" s="174"/>
      <c r="AB79" s="174"/>
      <c r="AC79" s="174"/>
      <c r="AD79" s="174"/>
      <c r="AE79" s="174"/>
      <c r="AF79" s="174"/>
      <c r="AG79" s="224">
        <f t="shared" si="8"/>
        <v>1</v>
      </c>
      <c r="AH79" s="224"/>
      <c r="AI79" s="252"/>
      <c r="AJ79" s="138"/>
    </row>
    <row r="80" spans="1:36" ht="15" customHeight="1" x14ac:dyDescent="0.25">
      <c r="A80" s="34"/>
      <c r="B80" s="216" t="str">
        <f>角色卡模板!B27</f>
        <v>人类学</v>
      </c>
      <c r="C80" s="217"/>
      <c r="D80" s="217"/>
      <c r="E80" s="217"/>
      <c r="F80" s="217"/>
      <c r="G80" s="217"/>
      <c r="H80" s="218">
        <f t="shared" si="6"/>
        <v>1</v>
      </c>
      <c r="I80" s="218"/>
      <c r="J80" s="218"/>
      <c r="K80" s="218"/>
      <c r="L80" s="218"/>
      <c r="M80" s="218"/>
      <c r="N80" s="218"/>
      <c r="O80" s="218"/>
      <c r="P80" s="234">
        <f t="shared" si="9"/>
        <v>1</v>
      </c>
      <c r="Q80" s="234"/>
      <c r="R80" s="235"/>
      <c r="S80" s="171" t="str">
        <f>角色卡模板!B59</f>
        <v>操纵</v>
      </c>
      <c r="T80" s="172"/>
      <c r="U80" s="217"/>
      <c r="V80" s="217"/>
      <c r="W80" s="217"/>
      <c r="X80" s="217"/>
      <c r="Y80" s="218">
        <f t="shared" si="10"/>
        <v>1</v>
      </c>
      <c r="Z80" s="218"/>
      <c r="AA80" s="218"/>
      <c r="AB80" s="218"/>
      <c r="AC80" s="218"/>
      <c r="AD80" s="218"/>
      <c r="AE80" s="218"/>
      <c r="AF80" s="218"/>
      <c r="AG80" s="234">
        <f t="shared" si="8"/>
        <v>1</v>
      </c>
      <c r="AH80" s="234"/>
      <c r="AI80" s="258"/>
      <c r="AJ80" s="138"/>
    </row>
    <row r="81" spans="1:56" s="35" customFormat="1" x14ac:dyDescent="0.25">
      <c r="A81" s="34"/>
      <c r="B81" s="229" t="str">
        <f>角色卡模板!B28</f>
        <v>闪避</v>
      </c>
      <c r="C81" s="230"/>
      <c r="D81" s="230"/>
      <c r="E81" s="230"/>
      <c r="F81" s="230"/>
      <c r="G81" s="230"/>
      <c r="H81" s="174">
        <f t="shared" si="6"/>
        <v>0</v>
      </c>
      <c r="I81" s="174"/>
      <c r="J81" s="174"/>
      <c r="K81" s="174"/>
      <c r="L81" s="174"/>
      <c r="M81" s="174"/>
      <c r="N81" s="174"/>
      <c r="O81" s="174"/>
      <c r="P81" s="224">
        <f t="shared" si="9"/>
        <v>0</v>
      </c>
      <c r="Q81" s="224"/>
      <c r="R81" s="225"/>
      <c r="S81" s="169" t="str">
        <f>角色卡模板!B60</f>
        <v>科学</v>
      </c>
      <c r="T81" s="170"/>
      <c r="U81" s="231"/>
      <c r="V81" s="231"/>
      <c r="W81" s="231"/>
      <c r="X81" s="231"/>
      <c r="Y81" s="174">
        <f t="shared" si="10"/>
        <v>1</v>
      </c>
      <c r="Z81" s="174"/>
      <c r="AA81" s="174"/>
      <c r="AB81" s="174"/>
      <c r="AC81" s="174"/>
      <c r="AD81" s="174"/>
      <c r="AE81" s="174"/>
      <c r="AF81" s="174"/>
      <c r="AG81" s="224">
        <f t="shared" si="8"/>
        <v>1</v>
      </c>
      <c r="AH81" s="224"/>
      <c r="AI81" s="252"/>
      <c r="AJ81" s="138"/>
      <c r="AK81" s="146"/>
      <c r="AL81" s="146"/>
      <c r="AM81" s="146"/>
      <c r="AN81" s="132"/>
      <c r="AO81" s="132"/>
      <c r="AP81" s="132"/>
      <c r="AQ81" s="132"/>
      <c r="AR81" s="132"/>
      <c r="AS81" s="132"/>
      <c r="AT81" s="132"/>
      <c r="AU81" s="132"/>
      <c r="AV81" s="132"/>
      <c r="AW81" s="132"/>
      <c r="AX81" s="132"/>
      <c r="AY81" s="132"/>
      <c r="AZ81" s="132"/>
      <c r="BA81" s="132"/>
      <c r="BB81" s="132"/>
      <c r="BC81" s="132"/>
      <c r="BD81" s="132"/>
    </row>
    <row r="82" spans="1:56" s="35" customFormat="1" x14ac:dyDescent="0.25">
      <c r="A82" s="34"/>
      <c r="B82" s="216" t="str">
        <f>角色卡模板!B29</f>
        <v>神秘学</v>
      </c>
      <c r="C82" s="217"/>
      <c r="D82" s="217"/>
      <c r="E82" s="217"/>
      <c r="F82" s="217"/>
      <c r="G82" s="217"/>
      <c r="H82" s="218">
        <f t="shared" si="6"/>
        <v>5</v>
      </c>
      <c r="I82" s="218"/>
      <c r="J82" s="218"/>
      <c r="K82" s="218"/>
      <c r="L82" s="218"/>
      <c r="M82" s="218"/>
      <c r="N82" s="218"/>
      <c r="O82" s="218"/>
      <c r="P82" s="234">
        <f t="shared" si="9"/>
        <v>5</v>
      </c>
      <c r="Q82" s="234"/>
      <c r="R82" s="235"/>
      <c r="S82" s="171" t="str">
        <f>角色卡模板!B61</f>
        <v>科学</v>
      </c>
      <c r="T82" s="172"/>
      <c r="U82" s="217"/>
      <c r="V82" s="217"/>
      <c r="W82" s="217"/>
      <c r="X82" s="217"/>
      <c r="Y82" s="218">
        <f t="shared" si="10"/>
        <v>1</v>
      </c>
      <c r="Z82" s="218"/>
      <c r="AA82" s="218"/>
      <c r="AB82" s="218"/>
      <c r="AC82" s="218"/>
      <c r="AD82" s="218"/>
      <c r="AE82" s="218"/>
      <c r="AF82" s="218"/>
      <c r="AG82" s="234">
        <f t="shared" si="8"/>
        <v>1</v>
      </c>
      <c r="AH82" s="234"/>
      <c r="AI82" s="258"/>
      <c r="AJ82" s="138"/>
      <c r="AK82" s="146"/>
      <c r="AL82" s="146"/>
      <c r="AM82" s="146"/>
      <c r="AN82" s="132"/>
      <c r="AO82" s="132"/>
      <c r="AP82" s="132"/>
      <c r="AQ82" s="132"/>
      <c r="AR82" s="132"/>
      <c r="AS82" s="132"/>
      <c r="AT82" s="132"/>
      <c r="AU82" s="132"/>
      <c r="AV82" s="132"/>
      <c r="AW82" s="132"/>
      <c r="AX82" s="132"/>
      <c r="AY82" s="132"/>
      <c r="AZ82" s="132"/>
      <c r="BA82" s="132"/>
      <c r="BB82" s="132"/>
      <c r="BC82" s="132"/>
      <c r="BD82" s="132"/>
    </row>
    <row r="83" spans="1:56" s="35" customFormat="1" x14ac:dyDescent="0.25">
      <c r="A83" s="34"/>
      <c r="B83" s="229" t="str">
        <f>角色卡模板!B30</f>
        <v>说服</v>
      </c>
      <c r="C83" s="230"/>
      <c r="D83" s="230"/>
      <c r="E83" s="230"/>
      <c r="F83" s="230"/>
      <c r="G83" s="230"/>
      <c r="H83" s="174">
        <f t="shared" si="6"/>
        <v>10</v>
      </c>
      <c r="I83" s="174"/>
      <c r="J83" s="174"/>
      <c r="K83" s="174"/>
      <c r="L83" s="174"/>
      <c r="M83" s="174"/>
      <c r="N83" s="174"/>
      <c r="O83" s="174"/>
      <c r="P83" s="224">
        <f t="shared" si="9"/>
        <v>10</v>
      </c>
      <c r="Q83" s="224"/>
      <c r="R83" s="225"/>
      <c r="S83" s="169" t="str">
        <f>角色卡模板!B62</f>
        <v>科学</v>
      </c>
      <c r="T83" s="170"/>
      <c r="U83" s="231"/>
      <c r="V83" s="231"/>
      <c r="W83" s="231"/>
      <c r="X83" s="231"/>
      <c r="Y83" s="174">
        <f t="shared" si="10"/>
        <v>1</v>
      </c>
      <c r="Z83" s="174"/>
      <c r="AA83" s="174"/>
      <c r="AB83" s="174"/>
      <c r="AC83" s="174"/>
      <c r="AD83" s="174"/>
      <c r="AE83" s="174"/>
      <c r="AF83" s="174"/>
      <c r="AG83" s="224">
        <f t="shared" si="8"/>
        <v>1</v>
      </c>
      <c r="AH83" s="224"/>
      <c r="AI83" s="252"/>
      <c r="AJ83" s="138"/>
      <c r="AK83" s="146"/>
      <c r="AL83" s="146"/>
      <c r="AM83" s="146"/>
      <c r="AN83" s="132"/>
      <c r="AO83" s="132"/>
      <c r="AP83" s="132"/>
      <c r="AQ83" s="132"/>
      <c r="AR83" s="132"/>
      <c r="AS83" s="132"/>
      <c r="AT83" s="132"/>
      <c r="AU83" s="132"/>
      <c r="AV83" s="132"/>
      <c r="AW83" s="132"/>
      <c r="AX83" s="132"/>
      <c r="AY83" s="132"/>
      <c r="AZ83" s="132"/>
      <c r="BA83" s="132"/>
      <c r="BB83" s="132"/>
      <c r="BC83" s="132"/>
      <c r="BD83" s="132"/>
    </row>
    <row r="84" spans="1:56" s="35" customFormat="1" x14ac:dyDescent="0.25">
      <c r="A84" s="34"/>
      <c r="B84" s="216" t="str">
        <f>角色卡模板!B31</f>
        <v>锁匠</v>
      </c>
      <c r="C84" s="217"/>
      <c r="D84" s="217"/>
      <c r="E84" s="217"/>
      <c r="F84" s="217"/>
      <c r="G84" s="217"/>
      <c r="H84" s="218">
        <f t="shared" si="6"/>
        <v>1</v>
      </c>
      <c r="I84" s="218"/>
      <c r="J84" s="218"/>
      <c r="K84" s="218"/>
      <c r="L84" s="218"/>
      <c r="M84" s="218"/>
      <c r="N84" s="218"/>
      <c r="O84" s="218"/>
      <c r="P84" s="234">
        <f t="shared" si="9"/>
        <v>1</v>
      </c>
      <c r="Q84" s="234"/>
      <c r="R84" s="235"/>
      <c r="S84" s="171" t="str">
        <f>角色卡模板!B63</f>
        <v>生存</v>
      </c>
      <c r="T84" s="172"/>
      <c r="U84" s="217"/>
      <c r="V84" s="217"/>
      <c r="W84" s="217"/>
      <c r="X84" s="217"/>
      <c r="Y84" s="218">
        <f t="shared" si="10"/>
        <v>10</v>
      </c>
      <c r="Z84" s="218"/>
      <c r="AA84" s="218"/>
      <c r="AB84" s="218"/>
      <c r="AC84" s="218"/>
      <c r="AD84" s="218"/>
      <c r="AE84" s="218"/>
      <c r="AF84" s="218"/>
      <c r="AG84" s="234">
        <f t="shared" si="8"/>
        <v>10</v>
      </c>
      <c r="AH84" s="234"/>
      <c r="AI84" s="258"/>
      <c r="AJ84" s="138"/>
      <c r="AK84" s="146"/>
      <c r="AL84" s="146"/>
      <c r="AM84" s="146"/>
      <c r="AN84" s="132"/>
      <c r="AO84" s="132"/>
      <c r="AP84" s="132"/>
      <c r="AQ84" s="132"/>
      <c r="AR84" s="132"/>
      <c r="AS84" s="132"/>
      <c r="AT84" s="132"/>
      <c r="AU84" s="132"/>
      <c r="AV84" s="132"/>
      <c r="AW84" s="132"/>
      <c r="AX84" s="132"/>
      <c r="AY84" s="132"/>
      <c r="AZ84" s="132"/>
      <c r="BA84" s="132"/>
      <c r="BB84" s="132"/>
      <c r="BC84" s="132"/>
      <c r="BD84" s="132"/>
    </row>
    <row r="85" spans="1:56" s="35" customFormat="1" x14ac:dyDescent="0.25">
      <c r="A85" s="34"/>
      <c r="B85" s="229" t="str">
        <f>角色卡模板!B32</f>
        <v>跳跃</v>
      </c>
      <c r="C85" s="230"/>
      <c r="D85" s="230"/>
      <c r="E85" s="230"/>
      <c r="F85" s="230"/>
      <c r="G85" s="230"/>
      <c r="H85" s="174">
        <f t="shared" si="6"/>
        <v>20</v>
      </c>
      <c r="I85" s="174"/>
      <c r="J85" s="174"/>
      <c r="K85" s="174"/>
      <c r="L85" s="174"/>
      <c r="M85" s="174"/>
      <c r="N85" s="174"/>
      <c r="O85" s="174"/>
      <c r="P85" s="224">
        <f t="shared" si="9"/>
        <v>20</v>
      </c>
      <c r="Q85" s="224"/>
      <c r="R85" s="225"/>
      <c r="S85" s="219" t="str">
        <f>角色卡模板!B64</f>
        <v/>
      </c>
      <c r="T85" s="220"/>
      <c r="U85" s="231"/>
      <c r="V85" s="231"/>
      <c r="W85" s="231"/>
      <c r="X85" s="231"/>
      <c r="Y85" s="174"/>
      <c r="Z85" s="174"/>
      <c r="AA85" s="174"/>
      <c r="AB85" s="174"/>
      <c r="AC85" s="174"/>
      <c r="AD85" s="174"/>
      <c r="AE85" s="174"/>
      <c r="AF85" s="174"/>
      <c r="AG85" s="224">
        <f t="shared" si="8"/>
        <v>0</v>
      </c>
      <c r="AH85" s="224"/>
      <c r="AI85" s="252"/>
      <c r="AJ85" s="138"/>
      <c r="AK85" s="146"/>
      <c r="AL85" s="146"/>
      <c r="AM85" s="146"/>
      <c r="AN85" s="132"/>
      <c r="AO85" s="132"/>
      <c r="AP85" s="132"/>
      <c r="AQ85" s="132"/>
      <c r="AR85" s="132"/>
      <c r="AS85" s="132"/>
      <c r="AT85" s="132"/>
      <c r="AU85" s="132"/>
      <c r="AV85" s="132"/>
      <c r="AW85" s="132"/>
      <c r="AX85" s="132"/>
      <c r="AY85" s="132"/>
      <c r="AZ85" s="132"/>
      <c r="BA85" s="132"/>
      <c r="BB85" s="132"/>
      <c r="BC85" s="132"/>
      <c r="BD85" s="132"/>
    </row>
    <row r="86" spans="1:56" s="35" customFormat="1" x14ac:dyDescent="0.25">
      <c r="A86" s="34"/>
      <c r="B86" s="216" t="str">
        <f>角色卡模板!B33</f>
        <v>投掷</v>
      </c>
      <c r="C86" s="217"/>
      <c r="D86" s="217"/>
      <c r="E86" s="217"/>
      <c r="F86" s="217"/>
      <c r="G86" s="217"/>
      <c r="H86" s="218">
        <f t="shared" si="6"/>
        <v>20</v>
      </c>
      <c r="I86" s="218"/>
      <c r="J86" s="218"/>
      <c r="K86" s="218"/>
      <c r="L86" s="218"/>
      <c r="M86" s="218"/>
      <c r="N86" s="218"/>
      <c r="O86" s="218"/>
      <c r="P86" s="234">
        <f t="shared" si="9"/>
        <v>20</v>
      </c>
      <c r="Q86" s="234"/>
      <c r="R86" s="235"/>
      <c r="S86" s="232" t="str">
        <f>角色卡模板!B65</f>
        <v/>
      </c>
      <c r="T86" s="233"/>
      <c r="U86" s="217"/>
      <c r="V86" s="217"/>
      <c r="W86" s="217"/>
      <c r="X86" s="217"/>
      <c r="Y86" s="218"/>
      <c r="Z86" s="218"/>
      <c r="AA86" s="218"/>
      <c r="AB86" s="218"/>
      <c r="AC86" s="218"/>
      <c r="AD86" s="218"/>
      <c r="AE86" s="218"/>
      <c r="AF86" s="218"/>
      <c r="AG86" s="234">
        <f t="shared" si="8"/>
        <v>0</v>
      </c>
      <c r="AH86" s="234"/>
      <c r="AI86" s="258"/>
      <c r="AJ86" s="138"/>
      <c r="AK86" s="146"/>
      <c r="AL86" s="146"/>
      <c r="AM86" s="146"/>
      <c r="AN86" s="132"/>
      <c r="AO86" s="132"/>
      <c r="AP86" s="132"/>
      <c r="AQ86" s="132"/>
      <c r="AR86" s="132"/>
      <c r="AS86" s="132"/>
      <c r="AT86" s="132"/>
      <c r="AU86" s="132"/>
      <c r="AV86" s="132"/>
      <c r="AW86" s="132"/>
      <c r="AX86" s="132"/>
      <c r="AY86" s="132"/>
      <c r="AZ86" s="132"/>
      <c r="BA86" s="132"/>
      <c r="BB86" s="132"/>
      <c r="BC86" s="132"/>
      <c r="BD86" s="132"/>
    </row>
    <row r="87" spans="1:56" s="35" customFormat="1" x14ac:dyDescent="0.25">
      <c r="A87" s="34"/>
      <c r="B87" s="229" t="str">
        <f>角色卡模板!B34</f>
        <v>图书馆使用</v>
      </c>
      <c r="C87" s="230"/>
      <c r="D87" s="230"/>
      <c r="E87" s="230"/>
      <c r="F87" s="230"/>
      <c r="G87" s="230"/>
      <c r="H87" s="174">
        <f t="shared" si="6"/>
        <v>20</v>
      </c>
      <c r="I87" s="174"/>
      <c r="J87" s="174"/>
      <c r="K87" s="174"/>
      <c r="L87" s="174"/>
      <c r="M87" s="174"/>
      <c r="N87" s="174"/>
      <c r="O87" s="174"/>
      <c r="P87" s="224">
        <f t="shared" si="9"/>
        <v>20</v>
      </c>
      <c r="Q87" s="224"/>
      <c r="R87" s="225"/>
      <c r="S87" s="219" t="str">
        <f>角色卡模板!B66</f>
        <v/>
      </c>
      <c r="T87" s="220"/>
      <c r="U87" s="231"/>
      <c r="V87" s="231"/>
      <c r="W87" s="231"/>
      <c r="X87" s="231"/>
      <c r="Y87" s="174"/>
      <c r="Z87" s="174"/>
      <c r="AA87" s="174"/>
      <c r="AB87" s="174"/>
      <c r="AC87" s="174"/>
      <c r="AD87" s="174"/>
      <c r="AE87" s="174"/>
      <c r="AF87" s="174"/>
      <c r="AG87" s="224">
        <f t="shared" si="8"/>
        <v>0</v>
      </c>
      <c r="AH87" s="224"/>
      <c r="AI87" s="252"/>
      <c r="AJ87" s="138"/>
      <c r="AK87" s="146"/>
      <c r="AL87" s="146"/>
      <c r="AM87" s="146"/>
      <c r="AN87" s="132"/>
      <c r="AO87" s="132"/>
      <c r="AP87" s="132"/>
      <c r="AQ87" s="132"/>
      <c r="AR87" s="132"/>
      <c r="AS87" s="132"/>
      <c r="AT87" s="132"/>
      <c r="AU87" s="132"/>
      <c r="AV87" s="132"/>
      <c r="AW87" s="132"/>
      <c r="AX87" s="132"/>
      <c r="AY87" s="132"/>
      <c r="AZ87" s="132"/>
      <c r="BA87" s="132"/>
      <c r="BB87" s="132"/>
      <c r="BC87" s="132"/>
      <c r="BD87" s="132"/>
    </row>
    <row r="88" spans="1:56" s="35" customFormat="1" ht="15.6" thickBot="1" x14ac:dyDescent="0.3">
      <c r="A88" s="34"/>
      <c r="B88" s="254" t="str">
        <f>角色卡模板!B35</f>
        <v>心理学</v>
      </c>
      <c r="C88" s="255"/>
      <c r="D88" s="255"/>
      <c r="E88" s="255"/>
      <c r="F88" s="255"/>
      <c r="G88" s="255"/>
      <c r="H88" s="226">
        <f t="shared" si="6"/>
        <v>10</v>
      </c>
      <c r="I88" s="226"/>
      <c r="J88" s="226"/>
      <c r="K88" s="226"/>
      <c r="L88" s="226"/>
      <c r="M88" s="226"/>
      <c r="N88" s="226"/>
      <c r="O88" s="226"/>
      <c r="P88" s="227">
        <f t="shared" si="9"/>
        <v>10</v>
      </c>
      <c r="Q88" s="227"/>
      <c r="R88" s="228"/>
      <c r="S88" s="221" t="str">
        <f>"剩余本职点数="&amp;LOOKUP(OccNo,职业列表!A2:A116,职业列表!F2:F116)-SUM(J57:K88,AA57:AB88)&amp;"    剩余兴趣点数="&amp;INT*2-SUM(L57:M88,AC57:AD88)&amp;"    已用调整点数="&amp;SUM(N57:O88,AE57:AF87)</f>
        <v>剩余本职点数=0    剩余兴趣点数=0    已用调整点数=0</v>
      </c>
      <c r="T88" s="222"/>
      <c r="U88" s="222"/>
      <c r="V88" s="222"/>
      <c r="W88" s="222"/>
      <c r="X88" s="222"/>
      <c r="Y88" s="222"/>
      <c r="Z88" s="222"/>
      <c r="AA88" s="222"/>
      <c r="AB88" s="222"/>
      <c r="AC88" s="222"/>
      <c r="AD88" s="222"/>
      <c r="AE88" s="222"/>
      <c r="AF88" s="222"/>
      <c r="AG88" s="222"/>
      <c r="AH88" s="222"/>
      <c r="AI88" s="223"/>
      <c r="AJ88" s="137"/>
      <c r="AK88" s="146"/>
      <c r="AL88" s="146"/>
      <c r="AM88" s="146"/>
      <c r="AN88" s="132"/>
      <c r="AO88" s="132"/>
      <c r="AP88" s="132"/>
      <c r="AQ88" s="132"/>
      <c r="AR88" s="132"/>
      <c r="AS88" s="132"/>
      <c r="AT88" s="132"/>
      <c r="AU88" s="132"/>
      <c r="AV88" s="132"/>
      <c r="AW88" s="132"/>
      <c r="AX88" s="132"/>
      <c r="AY88" s="132"/>
      <c r="AZ88" s="132"/>
      <c r="BA88" s="132"/>
      <c r="BB88" s="132"/>
      <c r="BC88" s="132"/>
      <c r="BD88" s="132"/>
    </row>
    <row r="89" spans="1:56" s="35" customFormat="1" x14ac:dyDescent="0.25">
      <c r="A89" s="34"/>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c r="AA89" s="158"/>
      <c r="AB89" s="158"/>
      <c r="AC89" s="158"/>
      <c r="AD89" s="158"/>
      <c r="AE89" s="158"/>
      <c r="AF89" s="158"/>
      <c r="AG89" s="158"/>
      <c r="AH89" s="158"/>
      <c r="AI89" s="158"/>
      <c r="AJ89" s="137"/>
      <c r="AK89" s="146"/>
      <c r="AL89" s="146"/>
      <c r="AM89" s="146"/>
      <c r="AN89" s="132"/>
      <c r="AO89" s="132"/>
      <c r="AP89" s="132"/>
      <c r="AQ89" s="132"/>
      <c r="AR89" s="132"/>
      <c r="AS89" s="132"/>
      <c r="AT89" s="132"/>
      <c r="AU89" s="132"/>
      <c r="AV89" s="132"/>
      <c r="AW89" s="132"/>
      <c r="AX89" s="132"/>
      <c r="AY89" s="132"/>
      <c r="AZ89" s="132"/>
      <c r="BA89" s="132"/>
      <c r="BB89" s="132"/>
      <c r="BC89" s="132"/>
      <c r="BD89" s="132"/>
    </row>
    <row r="90" spans="1:56" s="35" customFormat="1" ht="27.6" x14ac:dyDescent="0.25">
      <c r="A90" s="34"/>
      <c r="B90" s="191" t="s">
        <v>922</v>
      </c>
      <c r="C90" s="191"/>
      <c r="D90" s="191"/>
      <c r="E90" s="191"/>
      <c r="F90" s="191"/>
      <c r="G90" s="191"/>
      <c r="H90" s="191"/>
      <c r="I90" s="191"/>
      <c r="J90" s="191"/>
      <c r="K90" s="191"/>
      <c r="L90" s="191"/>
      <c r="M90" s="191"/>
      <c r="N90" s="191"/>
      <c r="O90" s="191"/>
      <c r="P90" s="191"/>
      <c r="Q90" s="191"/>
      <c r="R90" s="192"/>
      <c r="S90" s="192"/>
      <c r="T90" s="192"/>
      <c r="U90" s="192"/>
      <c r="V90" s="192"/>
      <c r="W90" s="192"/>
      <c r="X90" s="192"/>
      <c r="Y90" s="192"/>
      <c r="Z90" s="192"/>
      <c r="AA90" s="192"/>
      <c r="AB90" s="192"/>
      <c r="AC90" s="192"/>
      <c r="AD90" s="192"/>
      <c r="AE90" s="192"/>
      <c r="AF90" s="192"/>
      <c r="AG90" s="192"/>
      <c r="AH90" s="192"/>
      <c r="AI90" s="192"/>
      <c r="AJ90" s="137"/>
      <c r="AK90" s="146"/>
      <c r="AL90" s="146"/>
      <c r="AM90" s="146"/>
      <c r="AN90" s="132"/>
      <c r="AO90" s="132"/>
      <c r="AP90" s="132"/>
      <c r="AQ90" s="132"/>
      <c r="AR90" s="132"/>
      <c r="AS90" s="132"/>
      <c r="AT90" s="132"/>
      <c r="AU90" s="132"/>
      <c r="AV90" s="132"/>
      <c r="AW90" s="132"/>
      <c r="AX90" s="132"/>
      <c r="AY90" s="132"/>
      <c r="AZ90" s="132"/>
      <c r="BA90" s="132"/>
      <c r="BB90" s="132"/>
      <c r="BC90" s="132"/>
      <c r="BD90" s="132"/>
    </row>
    <row r="91" spans="1:56" s="35" customFormat="1" ht="15.6" customHeight="1" x14ac:dyDescent="0.25">
      <c r="A91" s="34"/>
      <c r="B91" s="158" t="s">
        <v>1127</v>
      </c>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8"/>
      <c r="AF91" s="158"/>
      <c r="AG91" s="158"/>
      <c r="AH91" s="158"/>
      <c r="AI91" s="158"/>
      <c r="AJ91" s="137"/>
      <c r="AK91" s="146"/>
      <c r="AL91" s="146"/>
      <c r="AM91" s="146"/>
      <c r="AN91" s="132"/>
      <c r="AO91" s="132"/>
      <c r="AP91" s="132"/>
      <c r="AQ91" s="132"/>
      <c r="AR91" s="132"/>
      <c r="AS91" s="132"/>
      <c r="AT91" s="132"/>
      <c r="AU91" s="132"/>
      <c r="AV91" s="132"/>
      <c r="AW91" s="132"/>
      <c r="AX91" s="132"/>
      <c r="AY91" s="132"/>
      <c r="AZ91" s="132"/>
      <c r="BA91" s="132"/>
      <c r="BB91" s="132"/>
      <c r="BC91" s="132"/>
      <c r="BD91" s="132"/>
    </row>
    <row r="92" spans="1:56" s="35" customFormat="1" ht="15.6" x14ac:dyDescent="0.25">
      <c r="A92" s="34"/>
      <c r="B92" s="158" t="s">
        <v>1126</v>
      </c>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8"/>
      <c r="AD92" s="158"/>
      <c r="AE92" s="158"/>
      <c r="AF92" s="158"/>
      <c r="AG92" s="158"/>
      <c r="AH92" s="158"/>
      <c r="AI92" s="158"/>
      <c r="AJ92" s="137"/>
      <c r="AK92" s="146"/>
      <c r="AL92" s="146"/>
      <c r="AM92" s="146"/>
      <c r="AN92" s="132"/>
      <c r="AO92" s="132"/>
      <c r="AP92" s="132"/>
      <c r="AQ92" s="132"/>
      <c r="AR92" s="132"/>
      <c r="AS92" s="132"/>
      <c r="AT92" s="132"/>
      <c r="AU92" s="132"/>
      <c r="AV92" s="132"/>
      <c r="AW92" s="132"/>
      <c r="AX92" s="132"/>
      <c r="AY92" s="132"/>
      <c r="AZ92" s="132"/>
      <c r="BA92" s="132"/>
      <c r="BB92" s="132"/>
      <c r="BC92" s="132"/>
      <c r="BD92" s="132"/>
    </row>
    <row r="93" spans="1:56" s="35" customFormat="1" x14ac:dyDescent="0.25">
      <c r="A93" s="34"/>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c r="AH93" s="137"/>
      <c r="AI93" s="137"/>
      <c r="AJ93" s="137"/>
      <c r="AK93" s="146"/>
      <c r="AL93" s="146"/>
      <c r="AM93" s="146"/>
      <c r="AN93" s="132"/>
      <c r="AO93" s="132"/>
      <c r="AP93" s="132"/>
      <c r="AQ93" s="132"/>
      <c r="AR93" s="132"/>
      <c r="AS93" s="132"/>
      <c r="AT93" s="132"/>
      <c r="AU93" s="132"/>
      <c r="AV93" s="132"/>
      <c r="AW93" s="132"/>
      <c r="AX93" s="132"/>
      <c r="AY93" s="132"/>
      <c r="AZ93" s="132"/>
      <c r="BA93" s="132"/>
      <c r="BB93" s="132"/>
      <c r="BC93" s="132"/>
      <c r="BD93" s="132"/>
    </row>
    <row r="94" spans="1:56" s="35" customFormat="1" ht="27.6" x14ac:dyDescent="0.25">
      <c r="A94" s="34"/>
      <c r="B94" s="191" t="s">
        <v>923</v>
      </c>
      <c r="C94" s="191"/>
      <c r="D94" s="191"/>
      <c r="E94" s="191"/>
      <c r="F94" s="191"/>
      <c r="G94" s="191"/>
      <c r="H94" s="191"/>
      <c r="I94" s="191"/>
      <c r="J94" s="191"/>
      <c r="K94" s="191"/>
      <c r="L94" s="191"/>
      <c r="M94" s="191"/>
      <c r="N94" s="191"/>
      <c r="O94" s="191"/>
      <c r="P94" s="191"/>
      <c r="Q94" s="191"/>
      <c r="R94" s="192"/>
      <c r="S94" s="192"/>
      <c r="T94" s="192"/>
      <c r="U94" s="192"/>
      <c r="V94" s="192"/>
      <c r="W94" s="192"/>
      <c r="X94" s="192"/>
      <c r="Y94" s="192"/>
      <c r="Z94" s="192"/>
      <c r="AA94" s="192"/>
      <c r="AB94" s="192"/>
      <c r="AC94" s="192"/>
      <c r="AD94" s="192"/>
      <c r="AE94" s="192"/>
      <c r="AF94" s="192"/>
      <c r="AG94" s="192"/>
      <c r="AH94" s="192"/>
      <c r="AI94" s="192"/>
      <c r="AJ94" s="137"/>
      <c r="AK94" s="146"/>
      <c r="AL94" s="146"/>
      <c r="AM94" s="146"/>
      <c r="AN94" s="132"/>
      <c r="AO94" s="132"/>
      <c r="AP94" s="132"/>
      <c r="AQ94" s="132"/>
      <c r="AR94" s="132"/>
      <c r="AS94" s="132"/>
      <c r="AT94" s="132"/>
      <c r="AU94" s="132"/>
      <c r="AV94" s="132"/>
      <c r="AW94" s="132"/>
      <c r="AX94" s="132"/>
      <c r="AY94" s="132"/>
      <c r="AZ94" s="132"/>
      <c r="BA94" s="132"/>
      <c r="BB94" s="132"/>
      <c r="BC94" s="132"/>
      <c r="BD94" s="132"/>
    </row>
    <row r="95" spans="1:56" s="35" customFormat="1" x14ac:dyDescent="0.25">
      <c r="A95" s="34"/>
      <c r="B95" s="158" t="str">
        <f>"调查员的现金和资产与“"&amp;IF(模板选择="黑暗时代","地位","信用评级")&amp;"”技能有关，这部分内容请参考“现金和资产表”。"</f>
        <v>调查员的现金和资产与“信用评级”技能有关，这部分内容请参考“现金和资产表”。</v>
      </c>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8"/>
      <c r="AF95" s="158"/>
      <c r="AG95" s="158"/>
      <c r="AH95" s="158"/>
      <c r="AI95" s="158"/>
      <c r="AJ95" s="137"/>
      <c r="AK95" s="146"/>
      <c r="AL95" s="146"/>
      <c r="AM95" s="146"/>
      <c r="AN95" s="132"/>
      <c r="AO95" s="132"/>
      <c r="AP95" s="132"/>
      <c r="AQ95" s="132"/>
      <c r="AR95" s="132"/>
      <c r="AS95" s="132"/>
      <c r="AT95" s="132"/>
      <c r="AU95" s="132"/>
      <c r="AV95" s="132"/>
      <c r="AW95" s="132"/>
      <c r="AX95" s="132"/>
      <c r="AY95" s="132"/>
      <c r="AZ95" s="132"/>
      <c r="BA95" s="132"/>
      <c r="BB95" s="132"/>
      <c r="BC95" s="132"/>
      <c r="BD95" s="132"/>
    </row>
    <row r="96" spans="1:56" s="35" customFormat="1" x14ac:dyDescent="0.25">
      <c r="A96" s="34"/>
      <c r="B96" s="158" t="s">
        <v>1198</v>
      </c>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8"/>
      <c r="AF96" s="158"/>
      <c r="AG96" s="158"/>
      <c r="AH96" s="158"/>
      <c r="AI96" s="158"/>
      <c r="AJ96" s="137"/>
      <c r="AK96" s="146"/>
      <c r="AL96" s="146"/>
      <c r="AM96" s="146"/>
      <c r="AN96" s="132"/>
      <c r="AO96" s="132"/>
      <c r="AP96" s="132"/>
      <c r="AQ96" s="132"/>
      <c r="AR96" s="132"/>
      <c r="AS96" s="132"/>
      <c r="AT96" s="132"/>
      <c r="AU96" s="132"/>
      <c r="AV96" s="132"/>
      <c r="AW96" s="132"/>
      <c r="AX96" s="132"/>
      <c r="AY96" s="132"/>
      <c r="AZ96" s="132"/>
      <c r="BA96" s="132"/>
      <c r="BB96" s="132"/>
      <c r="BC96" s="132"/>
      <c r="BD96" s="132"/>
    </row>
    <row r="97" spans="1:56" s="35" customFormat="1" x14ac:dyDescent="0.25">
      <c r="A97" s="34"/>
      <c r="B97" s="158" t="s">
        <v>1199</v>
      </c>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c r="AA97" s="158"/>
      <c r="AB97" s="158"/>
      <c r="AC97" s="158"/>
      <c r="AD97" s="158"/>
      <c r="AE97" s="158"/>
      <c r="AF97" s="158"/>
      <c r="AG97" s="158"/>
      <c r="AH97" s="158"/>
      <c r="AI97" s="158"/>
      <c r="AJ97" s="137"/>
      <c r="AK97" s="146"/>
      <c r="AL97" s="146"/>
      <c r="AM97" s="146"/>
      <c r="AN97" s="132"/>
      <c r="AO97" s="132"/>
      <c r="AP97" s="132"/>
      <c r="AQ97" s="132"/>
      <c r="AR97" s="132"/>
      <c r="AS97" s="132"/>
      <c r="AT97" s="132"/>
      <c r="AU97" s="132"/>
      <c r="AV97" s="132"/>
      <c r="AW97" s="132"/>
      <c r="AX97" s="132"/>
      <c r="AY97" s="132"/>
      <c r="AZ97" s="132"/>
      <c r="BA97" s="132"/>
      <c r="BB97" s="132"/>
      <c r="BC97" s="132"/>
      <c r="BD97" s="132"/>
    </row>
    <row r="98" spans="1:56" s="35" customFormat="1" x14ac:dyDescent="0.25">
      <c r="A98" s="34"/>
      <c r="B98" s="158" t="s">
        <v>1128</v>
      </c>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c r="AA98" s="158"/>
      <c r="AB98" s="158"/>
      <c r="AC98" s="158"/>
      <c r="AD98" s="158"/>
      <c r="AE98" s="158"/>
      <c r="AF98" s="158"/>
      <c r="AG98" s="158"/>
      <c r="AH98" s="158"/>
      <c r="AI98" s="158"/>
      <c r="AJ98" s="137"/>
      <c r="AK98" s="146"/>
      <c r="AL98" s="146"/>
      <c r="AM98" s="146"/>
      <c r="AN98" s="132"/>
      <c r="AO98" s="132"/>
      <c r="AP98" s="132"/>
      <c r="AQ98" s="132"/>
      <c r="AR98" s="132"/>
      <c r="AS98" s="132"/>
      <c r="AT98" s="132"/>
      <c r="AU98" s="132"/>
      <c r="AV98" s="132"/>
      <c r="AW98" s="132"/>
      <c r="AX98" s="132"/>
      <c r="AY98" s="132"/>
      <c r="AZ98" s="132"/>
      <c r="BA98" s="132"/>
      <c r="BB98" s="132"/>
      <c r="BC98" s="132"/>
      <c r="BD98" s="132"/>
    </row>
    <row r="99" spans="1:56" s="35" customFormat="1" x14ac:dyDescent="0.25">
      <c r="A99" s="34"/>
      <c r="B99" s="158" t="s">
        <v>1130</v>
      </c>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c r="AA99" s="158"/>
      <c r="AB99" s="158"/>
      <c r="AC99" s="158"/>
      <c r="AD99" s="158"/>
      <c r="AE99" s="158"/>
      <c r="AF99" s="158"/>
      <c r="AG99" s="158"/>
      <c r="AH99" s="158"/>
      <c r="AI99" s="158"/>
      <c r="AJ99" s="137"/>
      <c r="AK99" s="146"/>
      <c r="AL99" s="146"/>
      <c r="AM99" s="146"/>
      <c r="AN99" s="132"/>
      <c r="AO99" s="132"/>
      <c r="AP99" s="132"/>
      <c r="AQ99" s="132"/>
      <c r="AR99" s="132"/>
      <c r="AS99" s="132"/>
      <c r="AT99" s="132"/>
      <c r="AU99" s="132"/>
      <c r="AV99" s="132"/>
      <c r="AW99" s="132"/>
      <c r="AX99" s="132"/>
      <c r="AY99" s="132"/>
      <c r="AZ99" s="132"/>
      <c r="BA99" s="132"/>
      <c r="BB99" s="132"/>
      <c r="BC99" s="132"/>
      <c r="BD99" s="132"/>
    </row>
    <row r="100" spans="1:56" s="35" customFormat="1" x14ac:dyDescent="0.25">
      <c r="A100" s="34"/>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c r="AH100" s="137"/>
      <c r="AI100" s="137"/>
      <c r="AJ100" s="137"/>
      <c r="AK100" s="146"/>
      <c r="AL100" s="146"/>
      <c r="AM100" s="146"/>
      <c r="AN100" s="132"/>
      <c r="AO100" s="132"/>
      <c r="AP100" s="132"/>
      <c r="AQ100" s="132"/>
      <c r="AR100" s="132"/>
      <c r="AS100" s="132"/>
      <c r="AT100" s="132"/>
      <c r="AU100" s="132"/>
      <c r="AV100" s="132"/>
      <c r="AW100" s="132"/>
      <c r="AX100" s="132"/>
      <c r="AY100" s="132"/>
      <c r="AZ100" s="132"/>
      <c r="BA100" s="132"/>
      <c r="BB100" s="132"/>
      <c r="BC100" s="132"/>
      <c r="BD100" s="132"/>
    </row>
    <row r="101" spans="1:56" s="35" customFormat="1" ht="27.6" x14ac:dyDescent="0.25">
      <c r="A101" s="34"/>
      <c r="B101" s="191" t="s">
        <v>480</v>
      </c>
      <c r="C101" s="191"/>
      <c r="D101" s="191"/>
      <c r="E101" s="191"/>
      <c r="F101" s="191"/>
      <c r="G101" s="191"/>
      <c r="H101" s="191"/>
      <c r="I101" s="191"/>
      <c r="J101" s="191"/>
      <c r="K101" s="191"/>
      <c r="L101" s="158"/>
      <c r="M101" s="158"/>
      <c r="N101" s="158"/>
      <c r="O101" s="158"/>
      <c r="P101" s="158"/>
      <c r="Q101" s="158"/>
      <c r="R101" s="158"/>
      <c r="S101" s="158"/>
      <c r="T101" s="158"/>
      <c r="U101" s="158"/>
      <c r="V101" s="158"/>
      <c r="W101" s="158"/>
      <c r="X101" s="158"/>
      <c r="Y101" s="158"/>
      <c r="Z101" s="158"/>
      <c r="AA101" s="158"/>
      <c r="AB101" s="158"/>
      <c r="AC101" s="158"/>
      <c r="AD101" s="158"/>
      <c r="AE101" s="158"/>
      <c r="AF101" s="158"/>
      <c r="AG101" s="158"/>
      <c r="AH101" s="158"/>
      <c r="AI101" s="158"/>
      <c r="AJ101" s="137"/>
      <c r="AK101" s="146"/>
      <c r="AL101" s="146"/>
      <c r="AM101" s="146"/>
      <c r="AN101" s="132"/>
      <c r="AO101" s="132"/>
      <c r="AP101" s="132"/>
      <c r="AQ101" s="132"/>
      <c r="AR101" s="132"/>
      <c r="AS101" s="132"/>
      <c r="AT101" s="132"/>
      <c r="AU101" s="132"/>
      <c r="AV101" s="132"/>
      <c r="AW101" s="132"/>
      <c r="AX101" s="132"/>
      <c r="AY101" s="132"/>
      <c r="AZ101" s="132"/>
      <c r="BA101" s="132"/>
      <c r="BB101" s="132"/>
      <c r="BC101" s="132"/>
      <c r="BD101" s="132"/>
    </row>
    <row r="102" spans="1:56" s="35" customFormat="1" x14ac:dyDescent="0.25">
      <c r="A102" s="34"/>
      <c r="B102" s="158" t="s">
        <v>1200</v>
      </c>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c r="AA102" s="158"/>
      <c r="AB102" s="158"/>
      <c r="AC102" s="158"/>
      <c r="AD102" s="158"/>
      <c r="AE102" s="158"/>
      <c r="AF102" s="158"/>
      <c r="AG102" s="158"/>
      <c r="AH102" s="158"/>
      <c r="AI102" s="158"/>
      <c r="AJ102" s="137"/>
      <c r="AK102" s="146"/>
      <c r="AL102" s="146"/>
      <c r="AM102" s="146"/>
      <c r="AN102" s="132"/>
      <c r="AO102" s="132"/>
      <c r="AP102" s="132"/>
      <c r="AQ102" s="132"/>
      <c r="AR102" s="132"/>
      <c r="AS102" s="132"/>
      <c r="AT102" s="132"/>
      <c r="AU102" s="132"/>
      <c r="AV102" s="132"/>
      <c r="AW102" s="132"/>
      <c r="AX102" s="132"/>
      <c r="AY102" s="132"/>
      <c r="AZ102" s="132"/>
      <c r="BA102" s="132"/>
      <c r="BB102" s="132"/>
      <c r="BC102" s="132"/>
      <c r="BD102" s="132"/>
    </row>
    <row r="103" spans="1:56" s="35" customFormat="1" x14ac:dyDescent="0.25">
      <c r="A103" s="34"/>
      <c r="B103" s="158" t="s">
        <v>1201</v>
      </c>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c r="AA103" s="158"/>
      <c r="AB103" s="158"/>
      <c r="AC103" s="158"/>
      <c r="AD103" s="158"/>
      <c r="AE103" s="158"/>
      <c r="AF103" s="158"/>
      <c r="AG103" s="158"/>
      <c r="AH103" s="158"/>
      <c r="AI103" s="158"/>
      <c r="AJ103" s="137"/>
      <c r="AK103" s="146"/>
      <c r="AL103" s="146"/>
      <c r="AM103" s="146"/>
      <c r="AN103" s="132"/>
      <c r="AO103" s="132"/>
      <c r="AP103" s="132"/>
      <c r="AQ103" s="132"/>
      <c r="AR103" s="132"/>
      <c r="AS103" s="132"/>
      <c r="AT103" s="132"/>
      <c r="AU103" s="132"/>
      <c r="AV103" s="132"/>
      <c r="AW103" s="132"/>
      <c r="AX103" s="132"/>
      <c r="AY103" s="132"/>
      <c r="AZ103" s="132"/>
      <c r="BA103" s="132"/>
      <c r="BB103" s="132"/>
      <c r="BC103" s="132"/>
      <c r="BD103" s="132"/>
    </row>
    <row r="104" spans="1:56" s="35" customFormat="1" x14ac:dyDescent="0.25">
      <c r="A104" s="34"/>
      <c r="B104" s="158" t="s">
        <v>1210</v>
      </c>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c r="AA104" s="158"/>
      <c r="AB104" s="158"/>
      <c r="AC104" s="158"/>
      <c r="AD104" s="158"/>
      <c r="AE104" s="158"/>
      <c r="AF104" s="158"/>
      <c r="AG104" s="158"/>
      <c r="AH104" s="158"/>
      <c r="AI104" s="158"/>
      <c r="AJ104" s="137"/>
      <c r="AK104" s="146"/>
      <c r="AL104" s="146"/>
      <c r="AM104" s="146"/>
      <c r="AN104" s="132"/>
      <c r="AO104" s="132"/>
      <c r="AP104" s="132"/>
      <c r="AQ104" s="132"/>
      <c r="AR104" s="132"/>
      <c r="AS104" s="132"/>
      <c r="AT104" s="132"/>
      <c r="AU104" s="132"/>
      <c r="AV104" s="132"/>
      <c r="AW104" s="132"/>
      <c r="AX104" s="132"/>
      <c r="AY104" s="132"/>
      <c r="AZ104" s="132"/>
      <c r="BA104" s="132"/>
      <c r="BB104" s="132"/>
      <c r="BC104" s="132"/>
      <c r="BD104" s="132"/>
    </row>
    <row r="105" spans="1:56" s="35" customFormat="1" x14ac:dyDescent="0.25">
      <c r="A105" s="34"/>
      <c r="B105" s="158" t="s">
        <v>1129</v>
      </c>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c r="AA105" s="158"/>
      <c r="AB105" s="158"/>
      <c r="AC105" s="158"/>
      <c r="AD105" s="158"/>
      <c r="AE105" s="158"/>
      <c r="AF105" s="158"/>
      <c r="AG105" s="158"/>
      <c r="AH105" s="158"/>
      <c r="AI105" s="158"/>
      <c r="AJ105" s="137"/>
      <c r="AK105" s="146"/>
      <c r="AL105" s="146"/>
      <c r="AM105" s="146"/>
      <c r="AN105" s="132"/>
      <c r="AO105" s="132"/>
      <c r="AP105" s="132"/>
      <c r="AQ105" s="132"/>
      <c r="AR105" s="132"/>
      <c r="AS105" s="132"/>
      <c r="AT105" s="132"/>
      <c r="AU105" s="132"/>
      <c r="AV105" s="132"/>
      <c r="AW105" s="132"/>
      <c r="AX105" s="132"/>
      <c r="AY105" s="132"/>
      <c r="AZ105" s="132"/>
      <c r="BA105" s="132"/>
      <c r="BB105" s="132"/>
      <c r="BC105" s="132"/>
      <c r="BD105" s="132"/>
    </row>
    <row r="106" spans="1:56" s="35" customFormat="1" x14ac:dyDescent="0.25">
      <c r="A106" s="34"/>
      <c r="B106" s="246" t="s">
        <v>1211</v>
      </c>
      <c r="C106" s="246"/>
      <c r="D106" s="246"/>
      <c r="E106" s="246"/>
      <c r="F106" s="246"/>
      <c r="G106" s="246"/>
      <c r="H106" s="246"/>
      <c r="I106" s="246"/>
      <c r="J106" s="246"/>
      <c r="K106" s="246"/>
      <c r="L106" s="246"/>
      <c r="M106" s="246"/>
      <c r="N106" s="246"/>
      <c r="O106" s="246"/>
      <c r="P106" s="246"/>
      <c r="Q106" s="246"/>
      <c r="R106" s="246"/>
      <c r="S106" s="246"/>
      <c r="T106" s="246"/>
      <c r="U106" s="246"/>
      <c r="V106" s="246"/>
      <c r="W106" s="246"/>
      <c r="X106" s="246"/>
      <c r="Y106" s="246"/>
      <c r="Z106" s="246"/>
      <c r="AA106" s="246"/>
      <c r="AB106" s="246"/>
      <c r="AC106" s="246"/>
      <c r="AD106" s="246"/>
      <c r="AE106" s="246"/>
      <c r="AF106" s="246"/>
      <c r="AG106" s="246"/>
      <c r="AH106" s="246"/>
      <c r="AI106" s="246"/>
      <c r="AJ106" s="137"/>
      <c r="AK106" s="146"/>
      <c r="AL106" s="146"/>
      <c r="AM106" s="146"/>
      <c r="AN106" s="132"/>
      <c r="AO106" s="132"/>
      <c r="AP106" s="132"/>
      <c r="AQ106" s="132"/>
      <c r="AR106" s="132"/>
      <c r="AS106" s="132"/>
      <c r="AT106" s="132"/>
      <c r="AU106" s="132"/>
      <c r="AV106" s="132"/>
      <c r="AW106" s="132"/>
      <c r="AX106" s="132"/>
      <c r="AY106" s="132"/>
      <c r="AZ106" s="132"/>
      <c r="BA106" s="132"/>
      <c r="BB106" s="132"/>
      <c r="BC106" s="132"/>
      <c r="BD106" s="132"/>
    </row>
    <row r="107" spans="1:56" s="35" customFormat="1" x14ac:dyDescent="0.25">
      <c r="A107" s="34"/>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c r="AH107" s="137"/>
      <c r="AI107" s="137"/>
      <c r="AJ107" s="137"/>
      <c r="AK107" s="146"/>
      <c r="AL107" s="146"/>
      <c r="AM107" s="146"/>
      <c r="AN107" s="132"/>
      <c r="AO107" s="132"/>
      <c r="AP107" s="132"/>
      <c r="AQ107" s="132"/>
      <c r="AR107" s="132"/>
      <c r="AS107" s="132"/>
      <c r="AT107" s="132"/>
      <c r="AU107" s="132"/>
      <c r="AV107" s="132"/>
      <c r="AW107" s="132"/>
      <c r="AX107" s="132"/>
      <c r="AY107" s="132"/>
      <c r="AZ107" s="132"/>
      <c r="BA107" s="132"/>
      <c r="BB107" s="132"/>
      <c r="BC107" s="132"/>
      <c r="BD107" s="132"/>
    </row>
    <row r="108" spans="1:56" s="35" customFormat="1" x14ac:dyDescent="0.25">
      <c r="A108" s="38"/>
      <c r="AK108" s="146"/>
      <c r="AL108" s="146"/>
      <c r="AM108" s="146"/>
      <c r="AN108" s="132"/>
      <c r="AO108" s="132"/>
      <c r="AP108" s="132"/>
      <c r="AQ108" s="132"/>
      <c r="AR108" s="132"/>
      <c r="AS108" s="132"/>
      <c r="AT108" s="132"/>
      <c r="AU108" s="132"/>
      <c r="AV108" s="132"/>
      <c r="AW108" s="132"/>
      <c r="AX108" s="132"/>
      <c r="AY108" s="132"/>
      <c r="AZ108" s="132"/>
      <c r="BA108" s="132"/>
      <c r="BB108" s="132"/>
      <c r="BC108" s="132"/>
      <c r="BD108" s="132"/>
    </row>
    <row r="109" spans="1:56" s="35" customFormat="1" x14ac:dyDescent="0.25">
      <c r="A109" s="38"/>
      <c r="AK109" s="146"/>
      <c r="AL109" s="146"/>
      <c r="AM109" s="146"/>
      <c r="AN109" s="132"/>
      <c r="AO109" s="132"/>
      <c r="AP109" s="132"/>
      <c r="AQ109" s="132"/>
      <c r="AR109" s="132"/>
      <c r="AS109" s="132"/>
      <c r="AT109" s="132"/>
      <c r="AU109" s="132"/>
      <c r="AV109" s="132"/>
      <c r="AW109" s="132"/>
      <c r="AX109" s="132"/>
      <c r="AY109" s="132"/>
      <c r="AZ109" s="132"/>
      <c r="BA109" s="132"/>
      <c r="BB109" s="132"/>
      <c r="BC109" s="132"/>
      <c r="BD109" s="132"/>
    </row>
    <row r="110" spans="1:56" s="35" customFormat="1" x14ac:dyDescent="0.25">
      <c r="A110" s="38"/>
      <c r="AK110" s="146"/>
      <c r="AL110" s="146"/>
      <c r="AM110" s="146"/>
      <c r="AN110" s="132"/>
      <c r="AO110" s="132"/>
      <c r="AP110" s="132"/>
      <c r="AQ110" s="132"/>
      <c r="AR110" s="132"/>
      <c r="AS110" s="132"/>
      <c r="AT110" s="132"/>
      <c r="AU110" s="132"/>
      <c r="AV110" s="132"/>
      <c r="AW110" s="132"/>
      <c r="AX110" s="132"/>
      <c r="AY110" s="132"/>
      <c r="AZ110" s="132"/>
      <c r="BA110" s="132"/>
      <c r="BB110" s="132"/>
      <c r="BC110" s="132"/>
      <c r="BD110" s="132"/>
    </row>
    <row r="111" spans="1:56" s="35" customFormat="1" x14ac:dyDescent="0.25">
      <c r="A111" s="38"/>
      <c r="AK111" s="146"/>
      <c r="AL111" s="146"/>
      <c r="AM111" s="146"/>
      <c r="AN111" s="132"/>
      <c r="AO111" s="132"/>
      <c r="AP111" s="132"/>
      <c r="AQ111" s="132"/>
      <c r="AR111" s="132"/>
      <c r="AS111" s="132"/>
      <c r="AT111" s="132"/>
      <c r="AU111" s="132"/>
      <c r="AV111" s="132"/>
      <c r="AW111" s="132"/>
      <c r="AX111" s="132"/>
      <c r="AY111" s="132"/>
      <c r="AZ111" s="132"/>
      <c r="BA111" s="132"/>
      <c r="BB111" s="132"/>
      <c r="BC111" s="132"/>
      <c r="BD111" s="132"/>
    </row>
    <row r="112" spans="1:56" s="35" customFormat="1" x14ac:dyDescent="0.25">
      <c r="A112" s="38"/>
      <c r="AK112" s="146"/>
      <c r="AL112" s="146"/>
      <c r="AM112" s="146"/>
      <c r="AN112" s="132"/>
      <c r="AO112" s="132"/>
      <c r="AP112" s="132"/>
      <c r="AQ112" s="132"/>
      <c r="AR112" s="132"/>
      <c r="AS112" s="132"/>
      <c r="AT112" s="132"/>
      <c r="AU112" s="132"/>
      <c r="AV112" s="132"/>
      <c r="AW112" s="132"/>
      <c r="AX112" s="132"/>
      <c r="AY112" s="132"/>
      <c r="AZ112" s="132"/>
      <c r="BA112" s="132"/>
      <c r="BB112" s="132"/>
      <c r="BC112" s="132"/>
      <c r="BD112" s="132"/>
    </row>
    <row r="113" spans="1:56" s="35" customFormat="1" x14ac:dyDescent="0.25">
      <c r="A113" s="38"/>
      <c r="AK113" s="146"/>
      <c r="AL113" s="146"/>
      <c r="AM113" s="146"/>
      <c r="AN113" s="132"/>
      <c r="AO113" s="132"/>
      <c r="AP113" s="132"/>
      <c r="AQ113" s="132"/>
      <c r="AR113" s="132"/>
      <c r="AS113" s="132"/>
      <c r="AT113" s="132"/>
      <c r="AU113" s="132"/>
      <c r="AV113" s="132"/>
      <c r="AW113" s="132"/>
      <c r="AX113" s="132"/>
      <c r="AY113" s="132"/>
      <c r="AZ113" s="132"/>
      <c r="BA113" s="132"/>
      <c r="BB113" s="132"/>
      <c r="BC113" s="132"/>
      <c r="BD113" s="132"/>
    </row>
    <row r="114" spans="1:56" s="35" customFormat="1" x14ac:dyDescent="0.25">
      <c r="A114" s="38"/>
      <c r="AK114" s="146"/>
      <c r="AL114" s="146"/>
      <c r="AM114" s="146"/>
      <c r="AN114" s="132"/>
      <c r="AO114" s="132"/>
      <c r="AP114" s="132"/>
      <c r="AQ114" s="132"/>
      <c r="AR114" s="132"/>
      <c r="AS114" s="132"/>
      <c r="AT114" s="132"/>
      <c r="AU114" s="132"/>
      <c r="AV114" s="132"/>
      <c r="AW114" s="132"/>
      <c r="AX114" s="132"/>
      <c r="AY114" s="132"/>
      <c r="AZ114" s="132"/>
      <c r="BA114" s="132"/>
      <c r="BB114" s="132"/>
      <c r="BC114" s="132"/>
      <c r="BD114" s="132"/>
    </row>
    <row r="115" spans="1:56" s="35" customFormat="1" x14ac:dyDescent="0.25">
      <c r="A115" s="38"/>
      <c r="AK115" s="146"/>
      <c r="AL115" s="146"/>
      <c r="AM115" s="146"/>
      <c r="AN115" s="132"/>
      <c r="AO115" s="132"/>
      <c r="AP115" s="132"/>
      <c r="AQ115" s="132"/>
      <c r="AR115" s="132"/>
      <c r="AS115" s="132"/>
      <c r="AT115" s="132"/>
      <c r="AU115" s="132"/>
      <c r="AV115" s="132"/>
      <c r="AW115" s="132"/>
      <c r="AX115" s="132"/>
      <c r="AY115" s="132"/>
      <c r="AZ115" s="132"/>
      <c r="BA115" s="132"/>
      <c r="BB115" s="132"/>
      <c r="BC115" s="132"/>
      <c r="BD115" s="132"/>
    </row>
    <row r="116" spans="1:56" s="35" customFormat="1" x14ac:dyDescent="0.25">
      <c r="A116" s="38"/>
      <c r="AK116" s="146"/>
      <c r="AL116" s="146"/>
      <c r="AM116" s="146"/>
      <c r="AN116" s="132"/>
      <c r="AO116" s="132"/>
      <c r="AP116" s="132"/>
      <c r="AQ116" s="132"/>
      <c r="AR116" s="132"/>
      <c r="AS116" s="132"/>
      <c r="AT116" s="132"/>
      <c r="AU116" s="132"/>
      <c r="AV116" s="132"/>
      <c r="AW116" s="132"/>
      <c r="AX116" s="132"/>
      <c r="AY116" s="132"/>
      <c r="AZ116" s="132"/>
      <c r="BA116" s="132"/>
      <c r="BB116" s="132"/>
      <c r="BC116" s="132"/>
      <c r="BD116" s="132"/>
    </row>
    <row r="117" spans="1:56" s="35" customFormat="1" x14ac:dyDescent="0.25">
      <c r="A117" s="38"/>
      <c r="AK117" s="146"/>
      <c r="AL117" s="146"/>
      <c r="AM117" s="146"/>
      <c r="AN117" s="132"/>
      <c r="AO117" s="132"/>
      <c r="AP117" s="132"/>
      <c r="AQ117" s="132"/>
      <c r="AR117" s="132"/>
      <c r="AS117" s="132"/>
      <c r="AT117" s="132"/>
      <c r="AU117" s="132"/>
      <c r="AV117" s="132"/>
      <c r="AW117" s="132"/>
      <c r="AX117" s="132"/>
      <c r="AY117" s="132"/>
      <c r="AZ117" s="132"/>
      <c r="BA117" s="132"/>
      <c r="BB117" s="132"/>
      <c r="BC117" s="132"/>
      <c r="BD117" s="132"/>
    </row>
    <row r="118" spans="1:56" s="35" customFormat="1" x14ac:dyDescent="0.25">
      <c r="A118" s="38"/>
      <c r="AK118" s="146"/>
      <c r="AL118" s="146"/>
      <c r="AM118" s="146"/>
      <c r="AN118" s="132"/>
      <c r="AO118" s="132"/>
      <c r="AP118" s="132"/>
      <c r="AQ118" s="132"/>
      <c r="AR118" s="132"/>
      <c r="AS118" s="132"/>
      <c r="AT118" s="132"/>
      <c r="AU118" s="132"/>
      <c r="AV118" s="132"/>
      <c r="AW118" s="132"/>
      <c r="AX118" s="132"/>
      <c r="AY118" s="132"/>
      <c r="AZ118" s="132"/>
      <c r="BA118" s="132"/>
      <c r="BB118" s="132"/>
      <c r="BC118" s="132"/>
      <c r="BD118" s="132"/>
    </row>
    <row r="119" spans="1:56" s="35" customFormat="1" x14ac:dyDescent="0.25">
      <c r="A119" s="38"/>
      <c r="AK119" s="146"/>
      <c r="AL119" s="146"/>
      <c r="AM119" s="146"/>
      <c r="AN119" s="132"/>
      <c r="AO119" s="132"/>
      <c r="AP119" s="132"/>
      <c r="AQ119" s="132"/>
      <c r="AR119" s="132"/>
      <c r="AS119" s="132"/>
      <c r="AT119" s="132"/>
      <c r="AU119" s="132"/>
      <c r="AV119" s="132"/>
      <c r="AW119" s="132"/>
      <c r="AX119" s="132"/>
      <c r="AY119" s="132"/>
      <c r="AZ119" s="132"/>
      <c r="BA119" s="132"/>
      <c r="BB119" s="132"/>
      <c r="BC119" s="132"/>
      <c r="BD119" s="132"/>
    </row>
    <row r="120" spans="1:56" s="35" customFormat="1" x14ac:dyDescent="0.25">
      <c r="A120" s="38"/>
      <c r="AK120" s="146"/>
      <c r="AL120" s="146"/>
      <c r="AM120" s="146"/>
      <c r="AN120" s="132"/>
      <c r="AO120" s="132"/>
      <c r="AP120" s="132"/>
      <c r="AQ120" s="132"/>
      <c r="AR120" s="132"/>
      <c r="AS120" s="132"/>
      <c r="AT120" s="132"/>
      <c r="AU120" s="132"/>
      <c r="AV120" s="132"/>
      <c r="AW120" s="132"/>
      <c r="AX120" s="132"/>
      <c r="AY120" s="132"/>
      <c r="AZ120" s="132"/>
      <c r="BA120" s="132"/>
      <c r="BB120" s="132"/>
      <c r="BC120" s="132"/>
      <c r="BD120" s="132"/>
    </row>
    <row r="121" spans="1:56" s="35" customFormat="1" x14ac:dyDescent="0.25">
      <c r="A121" s="38"/>
      <c r="AK121" s="146"/>
      <c r="AL121" s="146"/>
      <c r="AM121" s="146"/>
      <c r="AN121" s="132"/>
      <c r="AO121" s="132"/>
      <c r="AP121" s="132"/>
      <c r="AQ121" s="132"/>
      <c r="AR121" s="132"/>
      <c r="AS121" s="132"/>
      <c r="AT121" s="132"/>
      <c r="AU121" s="132"/>
      <c r="AV121" s="132"/>
      <c r="AW121" s="132"/>
      <c r="AX121" s="132"/>
      <c r="AY121" s="132"/>
      <c r="AZ121" s="132"/>
      <c r="BA121" s="132"/>
      <c r="BB121" s="132"/>
      <c r="BC121" s="132"/>
      <c r="BD121" s="132"/>
    </row>
    <row r="122" spans="1:56" s="35" customFormat="1" x14ac:dyDescent="0.25">
      <c r="A122" s="38"/>
      <c r="AK122" s="146"/>
      <c r="AL122" s="146"/>
      <c r="AM122" s="146"/>
      <c r="AN122" s="132"/>
      <c r="AO122" s="132"/>
      <c r="AP122" s="132"/>
      <c r="AQ122" s="132"/>
      <c r="AR122" s="132"/>
      <c r="AS122" s="132"/>
      <c r="AT122" s="132"/>
      <c r="AU122" s="132"/>
      <c r="AV122" s="132"/>
      <c r="AW122" s="132"/>
      <c r="AX122" s="132"/>
      <c r="AY122" s="132"/>
      <c r="AZ122" s="132"/>
      <c r="BA122" s="132"/>
      <c r="BB122" s="132"/>
      <c r="BC122" s="132"/>
      <c r="BD122" s="132"/>
    </row>
    <row r="123" spans="1:56" s="35" customFormat="1" x14ac:dyDescent="0.25">
      <c r="A123" s="38"/>
      <c r="AK123" s="146"/>
      <c r="AL123" s="146"/>
      <c r="AM123" s="146"/>
      <c r="AN123" s="132"/>
      <c r="AO123" s="132"/>
      <c r="AP123" s="132"/>
      <c r="AQ123" s="132"/>
      <c r="AR123" s="132"/>
      <c r="AS123" s="132"/>
      <c r="AT123" s="132"/>
      <c r="AU123" s="132"/>
      <c r="AV123" s="132"/>
      <c r="AW123" s="132"/>
      <c r="AX123" s="132"/>
      <c r="AY123" s="132"/>
      <c r="AZ123" s="132"/>
      <c r="BA123" s="132"/>
      <c r="BB123" s="132"/>
      <c r="BC123" s="132"/>
      <c r="BD123" s="132"/>
    </row>
    <row r="124" spans="1:56" s="35" customFormat="1" x14ac:dyDescent="0.25">
      <c r="A124" s="38"/>
      <c r="AK124" s="146"/>
      <c r="AL124" s="146"/>
      <c r="AM124" s="146"/>
      <c r="AN124" s="132"/>
      <c r="AO124" s="132"/>
      <c r="AP124" s="132"/>
      <c r="AQ124" s="132"/>
      <c r="AR124" s="132"/>
      <c r="AS124" s="132"/>
      <c r="AT124" s="132"/>
      <c r="AU124" s="132"/>
      <c r="AV124" s="132"/>
      <c r="AW124" s="132"/>
      <c r="AX124" s="132"/>
      <c r="AY124" s="132"/>
      <c r="AZ124" s="132"/>
      <c r="BA124" s="132"/>
      <c r="BB124" s="132"/>
      <c r="BC124" s="132"/>
      <c r="BD124" s="132"/>
    </row>
    <row r="125" spans="1:56" s="35" customFormat="1" x14ac:dyDescent="0.25">
      <c r="A125" s="38"/>
      <c r="AK125" s="146"/>
      <c r="AL125" s="146"/>
      <c r="AM125" s="146"/>
      <c r="AN125" s="132"/>
      <c r="AO125" s="132"/>
      <c r="AP125" s="132"/>
      <c r="AQ125" s="132"/>
      <c r="AR125" s="132"/>
      <c r="AS125" s="132"/>
      <c r="AT125" s="132"/>
      <c r="AU125" s="132"/>
      <c r="AV125" s="132"/>
      <c r="AW125" s="132"/>
      <c r="AX125" s="132"/>
      <c r="AY125" s="132"/>
      <c r="AZ125" s="132"/>
      <c r="BA125" s="132"/>
      <c r="BB125" s="132"/>
      <c r="BC125" s="132"/>
      <c r="BD125" s="132"/>
    </row>
    <row r="126" spans="1:56" s="35" customFormat="1" x14ac:dyDescent="0.25">
      <c r="A126" s="38"/>
      <c r="AK126" s="146"/>
      <c r="AL126" s="146"/>
      <c r="AM126" s="146"/>
      <c r="AN126" s="132"/>
      <c r="AO126" s="132"/>
      <c r="AP126" s="132"/>
      <c r="AQ126" s="132"/>
      <c r="AR126" s="132"/>
      <c r="AS126" s="132"/>
      <c r="AT126" s="132"/>
      <c r="AU126" s="132"/>
      <c r="AV126" s="132"/>
      <c r="AW126" s="132"/>
      <c r="AX126" s="132"/>
      <c r="AY126" s="132"/>
      <c r="AZ126" s="132"/>
      <c r="BA126" s="132"/>
      <c r="BB126" s="132"/>
      <c r="BC126" s="132"/>
      <c r="BD126" s="132"/>
    </row>
    <row r="127" spans="1:56" x14ac:dyDescent="0.2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row>
    <row r="128" spans="1:56" x14ac:dyDescent="0.2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row>
    <row r="129" spans="2:36" x14ac:dyDescent="0.2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row>
    <row r="130" spans="2:36" x14ac:dyDescent="0.2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row>
    <row r="131" spans="2:36" x14ac:dyDescent="0.2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row>
    <row r="132" spans="2:36" x14ac:dyDescent="0.2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row>
    <row r="133" spans="2:36" x14ac:dyDescent="0.2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row>
    <row r="134" spans="2:36" x14ac:dyDescent="0.2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row>
    <row r="135" spans="2:36" x14ac:dyDescent="0.2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row>
    <row r="136" spans="2:36" x14ac:dyDescent="0.2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row>
    <row r="137" spans="2:36" x14ac:dyDescent="0.2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row>
    <row r="138" spans="2:36" x14ac:dyDescent="0.2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row>
    <row r="139" spans="2:36" x14ac:dyDescent="0.2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row>
    <row r="140" spans="2:36" x14ac:dyDescent="0.2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2:36" x14ac:dyDescent="0.2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048563" spans="38:38" x14ac:dyDescent="0.25">
      <c r="AL1048563" s="146" t="s">
        <v>323</v>
      </c>
    </row>
  </sheetData>
  <sheetProtection algorithmName="SHA-512" hashValue="+CG6Mvh1a58WoDpwBMYk3zyxbVj8KrZkaXTmW1t53Dn2XC+XV7wjYEYscwXzUM1wRbd4l0sm2DV1yvE6DsSWLA==" saltValue="Gy8/hBgpPLGYr1CI1J8YnA==" spinCount="100000" sheet="1" objects="1" scenarios="1"/>
  <mergeCells count="628">
    <mergeCell ref="B38:D38"/>
    <mergeCell ref="E38:G38"/>
    <mergeCell ref="H33:J33"/>
    <mergeCell ref="H34:J34"/>
    <mergeCell ref="H35:J35"/>
    <mergeCell ref="H36:J36"/>
    <mergeCell ref="H37:J37"/>
    <mergeCell ref="H38:J38"/>
    <mergeCell ref="B31:AI32"/>
    <mergeCell ref="T34:AI34"/>
    <mergeCell ref="T33:AI33"/>
    <mergeCell ref="T35:AI35"/>
    <mergeCell ref="T36:AI36"/>
    <mergeCell ref="T37:AI37"/>
    <mergeCell ref="T38:AI38"/>
    <mergeCell ref="B34:D34"/>
    <mergeCell ref="B35:D35"/>
    <mergeCell ref="B36:D36"/>
    <mergeCell ref="B37:D37"/>
    <mergeCell ref="E34:G34"/>
    <mergeCell ref="E35:G35"/>
    <mergeCell ref="E36:G36"/>
    <mergeCell ref="E37:G37"/>
    <mergeCell ref="B33:D33"/>
    <mergeCell ref="E33:G33"/>
    <mergeCell ref="B25:AI25"/>
    <mergeCell ref="B14:AI14"/>
    <mergeCell ref="B26:D26"/>
    <mergeCell ref="E26:AI26"/>
    <mergeCell ref="B27:D27"/>
    <mergeCell ref="E27:AI27"/>
    <mergeCell ref="B30:Q30"/>
    <mergeCell ref="R30:AI30"/>
    <mergeCell ref="AG16:AI16"/>
    <mergeCell ref="AG17:AI17"/>
    <mergeCell ref="AG18:AI18"/>
    <mergeCell ref="AG19:AI19"/>
    <mergeCell ref="AG20:AI20"/>
    <mergeCell ref="AG21:AI21"/>
    <mergeCell ref="AG22:AI22"/>
    <mergeCell ref="AG23:AI23"/>
    <mergeCell ref="AC15:AI15"/>
    <mergeCell ref="AE16:AF16"/>
    <mergeCell ref="AE17:AF17"/>
    <mergeCell ref="AE18:AF18"/>
    <mergeCell ref="AE19:AF19"/>
    <mergeCell ref="AE20:AF20"/>
    <mergeCell ref="AE21:AF21"/>
    <mergeCell ref="J23:L23"/>
    <mergeCell ref="AE22:AF22"/>
    <mergeCell ref="AE23:AF23"/>
    <mergeCell ref="AC16:AD16"/>
    <mergeCell ref="AC17:AD17"/>
    <mergeCell ref="AC18:AD18"/>
    <mergeCell ref="AC19:AD19"/>
    <mergeCell ref="AC20:AD20"/>
    <mergeCell ref="AC21:AD21"/>
    <mergeCell ref="AC22:AD22"/>
    <mergeCell ref="AC23:AD23"/>
    <mergeCell ref="M23:O23"/>
    <mergeCell ref="M18:O18"/>
    <mergeCell ref="M19:O19"/>
    <mergeCell ref="M20:O20"/>
    <mergeCell ref="M21:O21"/>
    <mergeCell ref="M22:O22"/>
    <mergeCell ref="J19:L19"/>
    <mergeCell ref="J20:L20"/>
    <mergeCell ref="J21:L21"/>
    <mergeCell ref="J22:L22"/>
    <mergeCell ref="J18:L18"/>
    <mergeCell ref="L8:AI8"/>
    <mergeCell ref="L9:AI9"/>
    <mergeCell ref="L10:AI10"/>
    <mergeCell ref="L11:AI11"/>
    <mergeCell ref="B23:C23"/>
    <mergeCell ref="B15:E15"/>
    <mergeCell ref="P16:R16"/>
    <mergeCell ref="P17:R17"/>
    <mergeCell ref="P18:R18"/>
    <mergeCell ref="P19:R19"/>
    <mergeCell ref="P20:R20"/>
    <mergeCell ref="P21:R21"/>
    <mergeCell ref="P22:R22"/>
    <mergeCell ref="P23:R23"/>
    <mergeCell ref="M15:O15"/>
    <mergeCell ref="P15:R15"/>
    <mergeCell ref="B16:C16"/>
    <mergeCell ref="B17:C17"/>
    <mergeCell ref="B18:C18"/>
    <mergeCell ref="B19:C19"/>
    <mergeCell ref="B20:C20"/>
    <mergeCell ref="B21:C21"/>
    <mergeCell ref="B22:C22"/>
    <mergeCell ref="D19:E19"/>
    <mergeCell ref="B13:Q13"/>
    <mergeCell ref="R13:AI13"/>
    <mergeCell ref="B24:D24"/>
    <mergeCell ref="D23:E23"/>
    <mergeCell ref="F18:I18"/>
    <mergeCell ref="F19:I19"/>
    <mergeCell ref="F20:I20"/>
    <mergeCell ref="F21:I21"/>
    <mergeCell ref="F22:I22"/>
    <mergeCell ref="F23:I23"/>
    <mergeCell ref="F15:I15"/>
    <mergeCell ref="J15:L15"/>
    <mergeCell ref="J16:L16"/>
    <mergeCell ref="J17:L17"/>
    <mergeCell ref="D16:E16"/>
    <mergeCell ref="D17:E17"/>
    <mergeCell ref="D18:E18"/>
    <mergeCell ref="D20:E20"/>
    <mergeCell ref="D21:E21"/>
    <mergeCell ref="D22:E22"/>
    <mergeCell ref="F16:I16"/>
    <mergeCell ref="F17:I17"/>
    <mergeCell ref="M16:O16"/>
    <mergeCell ref="M17:O17"/>
    <mergeCell ref="P56:R56"/>
    <mergeCell ref="AG56:AI56"/>
    <mergeCell ref="Y86:Z86"/>
    <mergeCell ref="AA86:AB86"/>
    <mergeCell ref="AC86:AD86"/>
    <mergeCell ref="AE86:AF86"/>
    <mergeCell ref="AG86:AI86"/>
    <mergeCell ref="Y87:Z87"/>
    <mergeCell ref="AA87:AB87"/>
    <mergeCell ref="AC87:AD87"/>
    <mergeCell ref="AE87:AF87"/>
    <mergeCell ref="AG87:AI87"/>
    <mergeCell ref="Y84:Z84"/>
    <mergeCell ref="AA84:AB84"/>
    <mergeCell ref="AC84:AD84"/>
    <mergeCell ref="AE84:AF84"/>
    <mergeCell ref="AG84:AI84"/>
    <mergeCell ref="Y85:Z85"/>
    <mergeCell ref="AA85:AB85"/>
    <mergeCell ref="AG80:AI80"/>
    <mergeCell ref="Y79:Z79"/>
    <mergeCell ref="AA81:AB81"/>
    <mergeCell ref="AC81:AD81"/>
    <mergeCell ref="AE81:AF81"/>
    <mergeCell ref="AG81:AI81"/>
    <mergeCell ref="AC85:AD85"/>
    <mergeCell ref="AE85:AF85"/>
    <mergeCell ref="AG85:AI85"/>
    <mergeCell ref="AA82:AB82"/>
    <mergeCell ref="AC82:AD82"/>
    <mergeCell ref="AE82:AF82"/>
    <mergeCell ref="AG82:AI82"/>
    <mergeCell ref="AA83:AB83"/>
    <mergeCell ref="AC83:AD83"/>
    <mergeCell ref="AE83:AF83"/>
    <mergeCell ref="AG83:AI83"/>
    <mergeCell ref="AG77:AI77"/>
    <mergeCell ref="Y75:Z75"/>
    <mergeCell ref="AA75:AB75"/>
    <mergeCell ref="Y78:Z78"/>
    <mergeCell ref="AA78:AB78"/>
    <mergeCell ref="AC78:AD78"/>
    <mergeCell ref="AE78:AF78"/>
    <mergeCell ref="AG78:AI78"/>
    <mergeCell ref="AA79:AB79"/>
    <mergeCell ref="AC79:AD79"/>
    <mergeCell ref="AE79:AF79"/>
    <mergeCell ref="AG79:AI79"/>
    <mergeCell ref="Y77:Z77"/>
    <mergeCell ref="AA77:AB77"/>
    <mergeCell ref="AC77:AD77"/>
    <mergeCell ref="AE77:AF77"/>
    <mergeCell ref="AG74:AI74"/>
    <mergeCell ref="AC75:AD75"/>
    <mergeCell ref="AE75:AF75"/>
    <mergeCell ref="AG75:AI75"/>
    <mergeCell ref="Y76:Z76"/>
    <mergeCell ref="AA76:AB76"/>
    <mergeCell ref="AC76:AD76"/>
    <mergeCell ref="AE76:AF76"/>
    <mergeCell ref="AG76:AI76"/>
    <mergeCell ref="Y74:Z74"/>
    <mergeCell ref="AA74:AB74"/>
    <mergeCell ref="AC74:AD74"/>
    <mergeCell ref="AE74:AF74"/>
    <mergeCell ref="AG70:AI70"/>
    <mergeCell ref="Y73:Z73"/>
    <mergeCell ref="AA73:AB73"/>
    <mergeCell ref="AC73:AD73"/>
    <mergeCell ref="AE73:AF73"/>
    <mergeCell ref="AG73:AI73"/>
    <mergeCell ref="Y71:Z71"/>
    <mergeCell ref="AA71:AB71"/>
    <mergeCell ref="AC71:AD71"/>
    <mergeCell ref="Y72:Z72"/>
    <mergeCell ref="AA72:AB72"/>
    <mergeCell ref="AE72:AF72"/>
    <mergeCell ref="AG72:AI72"/>
    <mergeCell ref="AC72:AD72"/>
    <mergeCell ref="AC62:AD62"/>
    <mergeCell ref="AE62:AF62"/>
    <mergeCell ref="AG62:AI62"/>
    <mergeCell ref="Y63:Z63"/>
    <mergeCell ref="AA63:AB63"/>
    <mergeCell ref="AC63:AD63"/>
    <mergeCell ref="AE63:AF63"/>
    <mergeCell ref="AG63:AI63"/>
    <mergeCell ref="Y64:Z64"/>
    <mergeCell ref="AA64:AB64"/>
    <mergeCell ref="AC64:AD64"/>
    <mergeCell ref="AE64:AF64"/>
    <mergeCell ref="AG64:AI64"/>
    <mergeCell ref="Y62:Z62"/>
    <mergeCell ref="AA62:AB62"/>
    <mergeCell ref="Y65:Z65"/>
    <mergeCell ref="AA65:AB65"/>
    <mergeCell ref="AC65:AD65"/>
    <mergeCell ref="AE65:AF65"/>
    <mergeCell ref="AG65:AI65"/>
    <mergeCell ref="Y69:Z69"/>
    <mergeCell ref="AA69:AB69"/>
    <mergeCell ref="AC69:AD69"/>
    <mergeCell ref="AE69:AF69"/>
    <mergeCell ref="AG69:AI69"/>
    <mergeCell ref="AG66:AI66"/>
    <mergeCell ref="AE67:AF67"/>
    <mergeCell ref="AG67:AI67"/>
    <mergeCell ref="Y66:Z66"/>
    <mergeCell ref="AA66:AB66"/>
    <mergeCell ref="AC66:AD66"/>
    <mergeCell ref="Y67:Z67"/>
    <mergeCell ref="AA67:AB67"/>
    <mergeCell ref="AC67:AD67"/>
    <mergeCell ref="Y68:Z68"/>
    <mergeCell ref="AA68:AB68"/>
    <mergeCell ref="AC68:AD68"/>
    <mergeCell ref="AE68:AF68"/>
    <mergeCell ref="AG68:AI68"/>
    <mergeCell ref="U86:X86"/>
    <mergeCell ref="U87:X87"/>
    <mergeCell ref="Y56:Z56"/>
    <mergeCell ref="AA56:AB56"/>
    <mergeCell ref="AC56:AD56"/>
    <mergeCell ref="AE56:AF56"/>
    <mergeCell ref="S56:X56"/>
    <mergeCell ref="Y57:Z57"/>
    <mergeCell ref="Y58:Z58"/>
    <mergeCell ref="AA57:AB57"/>
    <mergeCell ref="AC57:AD57"/>
    <mergeCell ref="AE57:AF57"/>
    <mergeCell ref="Y60:Z60"/>
    <mergeCell ref="U77:X77"/>
    <mergeCell ref="U78:X78"/>
    <mergeCell ref="U79:X79"/>
    <mergeCell ref="U80:X80"/>
    <mergeCell ref="U81:X81"/>
    <mergeCell ref="U82:X82"/>
    <mergeCell ref="U83:X83"/>
    <mergeCell ref="U84:X84"/>
    <mergeCell ref="U85:X85"/>
    <mergeCell ref="AA60:AB60"/>
    <mergeCell ref="AC60:AD60"/>
    <mergeCell ref="AE60:AF60"/>
    <mergeCell ref="AG60:AI60"/>
    <mergeCell ref="Y61:Z61"/>
    <mergeCell ref="AA61:AB61"/>
    <mergeCell ref="AC61:AD61"/>
    <mergeCell ref="AE61:AF61"/>
    <mergeCell ref="AG61:AI61"/>
    <mergeCell ref="AG57:AI57"/>
    <mergeCell ref="AA58:AB58"/>
    <mergeCell ref="AC58:AD58"/>
    <mergeCell ref="AE58:AF58"/>
    <mergeCell ref="AG58:AI58"/>
    <mergeCell ref="Y59:Z59"/>
    <mergeCell ref="AA59:AB59"/>
    <mergeCell ref="AC59:AD59"/>
    <mergeCell ref="AE59:AF59"/>
    <mergeCell ref="AG59:AI59"/>
    <mergeCell ref="L84:M84"/>
    <mergeCell ref="N84:O84"/>
    <mergeCell ref="P84:R84"/>
    <mergeCell ref="N83:O83"/>
    <mergeCell ref="P83:R83"/>
    <mergeCell ref="L85:M85"/>
    <mergeCell ref="N85:O85"/>
    <mergeCell ref="P85:R85"/>
    <mergeCell ref="L64:M64"/>
    <mergeCell ref="L78:M78"/>
    <mergeCell ref="N78:O78"/>
    <mergeCell ref="P78:R78"/>
    <mergeCell ref="N76:O76"/>
    <mergeCell ref="P76:R76"/>
    <mergeCell ref="P77:R77"/>
    <mergeCell ref="P80:R80"/>
    <mergeCell ref="N82:O82"/>
    <mergeCell ref="P82:R82"/>
    <mergeCell ref="N79:O79"/>
    <mergeCell ref="P79:R79"/>
    <mergeCell ref="L80:M80"/>
    <mergeCell ref="N80:O80"/>
    <mergeCell ref="S57:X57"/>
    <mergeCell ref="S58:X58"/>
    <mergeCell ref="S59:X59"/>
    <mergeCell ref="S60:X60"/>
    <mergeCell ref="S61:X61"/>
    <mergeCell ref="S62:X62"/>
    <mergeCell ref="S63:X63"/>
    <mergeCell ref="S64:X64"/>
    <mergeCell ref="S65:X65"/>
    <mergeCell ref="J86:K86"/>
    <mergeCell ref="H79:I79"/>
    <mergeCell ref="J59:K59"/>
    <mergeCell ref="J60:K60"/>
    <mergeCell ref="J62:K62"/>
    <mergeCell ref="J66:K66"/>
    <mergeCell ref="N62:O62"/>
    <mergeCell ref="P62:R62"/>
    <mergeCell ref="J63:K63"/>
    <mergeCell ref="L63:M63"/>
    <mergeCell ref="N63:O63"/>
    <mergeCell ref="P63:R63"/>
    <mergeCell ref="N64:O64"/>
    <mergeCell ref="P64:R64"/>
    <mergeCell ref="J65:K65"/>
    <mergeCell ref="L65:M65"/>
    <mergeCell ref="N65:O65"/>
    <mergeCell ref="P65:R65"/>
    <mergeCell ref="L86:M86"/>
    <mergeCell ref="N86:O86"/>
    <mergeCell ref="P86:R86"/>
    <mergeCell ref="L74:M74"/>
    <mergeCell ref="N74:O74"/>
    <mergeCell ref="P74:R74"/>
    <mergeCell ref="J58:K58"/>
    <mergeCell ref="J61:K61"/>
    <mergeCell ref="J64:K64"/>
    <mergeCell ref="J67:K67"/>
    <mergeCell ref="J73:K73"/>
    <mergeCell ref="J74:K74"/>
    <mergeCell ref="J79:K79"/>
    <mergeCell ref="J85:K85"/>
    <mergeCell ref="J71:K71"/>
    <mergeCell ref="J68:K68"/>
    <mergeCell ref="J69:K69"/>
    <mergeCell ref="J80:K80"/>
    <mergeCell ref="J70:K70"/>
    <mergeCell ref="J75:K75"/>
    <mergeCell ref="J78:K78"/>
    <mergeCell ref="B86:G86"/>
    <mergeCell ref="B87:G87"/>
    <mergeCell ref="B88:G88"/>
    <mergeCell ref="B56:G56"/>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85:I85"/>
    <mergeCell ref="H86:I86"/>
    <mergeCell ref="H87:I87"/>
    <mergeCell ref="S68:T68"/>
    <mergeCell ref="S66:X66"/>
    <mergeCell ref="B57:G57"/>
    <mergeCell ref="B58:G58"/>
    <mergeCell ref="B59:G59"/>
    <mergeCell ref="B60:G60"/>
    <mergeCell ref="B61:G61"/>
    <mergeCell ref="B62:G62"/>
    <mergeCell ref="B63:G63"/>
    <mergeCell ref="B64:G64"/>
    <mergeCell ref="B65:G65"/>
    <mergeCell ref="L58:M58"/>
    <mergeCell ref="N58:O58"/>
    <mergeCell ref="P58:R58"/>
    <mergeCell ref="L59:M59"/>
    <mergeCell ref="N59:O59"/>
    <mergeCell ref="P59:R59"/>
    <mergeCell ref="L60:M60"/>
    <mergeCell ref="N60:O60"/>
    <mergeCell ref="P60:R60"/>
    <mergeCell ref="L61:M61"/>
    <mergeCell ref="N61:O61"/>
    <mergeCell ref="P61:R61"/>
    <mergeCell ref="L62:M62"/>
    <mergeCell ref="B106:AI106"/>
    <mergeCell ref="B1:AI1"/>
    <mergeCell ref="B46:F46"/>
    <mergeCell ref="J46:AI46"/>
    <mergeCell ref="B102:AI102"/>
    <mergeCell ref="B103:AI103"/>
    <mergeCell ref="B104:AI104"/>
    <mergeCell ref="B92:AI92"/>
    <mergeCell ref="B3:AI3"/>
    <mergeCell ref="B6:AI6"/>
    <mergeCell ref="B28:AI28"/>
    <mergeCell ref="L2:AI2"/>
    <mergeCell ref="U67:X67"/>
    <mergeCell ref="U68:X68"/>
    <mergeCell ref="B5:G5"/>
    <mergeCell ref="B66:G66"/>
    <mergeCell ref="B67:G67"/>
    <mergeCell ref="B68:G68"/>
    <mergeCell ref="AG71:AI71"/>
    <mergeCell ref="L67:M67"/>
    <mergeCell ref="N67:O67"/>
    <mergeCell ref="P67:R67"/>
    <mergeCell ref="L68:M68"/>
    <mergeCell ref="N68:O68"/>
    <mergeCell ref="S81:T81"/>
    <mergeCell ref="I4:AI5"/>
    <mergeCell ref="P57:R57"/>
    <mergeCell ref="B2:K2"/>
    <mergeCell ref="B4:G4"/>
    <mergeCell ref="B105:AI105"/>
    <mergeCell ref="B101:K101"/>
    <mergeCell ref="J56:K56"/>
    <mergeCell ref="L56:M56"/>
    <mergeCell ref="N56:O56"/>
    <mergeCell ref="J57:K57"/>
    <mergeCell ref="L57:M57"/>
    <mergeCell ref="N81:O81"/>
    <mergeCell ref="Y82:Z82"/>
    <mergeCell ref="L79:M79"/>
    <mergeCell ref="S72:T72"/>
    <mergeCell ref="P68:R68"/>
    <mergeCell ref="L69:M69"/>
    <mergeCell ref="N69:O69"/>
    <mergeCell ref="P69:R69"/>
    <mergeCell ref="L66:M66"/>
    <mergeCell ref="N66:O66"/>
    <mergeCell ref="P66:R66"/>
    <mergeCell ref="P81:R81"/>
    <mergeCell ref="Y80:Z80"/>
    <mergeCell ref="AA80:AB80"/>
    <mergeCell ref="AC80:AD80"/>
    <mergeCell ref="AE80:AF80"/>
    <mergeCell ref="P75:R75"/>
    <mergeCell ref="U74:X74"/>
    <mergeCell ref="U75:X75"/>
    <mergeCell ref="U76:X76"/>
    <mergeCell ref="H74:I74"/>
    <mergeCell ref="H75:I75"/>
    <mergeCell ref="B70:G70"/>
    <mergeCell ref="U70:X70"/>
    <mergeCell ref="S73:T73"/>
    <mergeCell ref="S74:T74"/>
    <mergeCell ref="J76:K76"/>
    <mergeCell ref="L76:M76"/>
    <mergeCell ref="AE71:AF71"/>
    <mergeCell ref="L75:M75"/>
    <mergeCell ref="N75:O75"/>
    <mergeCell ref="Y70:Z70"/>
    <mergeCell ref="AA70:AB70"/>
    <mergeCell ref="AC70:AD70"/>
    <mergeCell ref="AE70:AF70"/>
    <mergeCell ref="S86:T86"/>
    <mergeCell ref="P70:R70"/>
    <mergeCell ref="B78:G78"/>
    <mergeCell ref="B84:G84"/>
    <mergeCell ref="B71:G71"/>
    <mergeCell ref="B72:G72"/>
    <mergeCell ref="B73:G73"/>
    <mergeCell ref="B74:G74"/>
    <mergeCell ref="H80:I80"/>
    <mergeCell ref="H81:I81"/>
    <mergeCell ref="B79:G79"/>
    <mergeCell ref="B81:G81"/>
    <mergeCell ref="B82:G82"/>
    <mergeCell ref="B83:G83"/>
    <mergeCell ref="H82:I82"/>
    <mergeCell ref="H83:I83"/>
    <mergeCell ref="H84:I84"/>
    <mergeCell ref="S82:T82"/>
    <mergeCell ref="B75:G75"/>
    <mergeCell ref="B76:G76"/>
    <mergeCell ref="B77:G77"/>
    <mergeCell ref="N72:O72"/>
    <mergeCell ref="P72:R72"/>
    <mergeCell ref="L73:M73"/>
    <mergeCell ref="Y83:Z83"/>
    <mergeCell ref="L71:M71"/>
    <mergeCell ref="N71:O71"/>
    <mergeCell ref="P71:R71"/>
    <mergeCell ref="J72:K72"/>
    <mergeCell ref="L72:M72"/>
    <mergeCell ref="AE66:AF66"/>
    <mergeCell ref="B85:G85"/>
    <mergeCell ref="J83:K83"/>
    <mergeCell ref="L83:M83"/>
    <mergeCell ref="J84:K84"/>
    <mergeCell ref="S85:T85"/>
    <mergeCell ref="U69:X69"/>
    <mergeCell ref="N73:O73"/>
    <mergeCell ref="P73:R73"/>
    <mergeCell ref="U71:X71"/>
    <mergeCell ref="U72:X72"/>
    <mergeCell ref="U73:X73"/>
    <mergeCell ref="J81:K81"/>
    <mergeCell ref="L81:M81"/>
    <mergeCell ref="J82:K82"/>
    <mergeCell ref="L82:M82"/>
    <mergeCell ref="B69:G69"/>
    <mergeCell ref="H73:I73"/>
    <mergeCell ref="L101:AI101"/>
    <mergeCell ref="B98:AI98"/>
    <mergeCell ref="B89:AI89"/>
    <mergeCell ref="B90:Q90"/>
    <mergeCell ref="R90:AI90"/>
    <mergeCell ref="B94:Q94"/>
    <mergeCell ref="R94:AI94"/>
    <mergeCell ref="S87:T87"/>
    <mergeCell ref="S88:AI88"/>
    <mergeCell ref="J87:K87"/>
    <mergeCell ref="L87:M87"/>
    <mergeCell ref="N87:O87"/>
    <mergeCell ref="P87:R87"/>
    <mergeCell ref="H88:I88"/>
    <mergeCell ref="J88:K88"/>
    <mergeCell ref="L88:M88"/>
    <mergeCell ref="N88:O88"/>
    <mergeCell ref="P88:R88"/>
    <mergeCell ref="L7:AI7"/>
    <mergeCell ref="B80:G80"/>
    <mergeCell ref="S67:T67"/>
    <mergeCell ref="S69:T69"/>
    <mergeCell ref="S70:T70"/>
    <mergeCell ref="S71:T71"/>
    <mergeCell ref="S75:T75"/>
    <mergeCell ref="S76:T76"/>
    <mergeCell ref="S77:T77"/>
    <mergeCell ref="S79:T79"/>
    <mergeCell ref="S80:T80"/>
    <mergeCell ref="H76:I76"/>
    <mergeCell ref="S78:T78"/>
    <mergeCell ref="H77:I77"/>
    <mergeCell ref="H78:I78"/>
    <mergeCell ref="J77:K77"/>
    <mergeCell ref="L77:M77"/>
    <mergeCell ref="N77:O77"/>
    <mergeCell ref="B7:G7"/>
    <mergeCell ref="B8:G8"/>
    <mergeCell ref="H7:K7"/>
    <mergeCell ref="H8:K8"/>
    <mergeCell ref="L70:M70"/>
    <mergeCell ref="N70:O70"/>
    <mergeCell ref="B9:G9"/>
    <mergeCell ref="B10:G10"/>
    <mergeCell ref="B11:G11"/>
    <mergeCell ref="H9:K9"/>
    <mergeCell ref="H10:K10"/>
    <mergeCell ref="H11:K11"/>
    <mergeCell ref="N57:O57"/>
    <mergeCell ref="B40:Q40"/>
    <mergeCell ref="R40:AI40"/>
    <mergeCell ref="O42:Q42"/>
    <mergeCell ref="O43:Q43"/>
    <mergeCell ref="O44:Q44"/>
    <mergeCell ref="O45:Q45"/>
    <mergeCell ref="R44:T44"/>
    <mergeCell ref="U44:W44"/>
    <mergeCell ref="X44:Z44"/>
    <mergeCell ref="AA44:AC44"/>
    <mergeCell ref="AD44:AF44"/>
    <mergeCell ref="AG44:AI44"/>
    <mergeCell ref="R45:T45"/>
    <mergeCell ref="U45:W45"/>
    <mergeCell ref="X45:Z45"/>
    <mergeCell ref="B39:AI39"/>
    <mergeCell ref="B41:AI41"/>
    <mergeCell ref="B48:AI48"/>
    <mergeCell ref="AD45:AF45"/>
    <mergeCell ref="AG45:AI45"/>
    <mergeCell ref="B42:D42"/>
    <mergeCell ref="B43:D43"/>
    <mergeCell ref="B45:D45"/>
    <mergeCell ref="E42:G42"/>
    <mergeCell ref="E43:G43"/>
    <mergeCell ref="E45:G45"/>
    <mergeCell ref="R42:T42"/>
    <mergeCell ref="R43:T43"/>
    <mergeCell ref="U42:W42"/>
    <mergeCell ref="X42:Z42"/>
    <mergeCell ref="AA42:AC42"/>
    <mergeCell ref="AG43:AI43"/>
    <mergeCell ref="AA43:AC43"/>
    <mergeCell ref="AD43:AF43"/>
    <mergeCell ref="AA45:AC45"/>
    <mergeCell ref="AG42:AI42"/>
    <mergeCell ref="B47:Q47"/>
    <mergeCell ref="R47:AI47"/>
    <mergeCell ref="AD42:AF42"/>
    <mergeCell ref="U43:W43"/>
    <mergeCell ref="X43:Z43"/>
    <mergeCell ref="AE50:AI50"/>
    <mergeCell ref="B51:AI54"/>
    <mergeCell ref="B91:AI91"/>
    <mergeCell ref="B96:AI96"/>
    <mergeCell ref="B97:AI97"/>
    <mergeCell ref="B99:AI99"/>
    <mergeCell ref="B95:AI95"/>
    <mergeCell ref="B49:D49"/>
    <mergeCell ref="E49:L49"/>
    <mergeCell ref="B50:D50"/>
    <mergeCell ref="E50:L50"/>
    <mergeCell ref="M49:Q49"/>
    <mergeCell ref="M50:Q50"/>
    <mergeCell ref="R49:T49"/>
    <mergeCell ref="U49:Y49"/>
    <mergeCell ref="Z49:AD49"/>
    <mergeCell ref="AE49:AI49"/>
    <mergeCell ref="R50:T50"/>
    <mergeCell ref="U50:Y50"/>
    <mergeCell ref="Z50:AD50"/>
    <mergeCell ref="S83:T83"/>
    <mergeCell ref="S84:T84"/>
    <mergeCell ref="B55:AI55"/>
    <mergeCell ref="Y81:Z81"/>
  </mergeCells>
  <phoneticPr fontId="2" type="noConversion"/>
  <dataValidations xWindow="910" yWindow="1072" count="7">
    <dataValidation type="list" allowBlank="1" showInputMessage="1" showErrorMessage="1" sqref="B5:G5" xr:uid="{9A0017EA-8249-4446-9F93-F3B9BAC31141}">
      <formula1>"1920s,现代,PULP,1890s,黑暗时代,未来时代"</formula1>
    </dataValidation>
    <dataValidation type="list" allowBlank="1" showInputMessage="1" showErrorMessage="1" sqref="H8:K8 E34:G37" xr:uid="{D9384C51-5F43-44D6-8885-F3528F86A307}">
      <formula1>"启用,禁用"</formula1>
    </dataValidation>
    <dataValidation type="list" allowBlank="1" showInputMessage="1" showErrorMessage="1" sqref="H11:K11" xr:uid="{CDB7E657-88D4-4EFB-8182-1FE709E96F65}">
      <formula1>"核心规则,通俗克苏鲁"</formula1>
    </dataValidation>
    <dataValidation type="list" allowBlank="1" showInputMessage="1" showErrorMessage="1" sqref="H10:K10" xr:uid="{7FAF81C4-DA65-4033-896D-1C8CF828A931}">
      <formula1>"禁用,STR,CON,SIZ,DEX,APP,EDU,INT,POW"</formula1>
    </dataValidation>
    <dataValidation allowBlank="1" showInputMessage="1" showErrorMessage="1" prompt="在此输入新的伤害加值，而非调整值。" sqref="R44:T44" xr:uid="{6DA50482-FF45-4D73-9E4B-44B9B35078BD}"/>
    <dataValidation type="whole" operator="notEqual" allowBlank="1" showInputMessage="1" showErrorMessage="1" prompt="在此输入调整值。" sqref="U44:W44 AA44:AI44" xr:uid="{3F336077-FEB0-41D7-9623-5D5AE548DEC3}">
      <formula1>9999</formula1>
    </dataValidation>
    <dataValidation type="whole" operator="notEqual" allowBlank="1" showInputMessage="1" showErrorMessage="1" prompt="在此输入MOV调整值。由年龄产生的MOV减值（如果有）已自动计算，无需二次调整。" sqref="X44:Z44" xr:uid="{AC614693-3069-42F2-BF24-2526BFA34006}">
      <formula1>9999</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Button 3">
              <controlPr defaultSize="0" print="0" autoFill="0" autoPict="0" macro="[0]!Generate_Char">
                <anchor moveWithCells="1" sizeWithCells="1">
                  <from>
                    <xdr:col>19</xdr:col>
                    <xdr:colOff>53340</xdr:colOff>
                    <xdr:row>15</xdr:row>
                    <xdr:rowOff>60960</xdr:rowOff>
                  </from>
                  <to>
                    <xdr:col>22</xdr:col>
                    <xdr:colOff>83820</xdr:colOff>
                    <xdr:row>17</xdr:row>
                    <xdr:rowOff>60960</xdr:rowOff>
                  </to>
                </anchor>
              </controlPr>
            </control>
          </mc:Choice>
        </mc:AlternateContent>
        <mc:AlternateContent xmlns:mc="http://schemas.openxmlformats.org/markup-compatibility/2006">
          <mc:Choice Requires="x14">
            <control shapeId="1029" r:id="rId5" name="Button 5">
              <controlPr defaultSize="0" print="0" autoFill="0" autoPict="0" macro="[0]!Delete_Char">
                <anchor moveWithCells="1" sizeWithCells="1">
                  <from>
                    <xdr:col>19</xdr:col>
                    <xdr:colOff>53340</xdr:colOff>
                    <xdr:row>19</xdr:row>
                    <xdr:rowOff>99060</xdr:rowOff>
                  </from>
                  <to>
                    <xdr:col>22</xdr:col>
                    <xdr:colOff>83820</xdr:colOff>
                    <xdr:row>21</xdr:row>
                    <xdr:rowOff>99060</xdr:rowOff>
                  </to>
                </anchor>
              </controlPr>
            </control>
          </mc:Choice>
        </mc:AlternateContent>
        <mc:AlternateContent xmlns:mc="http://schemas.openxmlformats.org/markup-compatibility/2006">
          <mc:Choice Requires="x14">
            <control shapeId="1033" r:id="rId6" name="Button 9">
              <controlPr defaultSize="0" print="0" autoFill="0" autoPict="0" macro="[0]!Generate_Luck">
                <anchor moveWithCells="1" sizeWithCells="1">
                  <from>
                    <xdr:col>8</xdr:col>
                    <xdr:colOff>99060</xdr:colOff>
                    <xdr:row>41</xdr:row>
                    <xdr:rowOff>38100</xdr:rowOff>
                  </from>
                  <to>
                    <xdr:col>11</xdr:col>
                    <xdr:colOff>167640</xdr:colOff>
                    <xdr:row>42</xdr:row>
                    <xdr:rowOff>152400</xdr:rowOff>
                  </to>
                </anchor>
              </controlPr>
            </control>
          </mc:Choice>
        </mc:AlternateContent>
        <mc:AlternateContent xmlns:mc="http://schemas.openxmlformats.org/markup-compatibility/2006">
          <mc:Choice Requires="x14">
            <control shapeId="1043" r:id="rId7" name="Button 19">
              <controlPr defaultSize="0" print="0" autoFill="0" autoPict="0" macro="[0]!Copy_Talents">
                <anchor moveWithCells="1" sizeWithCells="1">
                  <from>
                    <xdr:col>11</xdr:col>
                    <xdr:colOff>213360</xdr:colOff>
                    <xdr:row>32</xdr:row>
                    <xdr:rowOff>83820</xdr:rowOff>
                  </from>
                  <to>
                    <xdr:col>15</xdr:col>
                    <xdr:colOff>22860</xdr:colOff>
                    <xdr:row>34</xdr:row>
                    <xdr:rowOff>83820</xdr:rowOff>
                  </to>
                </anchor>
              </controlPr>
            </control>
          </mc:Choice>
        </mc:AlternateContent>
        <mc:AlternateContent xmlns:mc="http://schemas.openxmlformats.org/markup-compatibility/2006">
          <mc:Choice Requires="x14">
            <control shapeId="1046" r:id="rId8" name="Button 22">
              <controlPr defaultSize="0" print="0" autoFill="0" autoPict="0" macro="[0]!Delete_Luck">
                <anchor moveWithCells="1" sizeWithCells="1">
                  <from>
                    <xdr:col>8</xdr:col>
                    <xdr:colOff>99060</xdr:colOff>
                    <xdr:row>43</xdr:row>
                    <xdr:rowOff>53340</xdr:rowOff>
                  </from>
                  <to>
                    <xdr:col>11</xdr:col>
                    <xdr:colOff>167640</xdr:colOff>
                    <xdr:row>44</xdr:row>
                    <xdr:rowOff>167640</xdr:rowOff>
                  </to>
                </anchor>
              </controlPr>
            </control>
          </mc:Choice>
        </mc:AlternateContent>
        <mc:AlternateContent xmlns:mc="http://schemas.openxmlformats.org/markup-compatibility/2006">
          <mc:Choice Requires="x14">
            <control shapeId="1044" r:id="rId9" name="Button 20">
              <controlPr defaultSize="0" print="0" autoFill="0" autoPict="0" macro="[0]!Delete_Talents">
                <anchor moveWithCells="1" sizeWithCells="1">
                  <from>
                    <xdr:col>11</xdr:col>
                    <xdr:colOff>213360</xdr:colOff>
                    <xdr:row>35</xdr:row>
                    <xdr:rowOff>7620</xdr:rowOff>
                  </from>
                  <to>
                    <xdr:col>15</xdr:col>
                    <xdr:colOff>22860</xdr:colOff>
                    <xdr:row>37</xdr:row>
                    <xdr:rowOff>7620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xWindow="910" yWindow="1072" count="3">
        <x14:dataValidation type="list" allowBlank="1" showInputMessage="1" showErrorMessage="1" xr:uid="{A474F8DE-F969-450E-8639-D36DDE5B456A}">
          <x14:formula1>
            <xm:f>OFFSET(角色卡模板!$B$82,,,15-COUNTBLANK(角色卡模板!$B$82:$B$96))</xm:f>
          </x14:formula1>
          <xm:sqref>U73:X74</xm:sqref>
        </x14:dataValidation>
        <x14:dataValidation type="list" allowBlank="1" showInputMessage="1" showErrorMessage="1" xr:uid="{D24D4FF9-2EDE-4F26-9409-F16344051009}">
          <x14:formula1>
            <xm:f>OFFSET(角色卡模板!$B$67,,,15-COUNTBLANK(角色卡模板!$B$67:$B$81))</xm:f>
          </x14:formula1>
          <xm:sqref>U70:X71</xm:sqref>
        </x14:dataValidation>
        <x14:dataValidation type="list" allowBlank="1" showInputMessage="1" showErrorMessage="1" xr:uid="{13B3875B-D6DF-40E3-A37B-F1E31EC58EBE}">
          <x14:formula1>
            <xm:f>扩展资源!$B$5:$B$26</xm:f>
          </x14:formula1>
          <xm:sqref>H9:K9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AV98"/>
  <sheetViews>
    <sheetView showGridLines="0" showRowColHeaders="0" zoomScaleNormal="100" workbookViewId="0">
      <selection activeCell="D3" sqref="D3:N3"/>
    </sheetView>
  </sheetViews>
  <sheetFormatPr defaultColWidth="3.21875" defaultRowHeight="15" x14ac:dyDescent="0.25"/>
  <cols>
    <col min="1" max="46" width="3.21875" style="36"/>
    <col min="47" max="47" width="3.44140625" style="36" bestFit="1" customWidth="1"/>
    <col min="48" max="16384" width="3.21875" style="36"/>
  </cols>
  <sheetData>
    <row r="1" spans="1:43" ht="15.6" thickBot="1" x14ac:dyDescent="0.3">
      <c r="N1" s="39"/>
      <c r="O1" s="39"/>
      <c r="P1" s="40"/>
      <c r="Q1" s="40"/>
      <c r="R1" s="40"/>
      <c r="S1" s="40"/>
      <c r="T1" s="40"/>
      <c r="U1" s="40"/>
      <c r="V1" s="40"/>
      <c r="W1" s="40"/>
      <c r="X1" s="40"/>
      <c r="Y1" s="40"/>
      <c r="Z1" s="40"/>
      <c r="AA1" s="40"/>
      <c r="AB1" s="40"/>
      <c r="AC1" s="40"/>
      <c r="AD1" s="40"/>
      <c r="AE1" s="40"/>
      <c r="AF1" s="39"/>
      <c r="AG1" s="39"/>
    </row>
    <row r="2" spans="1:43" ht="15.6" x14ac:dyDescent="0.25">
      <c r="B2" s="335" t="str">
        <f>模板选择&amp;" "&amp;IF(Pulp_Switch="启用","英雄信息","调查员信息")</f>
        <v>1920s 调查员信息</v>
      </c>
      <c r="C2" s="336"/>
      <c r="D2" s="336"/>
      <c r="E2" s="336"/>
      <c r="F2" s="336"/>
      <c r="G2" s="336"/>
      <c r="H2" s="336"/>
      <c r="I2" s="336"/>
      <c r="J2" s="336"/>
      <c r="K2" s="336"/>
      <c r="L2" s="336"/>
      <c r="M2" s="336"/>
      <c r="N2" s="337"/>
      <c r="P2" s="362" t="s">
        <v>229</v>
      </c>
      <c r="Q2" s="363"/>
      <c r="R2" s="363"/>
      <c r="S2" s="363"/>
      <c r="T2" s="363"/>
      <c r="U2" s="363"/>
      <c r="V2" s="363"/>
      <c r="W2" s="363"/>
      <c r="X2" s="363"/>
      <c r="Y2" s="363"/>
      <c r="Z2" s="363"/>
      <c r="AA2" s="363"/>
      <c r="AB2" s="363"/>
      <c r="AC2" s="363"/>
      <c r="AD2" s="363"/>
      <c r="AE2" s="363"/>
      <c r="AF2" s="363"/>
      <c r="AG2" s="364"/>
      <c r="AI2" s="452" t="s">
        <v>6</v>
      </c>
      <c r="AJ2" s="453"/>
      <c r="AK2" s="453"/>
      <c r="AL2" s="453"/>
      <c r="AM2" s="453"/>
      <c r="AN2" s="453"/>
      <c r="AO2" s="453"/>
      <c r="AP2" s="453"/>
      <c r="AQ2" s="454"/>
    </row>
    <row r="3" spans="1:43" x14ac:dyDescent="0.25">
      <c r="B3" s="410" t="s">
        <v>0</v>
      </c>
      <c r="C3" s="564"/>
      <c r="D3" s="511"/>
      <c r="E3" s="512"/>
      <c r="F3" s="512"/>
      <c r="G3" s="512"/>
      <c r="H3" s="512"/>
      <c r="I3" s="512"/>
      <c r="J3" s="512"/>
      <c r="K3" s="512"/>
      <c r="L3" s="512"/>
      <c r="M3" s="512"/>
      <c r="N3" s="513"/>
      <c r="P3" s="206" t="s">
        <v>272</v>
      </c>
      <c r="Q3" s="207"/>
      <c r="R3" s="563">
        <f>创建调查员!P16</f>
        <v>0</v>
      </c>
      <c r="S3" s="563"/>
      <c r="T3" s="190">
        <f>INT(R3/2)</f>
        <v>0</v>
      </c>
      <c r="U3" s="190"/>
      <c r="V3" s="529" t="s">
        <v>274</v>
      </c>
      <c r="W3" s="529"/>
      <c r="X3" s="534">
        <f>创建调查员!P19</f>
        <v>0</v>
      </c>
      <c r="Y3" s="535"/>
      <c r="Z3" s="541">
        <f>INT(X3/2)</f>
        <v>0</v>
      </c>
      <c r="AA3" s="541"/>
      <c r="AB3" s="528" t="s">
        <v>525</v>
      </c>
      <c r="AC3" s="528"/>
      <c r="AD3" s="530">
        <f>创建调查员!P22</f>
        <v>0</v>
      </c>
      <c r="AE3" s="531"/>
      <c r="AF3" s="190">
        <f>INT(AD3/2)</f>
        <v>0</v>
      </c>
      <c r="AG3" s="540"/>
      <c r="AI3" s="455"/>
      <c r="AJ3" s="456"/>
      <c r="AK3" s="456"/>
      <c r="AL3" s="456"/>
      <c r="AM3" s="456"/>
      <c r="AN3" s="456"/>
      <c r="AO3" s="456"/>
      <c r="AP3" s="456"/>
      <c r="AQ3" s="457"/>
    </row>
    <row r="4" spans="1:43" x14ac:dyDescent="0.25">
      <c r="B4" s="565" t="s">
        <v>1</v>
      </c>
      <c r="C4" s="566"/>
      <c r="D4" s="514"/>
      <c r="E4" s="515"/>
      <c r="F4" s="515"/>
      <c r="G4" s="515"/>
      <c r="H4" s="515"/>
      <c r="I4" s="515"/>
      <c r="J4" s="515"/>
      <c r="K4" s="515"/>
      <c r="L4" s="515"/>
      <c r="M4" s="515"/>
      <c r="N4" s="516"/>
      <c r="P4" s="206"/>
      <c r="Q4" s="207"/>
      <c r="R4" s="563"/>
      <c r="S4" s="563"/>
      <c r="T4" s="188">
        <f>INT(R3/5)</f>
        <v>0</v>
      </c>
      <c r="U4" s="188"/>
      <c r="V4" s="529"/>
      <c r="W4" s="529"/>
      <c r="X4" s="536"/>
      <c r="Y4" s="537"/>
      <c r="Z4" s="541">
        <f>INT(X3/5)</f>
        <v>0</v>
      </c>
      <c r="AA4" s="541"/>
      <c r="AB4" s="528"/>
      <c r="AC4" s="528"/>
      <c r="AD4" s="532"/>
      <c r="AE4" s="533"/>
      <c r="AF4" s="190">
        <f>INT(AD3/5)</f>
        <v>0</v>
      </c>
      <c r="AG4" s="540"/>
      <c r="AI4" s="455"/>
      <c r="AJ4" s="456"/>
      <c r="AK4" s="456"/>
      <c r="AL4" s="456"/>
      <c r="AM4" s="456"/>
      <c r="AN4" s="456"/>
      <c r="AO4" s="456"/>
      <c r="AP4" s="456"/>
      <c r="AQ4" s="457"/>
    </row>
    <row r="5" spans="1:43" x14ac:dyDescent="0.25">
      <c r="B5" s="410" t="s">
        <v>2</v>
      </c>
      <c r="C5" s="564"/>
      <c r="D5" s="511"/>
      <c r="E5" s="512"/>
      <c r="F5" s="512"/>
      <c r="G5" s="512"/>
      <c r="H5" s="512"/>
      <c r="I5" s="512"/>
      <c r="J5" s="512"/>
      <c r="K5" s="512"/>
      <c r="L5" s="512"/>
      <c r="M5" s="512"/>
      <c r="N5" s="513"/>
      <c r="P5" s="569" t="s">
        <v>273</v>
      </c>
      <c r="Q5" s="529"/>
      <c r="R5" s="534">
        <f>创建调查员!P17</f>
        <v>0</v>
      </c>
      <c r="S5" s="535"/>
      <c r="T5" s="541">
        <f t="shared" ref="T5" si="0">INT(R5/2)</f>
        <v>0</v>
      </c>
      <c r="U5" s="541"/>
      <c r="V5" s="207" t="s">
        <v>345</v>
      </c>
      <c r="W5" s="207"/>
      <c r="X5" s="530">
        <f>创建调查员!P20</f>
        <v>0</v>
      </c>
      <c r="Y5" s="531"/>
      <c r="Z5" s="190">
        <f t="shared" ref="Z5" si="1">INT(X5/2)</f>
        <v>0</v>
      </c>
      <c r="AA5" s="190"/>
      <c r="AB5" s="529" t="s">
        <v>467</v>
      </c>
      <c r="AC5" s="529"/>
      <c r="AD5" s="534">
        <f>创建调查员!P23</f>
        <v>0</v>
      </c>
      <c r="AE5" s="535"/>
      <c r="AF5" s="541">
        <f>INT(AD5/2)</f>
        <v>0</v>
      </c>
      <c r="AG5" s="542"/>
      <c r="AI5" s="455"/>
      <c r="AJ5" s="456"/>
      <c r="AK5" s="456"/>
      <c r="AL5" s="456"/>
      <c r="AM5" s="456"/>
      <c r="AN5" s="456"/>
      <c r="AO5" s="456"/>
      <c r="AP5" s="456"/>
      <c r="AQ5" s="457"/>
    </row>
    <row r="6" spans="1:43" x14ac:dyDescent="0.25">
      <c r="B6" s="565" t="s">
        <v>3</v>
      </c>
      <c r="C6" s="566"/>
      <c r="D6" s="461"/>
      <c r="E6" s="462"/>
      <c r="F6" s="462"/>
      <c r="G6" s="462"/>
      <c r="H6" s="463"/>
      <c r="I6" s="277" t="s">
        <v>4</v>
      </c>
      <c r="J6" s="566"/>
      <c r="K6" s="570"/>
      <c r="L6" s="570"/>
      <c r="M6" s="570"/>
      <c r="N6" s="571"/>
      <c r="P6" s="569"/>
      <c r="Q6" s="529"/>
      <c r="R6" s="536"/>
      <c r="S6" s="537"/>
      <c r="T6" s="314">
        <f t="shared" ref="T6" si="2">INT(R5/5)</f>
        <v>0</v>
      </c>
      <c r="U6" s="314"/>
      <c r="V6" s="207"/>
      <c r="W6" s="207"/>
      <c r="X6" s="532"/>
      <c r="Y6" s="533"/>
      <c r="Z6" s="190">
        <f t="shared" ref="Z6" si="3">INT(X5/5)</f>
        <v>0</v>
      </c>
      <c r="AA6" s="190"/>
      <c r="AB6" s="529"/>
      <c r="AC6" s="529"/>
      <c r="AD6" s="536"/>
      <c r="AE6" s="537"/>
      <c r="AF6" s="541">
        <f>INT(AD5/5)</f>
        <v>0</v>
      </c>
      <c r="AG6" s="542"/>
      <c r="AI6" s="455"/>
      <c r="AJ6" s="456"/>
      <c r="AK6" s="456"/>
      <c r="AL6" s="456"/>
      <c r="AM6" s="456"/>
      <c r="AN6" s="456"/>
      <c r="AO6" s="456"/>
      <c r="AP6" s="456"/>
      <c r="AQ6" s="457"/>
    </row>
    <row r="7" spans="1:43" x14ac:dyDescent="0.25">
      <c r="B7" s="410" t="s">
        <v>230</v>
      </c>
      <c r="C7" s="564"/>
      <c r="D7" s="572"/>
      <c r="E7" s="573"/>
      <c r="F7" s="573"/>
      <c r="G7" s="573"/>
      <c r="H7" s="573"/>
      <c r="I7" s="573"/>
      <c r="J7" s="573"/>
      <c r="K7" s="573"/>
      <c r="L7" s="573"/>
      <c r="M7" s="573"/>
      <c r="N7" s="574"/>
      <c r="P7" s="206" t="s">
        <v>5</v>
      </c>
      <c r="Q7" s="207"/>
      <c r="R7" s="530">
        <f>创建调查员!P18</f>
        <v>0</v>
      </c>
      <c r="S7" s="531"/>
      <c r="T7" s="190">
        <f t="shared" ref="T7" si="4">INT(R7/2)</f>
        <v>0</v>
      </c>
      <c r="U7" s="190"/>
      <c r="V7" s="561" t="s">
        <v>466</v>
      </c>
      <c r="W7" s="561"/>
      <c r="X7" s="534">
        <f>创建调查员!P21</f>
        <v>0</v>
      </c>
      <c r="Y7" s="535"/>
      <c r="Z7" s="541">
        <f t="shared" ref="Z7" si="5">INT(X7/2)</f>
        <v>0</v>
      </c>
      <c r="AA7" s="541"/>
      <c r="AB7" s="207" t="s">
        <v>464</v>
      </c>
      <c r="AC7" s="207"/>
      <c r="AD7" s="538">
        <f>创建调查员!X45</f>
        <v>0</v>
      </c>
      <c r="AE7" s="538"/>
      <c r="AF7" s="543" t="s">
        <v>271</v>
      </c>
      <c r="AG7" s="544"/>
      <c r="AI7" s="455"/>
      <c r="AJ7" s="456"/>
      <c r="AK7" s="456"/>
      <c r="AL7" s="456"/>
      <c r="AM7" s="456"/>
      <c r="AN7" s="456"/>
      <c r="AO7" s="456"/>
      <c r="AP7" s="456"/>
      <c r="AQ7" s="457"/>
    </row>
    <row r="8" spans="1:43" ht="15.6" thickBot="1" x14ac:dyDescent="0.3">
      <c r="B8" s="567" t="s">
        <v>470</v>
      </c>
      <c r="C8" s="568"/>
      <c r="D8" s="575"/>
      <c r="E8" s="576"/>
      <c r="F8" s="576"/>
      <c r="G8" s="576"/>
      <c r="H8" s="576"/>
      <c r="I8" s="576"/>
      <c r="J8" s="576"/>
      <c r="K8" s="576"/>
      <c r="L8" s="576"/>
      <c r="M8" s="576"/>
      <c r="N8" s="577"/>
      <c r="P8" s="180"/>
      <c r="Q8" s="181"/>
      <c r="R8" s="559"/>
      <c r="S8" s="560"/>
      <c r="T8" s="176">
        <f t="shared" ref="T8" si="6">INT(R7/5)</f>
        <v>0</v>
      </c>
      <c r="U8" s="176"/>
      <c r="V8" s="562"/>
      <c r="W8" s="562"/>
      <c r="X8" s="556"/>
      <c r="Y8" s="557"/>
      <c r="Z8" s="558">
        <f t="shared" ref="Z8" si="7">INT(X7/5)</f>
        <v>0</v>
      </c>
      <c r="AA8" s="558"/>
      <c r="AB8" s="181"/>
      <c r="AC8" s="181"/>
      <c r="AD8" s="539"/>
      <c r="AE8" s="539"/>
      <c r="AF8" s="545">
        <v>0</v>
      </c>
      <c r="AG8" s="546"/>
      <c r="AI8" s="455"/>
      <c r="AJ8" s="456"/>
      <c r="AK8" s="456"/>
      <c r="AL8" s="456"/>
      <c r="AM8" s="456"/>
      <c r="AN8" s="456"/>
      <c r="AO8" s="456"/>
      <c r="AP8" s="456"/>
      <c r="AQ8" s="457"/>
    </row>
    <row r="9" spans="1:43" ht="15.6" thickBot="1" x14ac:dyDescent="0.3">
      <c r="A9" s="41"/>
      <c r="B9" s="41"/>
      <c r="C9" s="41"/>
      <c r="D9" s="41"/>
      <c r="E9" s="41"/>
      <c r="AI9" s="455"/>
      <c r="AJ9" s="456"/>
      <c r="AK9" s="456"/>
      <c r="AL9" s="456"/>
      <c r="AM9" s="456"/>
      <c r="AN9" s="456"/>
      <c r="AO9" s="456"/>
      <c r="AP9" s="456"/>
      <c r="AQ9" s="457"/>
    </row>
    <row r="10" spans="1:43" x14ac:dyDescent="0.25">
      <c r="B10" s="236" t="s">
        <v>871</v>
      </c>
      <c r="C10" s="502"/>
      <c r="D10" s="503"/>
      <c r="E10" s="478">
        <f>创建调查员!AA45</f>
        <v>0</v>
      </c>
      <c r="F10" s="478"/>
      <c r="G10" s="478"/>
      <c r="H10" s="480">
        <f>创建调查员!AA45</f>
        <v>0</v>
      </c>
      <c r="I10" s="480"/>
      <c r="J10" s="481"/>
      <c r="K10" s="471" t="s">
        <v>872</v>
      </c>
      <c r="L10" s="472"/>
      <c r="M10" s="473"/>
      <c r="N10" s="521">
        <f>创建调查员!AD45</f>
        <v>0</v>
      </c>
      <c r="O10" s="493"/>
      <c r="P10" s="493"/>
      <c r="Q10" s="496" cm="1">
        <f t="array" ref="Q10">SANmax</f>
        <v>99</v>
      </c>
      <c r="R10" s="496"/>
      <c r="S10" s="523"/>
      <c r="T10" s="237" t="s">
        <v>471</v>
      </c>
      <c r="U10" s="502"/>
      <c r="V10" s="503"/>
      <c r="W10" s="478">
        <f>创建调查员!E43</f>
        <v>0</v>
      </c>
      <c r="X10" s="478"/>
      <c r="Y10" s="480">
        <v>99</v>
      </c>
      <c r="Z10" s="481"/>
      <c r="AA10" s="471" t="s">
        <v>873</v>
      </c>
      <c r="AB10" s="472"/>
      <c r="AC10" s="473"/>
      <c r="AD10" s="493">
        <f>创建调查员!AG45</f>
        <v>0</v>
      </c>
      <c r="AE10" s="493"/>
      <c r="AF10" s="496">
        <f>创建调查员!AG45</f>
        <v>0</v>
      </c>
      <c r="AG10" s="497"/>
      <c r="AI10" s="455"/>
      <c r="AJ10" s="456"/>
      <c r="AK10" s="456"/>
      <c r="AL10" s="456"/>
      <c r="AM10" s="456"/>
      <c r="AN10" s="456"/>
      <c r="AO10" s="456"/>
      <c r="AP10" s="456"/>
      <c r="AQ10" s="457"/>
    </row>
    <row r="11" spans="1:43" x14ac:dyDescent="0.25">
      <c r="B11" s="526"/>
      <c r="C11" s="504"/>
      <c r="D11" s="505"/>
      <c r="E11" s="479"/>
      <c r="F11" s="479"/>
      <c r="G11" s="479"/>
      <c r="H11" s="482"/>
      <c r="I11" s="482"/>
      <c r="J11" s="483"/>
      <c r="K11" s="474"/>
      <c r="L11" s="474"/>
      <c r="M11" s="475"/>
      <c r="N11" s="522"/>
      <c r="O11" s="522"/>
      <c r="P11" s="522"/>
      <c r="Q11" s="524"/>
      <c r="R11" s="524"/>
      <c r="S11" s="525"/>
      <c r="T11" s="504"/>
      <c r="U11" s="504"/>
      <c r="V11" s="505"/>
      <c r="W11" s="484"/>
      <c r="X11" s="484"/>
      <c r="Y11" s="486"/>
      <c r="Z11" s="487"/>
      <c r="AA11" s="474"/>
      <c r="AB11" s="474"/>
      <c r="AC11" s="475"/>
      <c r="AD11" s="494"/>
      <c r="AE11" s="494"/>
      <c r="AF11" s="498"/>
      <c r="AG11" s="499"/>
      <c r="AI11" s="455"/>
      <c r="AJ11" s="456"/>
      <c r="AK11" s="456"/>
      <c r="AL11" s="456"/>
      <c r="AM11" s="456"/>
      <c r="AN11" s="456"/>
      <c r="AO11" s="456"/>
      <c r="AP11" s="456"/>
      <c r="AQ11" s="457"/>
    </row>
    <row r="12" spans="1:43" ht="15.6" thickBot="1" x14ac:dyDescent="0.3">
      <c r="B12" s="527"/>
      <c r="C12" s="506"/>
      <c r="D12" s="507"/>
      <c r="E12" s="31" t="s">
        <v>340</v>
      </c>
      <c r="F12" s="517" t="str">
        <f>IF(Pulp_Switch="启用","——","重伤")</f>
        <v>重伤</v>
      </c>
      <c r="G12" s="517"/>
      <c r="H12" s="31" t="s">
        <v>463</v>
      </c>
      <c r="I12" s="517" t="s">
        <v>44</v>
      </c>
      <c r="J12" s="518"/>
      <c r="K12" s="476"/>
      <c r="L12" s="476"/>
      <c r="M12" s="477"/>
      <c r="N12" s="54" t="s">
        <v>463</v>
      </c>
      <c r="O12" s="519" t="s">
        <v>461</v>
      </c>
      <c r="P12" s="519"/>
      <c r="Q12" s="54" t="s">
        <v>340</v>
      </c>
      <c r="R12" s="519" t="s">
        <v>462</v>
      </c>
      <c r="S12" s="520"/>
      <c r="T12" s="506"/>
      <c r="U12" s="506"/>
      <c r="V12" s="507"/>
      <c r="W12" s="485"/>
      <c r="X12" s="485"/>
      <c r="Y12" s="488"/>
      <c r="Z12" s="489"/>
      <c r="AA12" s="476"/>
      <c r="AB12" s="476"/>
      <c r="AC12" s="477"/>
      <c r="AD12" s="495"/>
      <c r="AE12" s="495"/>
      <c r="AF12" s="500"/>
      <c r="AG12" s="501"/>
      <c r="AI12" s="458"/>
      <c r="AJ12" s="459"/>
      <c r="AK12" s="459"/>
      <c r="AL12" s="459"/>
      <c r="AM12" s="459"/>
      <c r="AN12" s="459"/>
      <c r="AO12" s="459"/>
      <c r="AP12" s="459"/>
      <c r="AQ12" s="460"/>
    </row>
    <row r="13" spans="1:43" ht="15.6" thickBot="1" x14ac:dyDescent="0.4">
      <c r="B13" s="42"/>
      <c r="C13" s="42"/>
      <c r="E13" s="43"/>
      <c r="F13" s="44"/>
      <c r="G13" s="44"/>
      <c r="H13" s="44"/>
      <c r="I13" s="44"/>
      <c r="J13" s="44"/>
      <c r="K13" s="44"/>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row>
    <row r="14" spans="1:43" ht="15.6" x14ac:dyDescent="0.25">
      <c r="B14" s="508" t="str">
        <f>IF(Pulp_Switch="启用","英雄技能","调查员技能")</f>
        <v>调查员技能</v>
      </c>
      <c r="C14" s="509"/>
      <c r="D14" s="509"/>
      <c r="E14" s="509"/>
      <c r="F14" s="509"/>
      <c r="G14" s="509"/>
      <c r="H14" s="509"/>
      <c r="I14" s="509"/>
      <c r="J14" s="509"/>
      <c r="K14" s="509"/>
      <c r="L14" s="509"/>
      <c r="M14" s="509"/>
      <c r="N14" s="509"/>
      <c r="O14" s="509"/>
      <c r="P14" s="509"/>
      <c r="Q14" s="509"/>
      <c r="R14" s="509"/>
      <c r="S14" s="509"/>
      <c r="T14" s="509"/>
      <c r="U14" s="509"/>
      <c r="V14" s="509"/>
      <c r="W14" s="509"/>
      <c r="X14" s="509"/>
      <c r="Y14" s="509"/>
      <c r="Z14" s="509"/>
      <c r="AA14" s="509"/>
      <c r="AB14" s="509"/>
      <c r="AC14" s="509"/>
      <c r="AD14" s="509"/>
      <c r="AE14" s="509"/>
      <c r="AF14" s="509"/>
      <c r="AG14" s="509"/>
      <c r="AH14" s="509"/>
      <c r="AI14" s="509"/>
      <c r="AJ14" s="509"/>
      <c r="AK14" s="509"/>
      <c r="AL14" s="509"/>
      <c r="AM14" s="509"/>
      <c r="AN14" s="509"/>
      <c r="AO14" s="509"/>
      <c r="AP14" s="509"/>
      <c r="AQ14" s="510"/>
    </row>
    <row r="15" spans="1:43" x14ac:dyDescent="0.25">
      <c r="B15" s="46"/>
      <c r="C15" s="468" t="s">
        <v>284</v>
      </c>
      <c r="D15" s="468"/>
      <c r="E15" s="468"/>
      <c r="F15" s="468"/>
      <c r="G15" s="468"/>
      <c r="H15" s="468" t="s">
        <v>588</v>
      </c>
      <c r="I15" s="468"/>
      <c r="J15" s="468" t="s">
        <v>465</v>
      </c>
      <c r="K15" s="468"/>
      <c r="L15" s="468" t="s">
        <v>8</v>
      </c>
      <c r="M15" s="468"/>
      <c r="N15" s="468"/>
      <c r="O15" s="469"/>
      <c r="P15" s="47"/>
      <c r="Q15" s="468" t="s">
        <v>284</v>
      </c>
      <c r="R15" s="468"/>
      <c r="S15" s="468"/>
      <c r="T15" s="468"/>
      <c r="U15" s="468"/>
      <c r="V15" s="468" t="s">
        <v>588</v>
      </c>
      <c r="W15" s="468"/>
      <c r="X15" s="468" t="s">
        <v>465</v>
      </c>
      <c r="Y15" s="468"/>
      <c r="Z15" s="468" t="s">
        <v>8</v>
      </c>
      <c r="AA15" s="468"/>
      <c r="AB15" s="468"/>
      <c r="AC15" s="469"/>
      <c r="AD15" s="47"/>
      <c r="AE15" s="468" t="s">
        <v>284</v>
      </c>
      <c r="AF15" s="468"/>
      <c r="AG15" s="468"/>
      <c r="AH15" s="468"/>
      <c r="AI15" s="468"/>
      <c r="AJ15" s="468" t="s">
        <v>588</v>
      </c>
      <c r="AK15" s="468"/>
      <c r="AL15" s="468" t="s">
        <v>465</v>
      </c>
      <c r="AM15" s="468"/>
      <c r="AN15" s="468" t="s">
        <v>8</v>
      </c>
      <c r="AO15" s="468"/>
      <c r="AP15" s="468"/>
      <c r="AQ15" s="605"/>
    </row>
    <row r="16" spans="1:43" x14ac:dyDescent="0.25">
      <c r="B16" s="32" t="s">
        <v>340</v>
      </c>
      <c r="C16" s="448" t="str">
        <f>IF(ISBLANK(创建调查员!B57),,创建调查员!B57)</f>
        <v>博物学</v>
      </c>
      <c r="D16" s="448"/>
      <c r="E16" s="448"/>
      <c r="F16" s="448"/>
      <c r="G16" s="448"/>
      <c r="H16" s="449">
        <f>创建调查员!P57</f>
        <v>10</v>
      </c>
      <c r="I16" s="449"/>
      <c r="J16" s="449"/>
      <c r="K16" s="449"/>
      <c r="L16" s="450" t="str">
        <f>SUM(H16:K16)&amp;"% ("&amp;INT(SUM(H16:K16)/2)&amp;"/"&amp;INT(SUM(H16:K16)/5)&amp;")"</f>
        <v>10% (5/2)</v>
      </c>
      <c r="M16" s="450"/>
      <c r="N16" s="450"/>
      <c r="O16" s="451"/>
      <c r="P16" s="28" t="s">
        <v>463</v>
      </c>
      <c r="Q16" s="490" t="str">
        <f>IF(ISBLANK(创建调查员!B78),,创建调查员!B78)</f>
        <v>乔装</v>
      </c>
      <c r="R16" s="491"/>
      <c r="S16" s="491"/>
      <c r="T16" s="491"/>
      <c r="U16" s="492"/>
      <c r="V16" s="449">
        <f>创建调查员!P78</f>
        <v>5</v>
      </c>
      <c r="W16" s="449"/>
      <c r="X16" s="449"/>
      <c r="Y16" s="449"/>
      <c r="Z16" s="450" t="str">
        <f t="shared" ref="Z16" si="8">SUM(V16:Y16)&amp;"% ("&amp;INT(SUM(V16:Y16)/2)&amp;"/"&amp;INT(SUM(V16:Y16)/5)&amp;")"</f>
        <v>5% (2/1)</v>
      </c>
      <c r="AA16" s="450"/>
      <c r="AB16" s="450"/>
      <c r="AC16" s="451"/>
      <c r="AD16" s="28" t="s">
        <v>463</v>
      </c>
      <c r="AE16" s="448" t="str">
        <f>IF(ISBLANK(创建调查员!U67),创建调查员!S67,创建调查员!S67&amp;"("&amp;创建调查员!U67&amp;")")</f>
        <v>技艺</v>
      </c>
      <c r="AF16" s="448"/>
      <c r="AG16" s="448"/>
      <c r="AH16" s="448"/>
      <c r="AI16" s="448"/>
      <c r="AJ16" s="449">
        <f>创建调查员!AG67</f>
        <v>5</v>
      </c>
      <c r="AK16" s="449"/>
      <c r="AL16" s="449"/>
      <c r="AM16" s="449"/>
      <c r="AN16" s="450" t="str">
        <f>SUM(AJ16:AM16)&amp;"% ("&amp;INT(SUM(AJ16:AM16)/2)&amp;"/"&amp;INT(SUM(AJ16:AM16)/5)&amp;")"</f>
        <v>5% (2/1)</v>
      </c>
      <c r="AO16" s="450"/>
      <c r="AP16" s="450"/>
      <c r="AQ16" s="555"/>
    </row>
    <row r="17" spans="2:43" x14ac:dyDescent="0.25">
      <c r="B17" s="33" t="s">
        <v>340</v>
      </c>
      <c r="C17" s="442" t="str">
        <f>IF(ISBLANK(创建调查员!B58),,创建调查员!B58)</f>
        <v>操作重型机械</v>
      </c>
      <c r="D17" s="443"/>
      <c r="E17" s="443"/>
      <c r="F17" s="443"/>
      <c r="G17" s="444"/>
      <c r="H17" s="445">
        <f>创建调查员!P58</f>
        <v>1</v>
      </c>
      <c r="I17" s="445"/>
      <c r="J17" s="445"/>
      <c r="K17" s="445"/>
      <c r="L17" s="446" t="str">
        <f t="shared" ref="L17:L36" si="9">SUM(H17:K17)&amp;"% ("&amp;INT(SUM(H17:K17)/2)&amp;"/"&amp;INT(SUM(H17:K17)/5)&amp;")"</f>
        <v>1% (0/0)</v>
      </c>
      <c r="M17" s="446"/>
      <c r="N17" s="446"/>
      <c r="O17" s="447"/>
      <c r="P17" s="30" t="s">
        <v>463</v>
      </c>
      <c r="Q17" s="442" t="str">
        <f>IF(ISBLANK(创建调查员!B79),,创建调查员!B79)</f>
        <v>取悦</v>
      </c>
      <c r="R17" s="443"/>
      <c r="S17" s="443"/>
      <c r="T17" s="443"/>
      <c r="U17" s="444"/>
      <c r="V17" s="445">
        <f>创建调查员!P79</f>
        <v>15</v>
      </c>
      <c r="W17" s="445"/>
      <c r="X17" s="445"/>
      <c r="Y17" s="445"/>
      <c r="Z17" s="446" t="str">
        <f t="shared" ref="Z17:Z18" si="10">SUM(V17:Y17)&amp;"% ("&amp;INT(SUM(V17:Y17)/2)&amp;"/"&amp;INT(SUM(V17:Y17)/5)&amp;")"</f>
        <v>15% (7/3)</v>
      </c>
      <c r="AA17" s="446"/>
      <c r="AB17" s="446"/>
      <c r="AC17" s="447"/>
      <c r="AD17" s="30" t="s">
        <v>463</v>
      </c>
      <c r="AE17" s="442" t="str">
        <f>IF(ISBLANK(创建调查员!U68),创建调查员!S68,创建调查员!S68&amp;"("&amp;创建调查员!U68&amp;")")</f>
        <v>技艺</v>
      </c>
      <c r="AF17" s="443"/>
      <c r="AG17" s="443"/>
      <c r="AH17" s="443"/>
      <c r="AI17" s="444"/>
      <c r="AJ17" s="445">
        <f>创建调查员!AG68</f>
        <v>5</v>
      </c>
      <c r="AK17" s="445"/>
      <c r="AL17" s="445"/>
      <c r="AM17" s="445"/>
      <c r="AN17" s="446" t="str">
        <f t="shared" ref="AN17:AN18" si="11">SUM(AJ17:AM17)&amp;"% ("&amp;INT(SUM(AJ17:AM17)/2)&amp;"/"&amp;INT(SUM(AJ17:AM17)/5)&amp;")"</f>
        <v>5% (2/1)</v>
      </c>
      <c r="AO17" s="446"/>
      <c r="AP17" s="446"/>
      <c r="AQ17" s="467"/>
    </row>
    <row r="18" spans="2:43" x14ac:dyDescent="0.25">
      <c r="B18" s="32" t="s">
        <v>340</v>
      </c>
      <c r="C18" s="448" t="str">
        <f>IF(ISBLANK(创建调查员!B59),,创建调查员!B59)</f>
        <v>导航</v>
      </c>
      <c r="D18" s="448"/>
      <c r="E18" s="448"/>
      <c r="F18" s="448"/>
      <c r="G18" s="448"/>
      <c r="H18" s="449">
        <f>创建调查员!P59</f>
        <v>10</v>
      </c>
      <c r="I18" s="449"/>
      <c r="J18" s="449"/>
      <c r="K18" s="449"/>
      <c r="L18" s="450" t="str">
        <f t="shared" si="9"/>
        <v>10% (5/2)</v>
      </c>
      <c r="M18" s="450"/>
      <c r="N18" s="450"/>
      <c r="O18" s="451"/>
      <c r="P18" s="87" t="s">
        <v>463</v>
      </c>
      <c r="Q18" s="490" t="str">
        <f>IF(ISBLANK(创建调查员!B80),,创建调查员!B80)</f>
        <v>人类学</v>
      </c>
      <c r="R18" s="491"/>
      <c r="S18" s="491"/>
      <c r="T18" s="491"/>
      <c r="U18" s="492"/>
      <c r="V18" s="449">
        <f>创建调查员!P80</f>
        <v>1</v>
      </c>
      <c r="W18" s="449"/>
      <c r="X18" s="449"/>
      <c r="Y18" s="449"/>
      <c r="Z18" s="450" t="str">
        <f t="shared" si="10"/>
        <v>1% (0/0)</v>
      </c>
      <c r="AA18" s="450"/>
      <c r="AB18" s="450"/>
      <c r="AC18" s="451"/>
      <c r="AD18" s="87" t="s">
        <v>463</v>
      </c>
      <c r="AE18" s="448" t="str">
        <f>IF(ISBLANK(创建调查员!U69),创建调查员!S69,创建调查员!S69&amp;"("&amp;创建调查员!U69&amp;")")</f>
        <v>技艺</v>
      </c>
      <c r="AF18" s="448"/>
      <c r="AG18" s="448"/>
      <c r="AH18" s="448"/>
      <c r="AI18" s="448"/>
      <c r="AJ18" s="449">
        <f>创建调查员!AG69</f>
        <v>5</v>
      </c>
      <c r="AK18" s="449"/>
      <c r="AL18" s="449"/>
      <c r="AM18" s="449"/>
      <c r="AN18" s="450" t="str">
        <f t="shared" si="11"/>
        <v>5% (2/1)</v>
      </c>
      <c r="AO18" s="450"/>
      <c r="AP18" s="450"/>
      <c r="AQ18" s="555"/>
    </row>
    <row r="19" spans="2:43" x14ac:dyDescent="0.25">
      <c r="B19" s="33" t="s">
        <v>340</v>
      </c>
      <c r="C19" s="442" t="str">
        <f>IF(ISBLANK(创建调查员!B60),,创建调查员!B60)</f>
        <v>电气维修</v>
      </c>
      <c r="D19" s="443"/>
      <c r="E19" s="443"/>
      <c r="F19" s="443"/>
      <c r="G19" s="444"/>
      <c r="H19" s="445">
        <f>创建调查员!P60</f>
        <v>10</v>
      </c>
      <c r="I19" s="445"/>
      <c r="J19" s="445"/>
      <c r="K19" s="445"/>
      <c r="L19" s="446" t="str">
        <f t="shared" ref="L19:L35" si="12">SUM(H19:K19)&amp;"% ("&amp;INT(SUM(H19:K19)/2)&amp;"/"&amp;INT(SUM(H19:K19)/5)&amp;")"</f>
        <v>10% (5/2)</v>
      </c>
      <c r="M19" s="446"/>
      <c r="N19" s="446"/>
      <c r="O19" s="447"/>
      <c r="P19" s="86" t="s">
        <v>463</v>
      </c>
      <c r="Q19" s="442" t="str">
        <f>IF(ISBLANK(创建调查员!B81),,创建调查员!B81)</f>
        <v>闪避</v>
      </c>
      <c r="R19" s="443"/>
      <c r="S19" s="443"/>
      <c r="T19" s="443"/>
      <c r="U19" s="444"/>
      <c r="V19" s="445">
        <f>创建调查员!P81</f>
        <v>0</v>
      </c>
      <c r="W19" s="445"/>
      <c r="X19" s="445"/>
      <c r="Y19" s="445"/>
      <c r="Z19" s="446" t="str">
        <f t="shared" ref="Z19:Z35" si="13">SUM(V19:Y19)&amp;"% ("&amp;INT(SUM(V19:Y19)/2)&amp;"/"&amp;INT(SUM(V19:Y19)/5)&amp;")"</f>
        <v>0% (0/0)</v>
      </c>
      <c r="AA19" s="446"/>
      <c r="AB19" s="446"/>
      <c r="AC19" s="447"/>
      <c r="AD19" s="86" t="s">
        <v>463</v>
      </c>
      <c r="AE19" s="442" t="str">
        <f>IF(ISBLANK(创建调查员!U70),创建调查员!S70,创建调查员!S70&amp;"("&amp;创建调查员!U70&amp;")")</f>
        <v>格斗(斗殴)</v>
      </c>
      <c r="AF19" s="443"/>
      <c r="AG19" s="443"/>
      <c r="AH19" s="443"/>
      <c r="AI19" s="444"/>
      <c r="AJ19" s="445">
        <f>创建调查员!AG70</f>
        <v>25</v>
      </c>
      <c r="AK19" s="445"/>
      <c r="AL19" s="445"/>
      <c r="AM19" s="445"/>
      <c r="AN19" s="446" t="str">
        <f t="shared" ref="AN19:AN35" si="14">SUM(AJ19:AM19)&amp;"% ("&amp;INT(SUM(AJ19:AM19)/2)&amp;"/"&amp;INT(SUM(AJ19:AM19)/5)&amp;")"</f>
        <v>25% (12/5)</v>
      </c>
      <c r="AO19" s="446"/>
      <c r="AP19" s="446"/>
      <c r="AQ19" s="467"/>
    </row>
    <row r="20" spans="2:43" x14ac:dyDescent="0.25">
      <c r="B20" s="32" t="s">
        <v>340</v>
      </c>
      <c r="C20" s="448" t="str">
        <f>IF(ISBLANK(创建调查员!B61),,创建调查员!B61)</f>
        <v>法律</v>
      </c>
      <c r="D20" s="448"/>
      <c r="E20" s="448"/>
      <c r="F20" s="448"/>
      <c r="G20" s="448"/>
      <c r="H20" s="449">
        <f>创建调查员!P61</f>
        <v>5</v>
      </c>
      <c r="I20" s="449"/>
      <c r="J20" s="449"/>
      <c r="K20" s="449"/>
      <c r="L20" s="450" t="str">
        <f t="shared" si="12"/>
        <v>5% (2/1)</v>
      </c>
      <c r="M20" s="450"/>
      <c r="N20" s="450"/>
      <c r="O20" s="451"/>
      <c r="P20" s="87" t="s">
        <v>463</v>
      </c>
      <c r="Q20" s="490" t="str">
        <f>IF(ISBLANK(创建调查员!B82),,创建调查员!B82)</f>
        <v>神秘学</v>
      </c>
      <c r="R20" s="491"/>
      <c r="S20" s="491"/>
      <c r="T20" s="491"/>
      <c r="U20" s="492"/>
      <c r="V20" s="449">
        <f>创建调查员!P82</f>
        <v>5</v>
      </c>
      <c r="W20" s="449"/>
      <c r="X20" s="449"/>
      <c r="Y20" s="449"/>
      <c r="Z20" s="450" t="str">
        <f t="shared" si="13"/>
        <v>5% (2/1)</v>
      </c>
      <c r="AA20" s="450"/>
      <c r="AB20" s="450"/>
      <c r="AC20" s="451"/>
      <c r="AD20" s="87" t="s">
        <v>463</v>
      </c>
      <c r="AE20" s="448" t="str">
        <f>IF(ISBLANK(创建调查员!U71),创建调查员!S71,创建调查员!S71&amp;"("&amp;创建调查员!U71&amp;")")</f>
        <v>格斗(刀剑)</v>
      </c>
      <c r="AF20" s="448"/>
      <c r="AG20" s="448"/>
      <c r="AH20" s="448"/>
      <c r="AI20" s="448"/>
      <c r="AJ20" s="449">
        <f>创建调查员!AG71</f>
        <v>20</v>
      </c>
      <c r="AK20" s="449"/>
      <c r="AL20" s="449"/>
      <c r="AM20" s="449"/>
      <c r="AN20" s="450" t="str">
        <f t="shared" si="14"/>
        <v>20% (10/4)</v>
      </c>
      <c r="AO20" s="450"/>
      <c r="AP20" s="450"/>
      <c r="AQ20" s="555"/>
    </row>
    <row r="21" spans="2:43" x14ac:dyDescent="0.25">
      <c r="B21" s="33" t="s">
        <v>340</v>
      </c>
      <c r="C21" s="442" t="str">
        <f>IF(ISBLANK(创建调查员!B62),,创建调查员!B62)</f>
        <v>估价</v>
      </c>
      <c r="D21" s="443"/>
      <c r="E21" s="443"/>
      <c r="F21" s="443"/>
      <c r="G21" s="444"/>
      <c r="H21" s="445">
        <f>创建调查员!P62</f>
        <v>5</v>
      </c>
      <c r="I21" s="445"/>
      <c r="J21" s="445"/>
      <c r="K21" s="445"/>
      <c r="L21" s="446" t="str">
        <f t="shared" si="12"/>
        <v>5% (2/1)</v>
      </c>
      <c r="M21" s="446"/>
      <c r="N21" s="446"/>
      <c r="O21" s="447"/>
      <c r="P21" s="86" t="s">
        <v>463</v>
      </c>
      <c r="Q21" s="442" t="str">
        <f>IF(ISBLANK(创建调查员!B83),,创建调查员!B83)</f>
        <v>说服</v>
      </c>
      <c r="R21" s="443"/>
      <c r="S21" s="443"/>
      <c r="T21" s="443"/>
      <c r="U21" s="444"/>
      <c r="V21" s="445">
        <f>创建调查员!P83</f>
        <v>10</v>
      </c>
      <c r="W21" s="445"/>
      <c r="X21" s="445"/>
      <c r="Y21" s="445"/>
      <c r="Z21" s="446" t="str">
        <f t="shared" si="13"/>
        <v>10% (5/2)</v>
      </c>
      <c r="AA21" s="446"/>
      <c r="AB21" s="446"/>
      <c r="AC21" s="447"/>
      <c r="AD21" s="86" t="s">
        <v>463</v>
      </c>
      <c r="AE21" s="442" t="str">
        <f>IF(ISBLANK(创建调查员!U72),创建调查员!S72,创建调查员!S72&amp;"("&amp;创建调查员!U72&amp;")")</f>
        <v>格斗</v>
      </c>
      <c r="AF21" s="443"/>
      <c r="AG21" s="443"/>
      <c r="AH21" s="443"/>
      <c r="AI21" s="444"/>
      <c r="AJ21" s="445">
        <f>创建调查员!AG72</f>
        <v>0</v>
      </c>
      <c r="AK21" s="445"/>
      <c r="AL21" s="445"/>
      <c r="AM21" s="445"/>
      <c r="AN21" s="446" t="str">
        <f t="shared" si="14"/>
        <v>0% (0/0)</v>
      </c>
      <c r="AO21" s="446"/>
      <c r="AP21" s="446"/>
      <c r="AQ21" s="467"/>
    </row>
    <row r="22" spans="2:43" x14ac:dyDescent="0.25">
      <c r="B22" s="32" t="s">
        <v>340</v>
      </c>
      <c r="C22" s="448" t="str">
        <f>IF(ISBLANK(创建调查员!B63),,创建调查员!B63)</f>
        <v>话术</v>
      </c>
      <c r="D22" s="448"/>
      <c r="E22" s="448"/>
      <c r="F22" s="448"/>
      <c r="G22" s="448"/>
      <c r="H22" s="449">
        <f>创建调查员!P63</f>
        <v>5</v>
      </c>
      <c r="I22" s="449"/>
      <c r="J22" s="449"/>
      <c r="K22" s="449"/>
      <c r="L22" s="450" t="str">
        <f t="shared" si="12"/>
        <v>5% (2/1)</v>
      </c>
      <c r="M22" s="450"/>
      <c r="N22" s="450"/>
      <c r="O22" s="451"/>
      <c r="P22" s="87" t="s">
        <v>463</v>
      </c>
      <c r="Q22" s="490" t="str">
        <f>IF(ISBLANK(创建调查员!B84),,创建调查员!B84)</f>
        <v>锁匠</v>
      </c>
      <c r="R22" s="491"/>
      <c r="S22" s="491"/>
      <c r="T22" s="491"/>
      <c r="U22" s="492"/>
      <c r="V22" s="449">
        <f>创建调查员!P84</f>
        <v>1</v>
      </c>
      <c r="W22" s="449"/>
      <c r="X22" s="449"/>
      <c r="Y22" s="449"/>
      <c r="Z22" s="450" t="str">
        <f t="shared" si="13"/>
        <v>1% (0/0)</v>
      </c>
      <c r="AA22" s="450"/>
      <c r="AB22" s="450"/>
      <c r="AC22" s="451"/>
      <c r="AD22" s="87" t="s">
        <v>463</v>
      </c>
      <c r="AE22" s="448" t="str">
        <f>IF(ISBLANK(创建调查员!U73),创建调查员!S73,创建调查员!S73&amp;"("&amp;创建调查员!U73&amp;")")</f>
        <v>射击(手枪)</v>
      </c>
      <c r="AF22" s="448"/>
      <c r="AG22" s="448"/>
      <c r="AH22" s="448"/>
      <c r="AI22" s="448"/>
      <c r="AJ22" s="449">
        <f>创建调查员!AG73</f>
        <v>20</v>
      </c>
      <c r="AK22" s="449"/>
      <c r="AL22" s="449"/>
      <c r="AM22" s="449"/>
      <c r="AN22" s="450" t="str">
        <f t="shared" si="14"/>
        <v>20% (10/4)</v>
      </c>
      <c r="AO22" s="450"/>
      <c r="AP22" s="450"/>
      <c r="AQ22" s="555"/>
    </row>
    <row r="23" spans="2:43" x14ac:dyDescent="0.25">
      <c r="B23" s="33" t="s">
        <v>340</v>
      </c>
      <c r="C23" s="442" t="str">
        <f>IF(ISBLANK(创建调查员!B64),,创建调查员!B64)</f>
        <v>会计</v>
      </c>
      <c r="D23" s="443"/>
      <c r="E23" s="443"/>
      <c r="F23" s="443"/>
      <c r="G23" s="444"/>
      <c r="H23" s="445">
        <f>创建调查员!P64</f>
        <v>5</v>
      </c>
      <c r="I23" s="445"/>
      <c r="J23" s="445"/>
      <c r="K23" s="445"/>
      <c r="L23" s="446" t="str">
        <f t="shared" si="12"/>
        <v>5% (2/1)</v>
      </c>
      <c r="M23" s="446"/>
      <c r="N23" s="446"/>
      <c r="O23" s="447"/>
      <c r="P23" s="86" t="s">
        <v>463</v>
      </c>
      <c r="Q23" s="442" t="str">
        <f>IF(ISBLANK(创建调查员!B85),,创建调查员!B85)</f>
        <v>跳跃</v>
      </c>
      <c r="R23" s="443"/>
      <c r="S23" s="443"/>
      <c r="T23" s="443"/>
      <c r="U23" s="444"/>
      <c r="V23" s="445">
        <f>创建调查员!P85</f>
        <v>20</v>
      </c>
      <c r="W23" s="445"/>
      <c r="X23" s="445"/>
      <c r="Y23" s="445"/>
      <c r="Z23" s="446" t="str">
        <f t="shared" si="13"/>
        <v>20% (10/4)</v>
      </c>
      <c r="AA23" s="446"/>
      <c r="AB23" s="446"/>
      <c r="AC23" s="447"/>
      <c r="AD23" s="86" t="s">
        <v>463</v>
      </c>
      <c r="AE23" s="442" t="str">
        <f>IF(ISBLANK(创建调查员!U74),创建调查员!S74,创建调查员!S74&amp;"("&amp;创建调查员!U74&amp;")")</f>
        <v>射击(步枪/霰弹枪)</v>
      </c>
      <c r="AF23" s="443"/>
      <c r="AG23" s="443"/>
      <c r="AH23" s="443"/>
      <c r="AI23" s="444"/>
      <c r="AJ23" s="445">
        <f>创建调查员!AG74</f>
        <v>25</v>
      </c>
      <c r="AK23" s="445"/>
      <c r="AL23" s="445"/>
      <c r="AM23" s="445"/>
      <c r="AN23" s="446" t="str">
        <f t="shared" si="14"/>
        <v>25% (12/5)</v>
      </c>
      <c r="AO23" s="446"/>
      <c r="AP23" s="446"/>
      <c r="AQ23" s="467"/>
    </row>
    <row r="24" spans="2:43" x14ac:dyDescent="0.25">
      <c r="B24" s="32" t="s">
        <v>340</v>
      </c>
      <c r="C24" s="448" t="str">
        <f>IF(ISBLANK(创建调查员!B65),,创建调查员!B65)</f>
        <v>机械维修</v>
      </c>
      <c r="D24" s="448"/>
      <c r="E24" s="448"/>
      <c r="F24" s="448"/>
      <c r="G24" s="448"/>
      <c r="H24" s="449">
        <f>创建调查员!P65</f>
        <v>10</v>
      </c>
      <c r="I24" s="449"/>
      <c r="J24" s="449"/>
      <c r="K24" s="449"/>
      <c r="L24" s="450" t="str">
        <f t="shared" si="12"/>
        <v>10% (5/2)</v>
      </c>
      <c r="M24" s="450"/>
      <c r="N24" s="450"/>
      <c r="O24" s="451"/>
      <c r="P24" s="87" t="s">
        <v>463</v>
      </c>
      <c r="Q24" s="490" t="str">
        <f>IF(ISBLANK(创建调查员!B86),,创建调查员!B86)</f>
        <v>投掷</v>
      </c>
      <c r="R24" s="491"/>
      <c r="S24" s="491"/>
      <c r="T24" s="491"/>
      <c r="U24" s="492"/>
      <c r="V24" s="449">
        <f>创建调查员!P86</f>
        <v>20</v>
      </c>
      <c r="W24" s="449"/>
      <c r="X24" s="449"/>
      <c r="Y24" s="449"/>
      <c r="Z24" s="450" t="str">
        <f t="shared" si="13"/>
        <v>20% (10/4)</v>
      </c>
      <c r="AA24" s="450"/>
      <c r="AB24" s="450"/>
      <c r="AC24" s="451"/>
      <c r="AD24" s="87" t="s">
        <v>463</v>
      </c>
      <c r="AE24" s="448" t="str">
        <f>IF(ISBLANK(创建调查员!U75),创建调查员!S75,创建调查员!S75&amp;"("&amp;创建调查员!U75&amp;")")</f>
        <v>射击</v>
      </c>
      <c r="AF24" s="448"/>
      <c r="AG24" s="448"/>
      <c r="AH24" s="448"/>
      <c r="AI24" s="448"/>
      <c r="AJ24" s="449">
        <f>创建调查员!AG75</f>
        <v>0</v>
      </c>
      <c r="AK24" s="449"/>
      <c r="AL24" s="449"/>
      <c r="AM24" s="449"/>
      <c r="AN24" s="450" t="str">
        <f t="shared" si="14"/>
        <v>0% (0/0)</v>
      </c>
      <c r="AO24" s="450"/>
      <c r="AP24" s="450"/>
      <c r="AQ24" s="555"/>
    </row>
    <row r="25" spans="2:43" x14ac:dyDescent="0.25">
      <c r="B25" s="33" t="s">
        <v>340</v>
      </c>
      <c r="C25" s="442" t="str">
        <f>IF(ISBLANK(创建调查员!B66),,创建调查员!B66)</f>
        <v>急救</v>
      </c>
      <c r="D25" s="443"/>
      <c r="E25" s="443"/>
      <c r="F25" s="443"/>
      <c r="G25" s="444"/>
      <c r="H25" s="445">
        <f>创建调查员!P66</f>
        <v>30</v>
      </c>
      <c r="I25" s="445"/>
      <c r="J25" s="445"/>
      <c r="K25" s="445"/>
      <c r="L25" s="446" t="str">
        <f t="shared" si="12"/>
        <v>30% (15/6)</v>
      </c>
      <c r="M25" s="446"/>
      <c r="N25" s="446"/>
      <c r="O25" s="447"/>
      <c r="P25" s="86" t="s">
        <v>463</v>
      </c>
      <c r="Q25" s="442" t="str">
        <f>IF(ISBLANK(创建调查员!B87),,创建调查员!B87)</f>
        <v>图书馆使用</v>
      </c>
      <c r="R25" s="443"/>
      <c r="S25" s="443"/>
      <c r="T25" s="443"/>
      <c r="U25" s="444"/>
      <c r="V25" s="445">
        <f>创建调查员!P87</f>
        <v>20</v>
      </c>
      <c r="W25" s="445"/>
      <c r="X25" s="445"/>
      <c r="Y25" s="445"/>
      <c r="Z25" s="446" t="str">
        <f t="shared" si="13"/>
        <v>20% (10/4)</v>
      </c>
      <c r="AA25" s="446"/>
      <c r="AB25" s="446"/>
      <c r="AC25" s="447"/>
      <c r="AD25" s="86" t="s">
        <v>463</v>
      </c>
      <c r="AE25" s="442" t="str">
        <f>IF(ISBLANK(创建调查员!U76),创建调查员!S76,创建调查员!S76&amp;"("&amp;创建调查员!U76&amp;")")</f>
        <v>母语</v>
      </c>
      <c r="AF25" s="443"/>
      <c r="AG25" s="443"/>
      <c r="AH25" s="443"/>
      <c r="AI25" s="444"/>
      <c r="AJ25" s="445">
        <f>创建调查员!AG76</f>
        <v>0</v>
      </c>
      <c r="AK25" s="445"/>
      <c r="AL25" s="445"/>
      <c r="AM25" s="445"/>
      <c r="AN25" s="446" t="str">
        <f t="shared" si="14"/>
        <v>0% (0/0)</v>
      </c>
      <c r="AO25" s="446"/>
      <c r="AP25" s="446"/>
      <c r="AQ25" s="467"/>
    </row>
    <row r="26" spans="2:43" x14ac:dyDescent="0.25">
      <c r="B26" s="32" t="s">
        <v>340</v>
      </c>
      <c r="C26" s="448" t="str">
        <f>IF(ISBLANK(创建调查员!B67),,创建调查员!B67)</f>
        <v>精神分析</v>
      </c>
      <c r="D26" s="448"/>
      <c r="E26" s="448"/>
      <c r="F26" s="448"/>
      <c r="G26" s="448"/>
      <c r="H26" s="449">
        <f>创建调查员!P67</f>
        <v>1</v>
      </c>
      <c r="I26" s="449"/>
      <c r="J26" s="449"/>
      <c r="K26" s="449"/>
      <c r="L26" s="450" t="str">
        <f t="shared" si="12"/>
        <v>1% (0/0)</v>
      </c>
      <c r="M26" s="450"/>
      <c r="N26" s="450"/>
      <c r="O26" s="451"/>
      <c r="P26" s="87" t="s">
        <v>463</v>
      </c>
      <c r="Q26" s="490" t="str">
        <f>IF(ISBLANK(创建调查员!B88),,创建调查员!B88)</f>
        <v>心理学</v>
      </c>
      <c r="R26" s="491"/>
      <c r="S26" s="491"/>
      <c r="T26" s="491"/>
      <c r="U26" s="492"/>
      <c r="V26" s="449">
        <f>创建调查员!P88</f>
        <v>10</v>
      </c>
      <c r="W26" s="449"/>
      <c r="X26" s="449"/>
      <c r="Y26" s="449"/>
      <c r="Z26" s="450" t="str">
        <f t="shared" si="13"/>
        <v>10% (5/2)</v>
      </c>
      <c r="AA26" s="450"/>
      <c r="AB26" s="450"/>
      <c r="AC26" s="451"/>
      <c r="AD26" s="87" t="s">
        <v>463</v>
      </c>
      <c r="AE26" s="448" t="str">
        <f>IF(ISBLANK(创建调查员!U77),创建调查员!S77,创建调查员!S77&amp;"("&amp;创建调查员!U77&amp;")")</f>
        <v>语言</v>
      </c>
      <c r="AF26" s="448"/>
      <c r="AG26" s="448"/>
      <c r="AH26" s="448"/>
      <c r="AI26" s="448"/>
      <c r="AJ26" s="449">
        <f>创建调查员!AG77</f>
        <v>1</v>
      </c>
      <c r="AK26" s="449"/>
      <c r="AL26" s="449"/>
      <c r="AM26" s="449"/>
      <c r="AN26" s="450" t="str">
        <f t="shared" si="14"/>
        <v>1% (0/0)</v>
      </c>
      <c r="AO26" s="450"/>
      <c r="AP26" s="450"/>
      <c r="AQ26" s="555"/>
    </row>
    <row r="27" spans="2:43" x14ac:dyDescent="0.25">
      <c r="B27" s="33" t="s">
        <v>340</v>
      </c>
      <c r="C27" s="442" t="str">
        <f>IF(ISBLANK(创建调查员!B68),,创建调查员!B68)</f>
        <v>考古学</v>
      </c>
      <c r="D27" s="443"/>
      <c r="E27" s="443"/>
      <c r="F27" s="443"/>
      <c r="G27" s="444"/>
      <c r="H27" s="445">
        <f>创建调查员!P68</f>
        <v>1</v>
      </c>
      <c r="I27" s="445"/>
      <c r="J27" s="445"/>
      <c r="K27" s="445"/>
      <c r="L27" s="446" t="str">
        <f t="shared" si="12"/>
        <v>1% (0/0)</v>
      </c>
      <c r="M27" s="446"/>
      <c r="N27" s="446"/>
      <c r="O27" s="447"/>
      <c r="P27" s="86" t="s">
        <v>463</v>
      </c>
      <c r="Q27" s="442" t="str">
        <f>IF(ISBLANK(创建调查员!S57),,创建调查员!S57)</f>
        <v>信用评级</v>
      </c>
      <c r="R27" s="443"/>
      <c r="S27" s="443"/>
      <c r="T27" s="443"/>
      <c r="U27" s="444"/>
      <c r="V27" s="445">
        <f>创建调查员!AG57</f>
        <v>0</v>
      </c>
      <c r="W27" s="445"/>
      <c r="X27" s="445"/>
      <c r="Y27" s="445"/>
      <c r="Z27" s="446" t="str">
        <f t="shared" si="13"/>
        <v>0% (0/0)</v>
      </c>
      <c r="AA27" s="446"/>
      <c r="AB27" s="446"/>
      <c r="AC27" s="447"/>
      <c r="AD27" s="86" t="s">
        <v>463</v>
      </c>
      <c r="AE27" s="442" t="str">
        <f>IF(ISBLANK(创建调查员!U78),创建调查员!S78,创建调查员!S78&amp;"("&amp;创建调查员!U78&amp;")")</f>
        <v>语言</v>
      </c>
      <c r="AF27" s="443"/>
      <c r="AG27" s="443"/>
      <c r="AH27" s="443"/>
      <c r="AI27" s="444"/>
      <c r="AJ27" s="445">
        <f>创建调查员!AG78</f>
        <v>1</v>
      </c>
      <c r="AK27" s="445"/>
      <c r="AL27" s="445"/>
      <c r="AM27" s="445"/>
      <c r="AN27" s="446" t="str">
        <f t="shared" si="14"/>
        <v>1% (0/0)</v>
      </c>
      <c r="AO27" s="446"/>
      <c r="AP27" s="446"/>
      <c r="AQ27" s="467"/>
    </row>
    <row r="28" spans="2:43" x14ac:dyDescent="0.25">
      <c r="B28" s="32" t="s">
        <v>340</v>
      </c>
      <c r="C28" s="448" t="str">
        <f>IF(ISBLANK(创建调查员!B69),,创建调查员!B69)</f>
        <v>克苏鲁神话</v>
      </c>
      <c r="D28" s="448"/>
      <c r="E28" s="448"/>
      <c r="F28" s="448"/>
      <c r="G28" s="448"/>
      <c r="H28" s="449">
        <f>创建调查员!P69</f>
        <v>0</v>
      </c>
      <c r="I28" s="449"/>
      <c r="J28" s="449"/>
      <c r="K28" s="449"/>
      <c r="L28" s="450" t="str">
        <f t="shared" si="12"/>
        <v>0% (0/0)</v>
      </c>
      <c r="M28" s="450"/>
      <c r="N28" s="450"/>
      <c r="O28" s="451"/>
      <c r="P28" s="87" t="s">
        <v>463</v>
      </c>
      <c r="Q28" s="490" t="str">
        <f>IF(ISBLANK(创建调查员!S58),,创建调查员!S58)</f>
        <v>医学</v>
      </c>
      <c r="R28" s="491"/>
      <c r="S28" s="491"/>
      <c r="T28" s="491"/>
      <c r="U28" s="492"/>
      <c r="V28" s="449">
        <f>创建调查员!AG58</f>
        <v>1</v>
      </c>
      <c r="W28" s="449"/>
      <c r="X28" s="449"/>
      <c r="Y28" s="449"/>
      <c r="Z28" s="450" t="str">
        <f t="shared" si="13"/>
        <v>1% (0/0)</v>
      </c>
      <c r="AA28" s="450"/>
      <c r="AB28" s="450"/>
      <c r="AC28" s="451"/>
      <c r="AD28" s="87" t="s">
        <v>463</v>
      </c>
      <c r="AE28" s="448" t="str">
        <f>IF(ISBLANK(创建调查员!U79),创建调查员!S79,创建调查员!S79&amp;"("&amp;创建调查员!U79&amp;")")</f>
        <v>语言</v>
      </c>
      <c r="AF28" s="448"/>
      <c r="AG28" s="448"/>
      <c r="AH28" s="448"/>
      <c r="AI28" s="448"/>
      <c r="AJ28" s="449">
        <f>创建调查员!AG79</f>
        <v>1</v>
      </c>
      <c r="AK28" s="449"/>
      <c r="AL28" s="449"/>
      <c r="AM28" s="449"/>
      <c r="AN28" s="450" t="str">
        <f t="shared" si="14"/>
        <v>1% (0/0)</v>
      </c>
      <c r="AO28" s="450"/>
      <c r="AP28" s="450"/>
      <c r="AQ28" s="555"/>
    </row>
    <row r="29" spans="2:43" x14ac:dyDescent="0.25">
      <c r="B29" s="33" t="s">
        <v>340</v>
      </c>
      <c r="C29" s="442" t="str">
        <f>IF(ISBLANK(创建调查员!B70),,创建调查员!B70)</f>
        <v>恐吓</v>
      </c>
      <c r="D29" s="443"/>
      <c r="E29" s="443"/>
      <c r="F29" s="443"/>
      <c r="G29" s="444"/>
      <c r="H29" s="445">
        <f>创建调查员!P70</f>
        <v>15</v>
      </c>
      <c r="I29" s="445"/>
      <c r="J29" s="445"/>
      <c r="K29" s="445"/>
      <c r="L29" s="446" t="str">
        <f t="shared" si="12"/>
        <v>15% (7/3)</v>
      </c>
      <c r="M29" s="446"/>
      <c r="N29" s="446"/>
      <c r="O29" s="447"/>
      <c r="P29" s="86" t="s">
        <v>463</v>
      </c>
      <c r="Q29" s="442" t="str">
        <f>IF(ISBLANK(创建调查员!S59),,创建调查员!S59)</f>
        <v>游泳</v>
      </c>
      <c r="R29" s="443"/>
      <c r="S29" s="443"/>
      <c r="T29" s="443"/>
      <c r="U29" s="444"/>
      <c r="V29" s="445">
        <f>创建调查员!AG59</f>
        <v>20</v>
      </c>
      <c r="W29" s="445"/>
      <c r="X29" s="445"/>
      <c r="Y29" s="445"/>
      <c r="Z29" s="446" t="str">
        <f t="shared" si="13"/>
        <v>20% (10/4)</v>
      </c>
      <c r="AA29" s="446"/>
      <c r="AB29" s="446"/>
      <c r="AC29" s="447"/>
      <c r="AD29" s="86" t="s">
        <v>463</v>
      </c>
      <c r="AE29" s="442" t="str">
        <f>IF(ISBLANK(创建调查员!U80),创建调查员!S80,创建调查员!S80&amp;"("&amp;创建调查员!U80&amp;")")</f>
        <v>操纵</v>
      </c>
      <c r="AF29" s="443"/>
      <c r="AG29" s="443"/>
      <c r="AH29" s="443"/>
      <c r="AI29" s="444"/>
      <c r="AJ29" s="445">
        <f>创建调查员!AG80</f>
        <v>1</v>
      </c>
      <c r="AK29" s="445"/>
      <c r="AL29" s="445"/>
      <c r="AM29" s="445"/>
      <c r="AN29" s="446" t="str">
        <f>SUM(AJ29:AM29)&amp;"% ("&amp;INT(SUM(AJ29:AM29)/2)&amp;"/"&amp;INT(SUM(AJ29:AM29)/5)&amp;")"</f>
        <v>1% (0/0)</v>
      </c>
      <c r="AO29" s="446"/>
      <c r="AP29" s="446"/>
      <c r="AQ29" s="467"/>
    </row>
    <row r="30" spans="2:43" x14ac:dyDescent="0.25">
      <c r="B30" s="32" t="s">
        <v>340</v>
      </c>
      <c r="C30" s="448" t="str">
        <f>IF(ISBLANK(创建调查员!B71),,创建调查员!B71)</f>
        <v>历史</v>
      </c>
      <c r="D30" s="448"/>
      <c r="E30" s="448"/>
      <c r="F30" s="448"/>
      <c r="G30" s="448"/>
      <c r="H30" s="449">
        <f>创建调查员!P71</f>
        <v>5</v>
      </c>
      <c r="I30" s="449"/>
      <c r="J30" s="449"/>
      <c r="K30" s="449"/>
      <c r="L30" s="450" t="str">
        <f t="shared" si="12"/>
        <v>5% (2/1)</v>
      </c>
      <c r="M30" s="450"/>
      <c r="N30" s="450"/>
      <c r="O30" s="451"/>
      <c r="P30" s="87" t="s">
        <v>463</v>
      </c>
      <c r="Q30" s="490" t="str">
        <f>IF(ISBLANK(创建调查员!S60),,创建调查员!S60)</f>
        <v>侦查</v>
      </c>
      <c r="R30" s="491"/>
      <c r="S30" s="491"/>
      <c r="T30" s="491"/>
      <c r="U30" s="492"/>
      <c r="V30" s="449">
        <f>创建调查员!AG60</f>
        <v>25</v>
      </c>
      <c r="W30" s="449"/>
      <c r="X30" s="449"/>
      <c r="Y30" s="449"/>
      <c r="Z30" s="450" t="str">
        <f t="shared" si="13"/>
        <v>25% (12/5)</v>
      </c>
      <c r="AA30" s="450"/>
      <c r="AB30" s="450"/>
      <c r="AC30" s="451"/>
      <c r="AD30" s="87" t="s">
        <v>463</v>
      </c>
      <c r="AE30" s="448" t="str">
        <f>IF(ISBLANK(创建调查员!U81),创建调查员!S81,创建调查员!S81&amp;"("&amp;创建调查员!U81&amp;")")</f>
        <v>科学</v>
      </c>
      <c r="AF30" s="448"/>
      <c r="AG30" s="448"/>
      <c r="AH30" s="448"/>
      <c r="AI30" s="448"/>
      <c r="AJ30" s="449">
        <f>创建调查员!AG81</f>
        <v>1</v>
      </c>
      <c r="AK30" s="449"/>
      <c r="AL30" s="449"/>
      <c r="AM30" s="449"/>
      <c r="AN30" s="450" t="str">
        <f t="shared" si="14"/>
        <v>1% (0/0)</v>
      </c>
      <c r="AO30" s="450"/>
      <c r="AP30" s="450"/>
      <c r="AQ30" s="555"/>
    </row>
    <row r="31" spans="2:43" x14ac:dyDescent="0.25">
      <c r="B31" s="33" t="s">
        <v>340</v>
      </c>
      <c r="C31" s="442" t="str">
        <f>IF(ISBLANK(创建调查员!B72),,创建调查员!B72)</f>
        <v>聆听</v>
      </c>
      <c r="D31" s="443"/>
      <c r="E31" s="443"/>
      <c r="F31" s="443"/>
      <c r="G31" s="444"/>
      <c r="H31" s="445">
        <f>创建调查员!P72</f>
        <v>20</v>
      </c>
      <c r="I31" s="445"/>
      <c r="J31" s="445"/>
      <c r="K31" s="445"/>
      <c r="L31" s="446" t="str">
        <f t="shared" si="12"/>
        <v>20% (10/4)</v>
      </c>
      <c r="M31" s="446"/>
      <c r="N31" s="446"/>
      <c r="O31" s="447"/>
      <c r="P31" s="86" t="s">
        <v>463</v>
      </c>
      <c r="Q31" s="442" t="str">
        <f>IF(ISBLANK(创建调查员!S61),,创建调查员!S61)</f>
        <v>追踪</v>
      </c>
      <c r="R31" s="443"/>
      <c r="S31" s="443"/>
      <c r="T31" s="443"/>
      <c r="U31" s="444"/>
      <c r="V31" s="445">
        <f>创建调查员!AG61</f>
        <v>10</v>
      </c>
      <c r="W31" s="445"/>
      <c r="X31" s="445"/>
      <c r="Y31" s="445"/>
      <c r="Z31" s="446" t="str">
        <f t="shared" si="13"/>
        <v>10% (5/2)</v>
      </c>
      <c r="AA31" s="446"/>
      <c r="AB31" s="446"/>
      <c r="AC31" s="447"/>
      <c r="AD31" s="86" t="s">
        <v>463</v>
      </c>
      <c r="AE31" s="442" t="str">
        <f>IF(ISBLANK(创建调查员!U82),创建调查员!S82,创建调查员!S82&amp;"("&amp;创建调查员!U82&amp;")")</f>
        <v>科学</v>
      </c>
      <c r="AF31" s="443"/>
      <c r="AG31" s="443"/>
      <c r="AH31" s="443"/>
      <c r="AI31" s="444"/>
      <c r="AJ31" s="445">
        <f>创建调查员!AG82</f>
        <v>1</v>
      </c>
      <c r="AK31" s="445"/>
      <c r="AL31" s="445"/>
      <c r="AM31" s="445"/>
      <c r="AN31" s="446" t="str">
        <f t="shared" si="14"/>
        <v>1% (0/0)</v>
      </c>
      <c r="AO31" s="446"/>
      <c r="AP31" s="446"/>
      <c r="AQ31" s="467"/>
    </row>
    <row r="32" spans="2:43" x14ac:dyDescent="0.25">
      <c r="B32" s="32" t="s">
        <v>340</v>
      </c>
      <c r="C32" s="448" t="str">
        <f>IF(ISBLANK(创建调查员!B73),,创建调查员!B73)</f>
        <v>妙手</v>
      </c>
      <c r="D32" s="448"/>
      <c r="E32" s="448"/>
      <c r="F32" s="448"/>
      <c r="G32" s="448"/>
      <c r="H32" s="449">
        <f>创建调查员!P73</f>
        <v>10</v>
      </c>
      <c r="I32" s="449"/>
      <c r="J32" s="449"/>
      <c r="K32" s="449"/>
      <c r="L32" s="450" t="str">
        <f t="shared" si="12"/>
        <v>10% (5/2)</v>
      </c>
      <c r="M32" s="450"/>
      <c r="N32" s="450"/>
      <c r="O32" s="451"/>
      <c r="P32" s="87" t="s">
        <v>463</v>
      </c>
      <c r="Q32" s="490" t="str">
        <f>IF(ISBLANK(创建调查员!S62),,创建调查员!S62)</f>
        <v/>
      </c>
      <c r="R32" s="491"/>
      <c r="S32" s="491"/>
      <c r="T32" s="491"/>
      <c r="U32" s="492"/>
      <c r="V32" s="449">
        <f>创建调查员!AG62</f>
        <v>1</v>
      </c>
      <c r="W32" s="449"/>
      <c r="X32" s="449"/>
      <c r="Y32" s="449"/>
      <c r="Z32" s="450" t="str">
        <f t="shared" si="13"/>
        <v>1% (0/0)</v>
      </c>
      <c r="AA32" s="450"/>
      <c r="AB32" s="450"/>
      <c r="AC32" s="451"/>
      <c r="AD32" s="87" t="s">
        <v>463</v>
      </c>
      <c r="AE32" s="448" t="str">
        <f>IF(ISBLANK(创建调查员!U83),创建调查员!S83,创建调查员!S83&amp;"("&amp;创建调查员!U83&amp;")")</f>
        <v>科学</v>
      </c>
      <c r="AF32" s="448"/>
      <c r="AG32" s="448"/>
      <c r="AH32" s="448"/>
      <c r="AI32" s="448"/>
      <c r="AJ32" s="449">
        <f>创建调查员!AG83</f>
        <v>1</v>
      </c>
      <c r="AK32" s="449"/>
      <c r="AL32" s="449"/>
      <c r="AM32" s="449"/>
      <c r="AN32" s="450" t="str">
        <f t="shared" si="14"/>
        <v>1% (0/0)</v>
      </c>
      <c r="AO32" s="450"/>
      <c r="AP32" s="450"/>
      <c r="AQ32" s="555"/>
    </row>
    <row r="33" spans="2:48" x14ac:dyDescent="0.25">
      <c r="B33" s="33" t="s">
        <v>340</v>
      </c>
      <c r="C33" s="442" t="str">
        <f>IF(ISBLANK(创建调查员!B74),,创建调查员!B74)</f>
        <v>攀爬</v>
      </c>
      <c r="D33" s="443"/>
      <c r="E33" s="443"/>
      <c r="F33" s="443"/>
      <c r="G33" s="444"/>
      <c r="H33" s="445">
        <f>创建调查员!P74</f>
        <v>20</v>
      </c>
      <c r="I33" s="445"/>
      <c r="J33" s="445"/>
      <c r="K33" s="445"/>
      <c r="L33" s="446" t="str">
        <f t="shared" si="12"/>
        <v>20% (10/4)</v>
      </c>
      <c r="M33" s="446"/>
      <c r="N33" s="446"/>
      <c r="O33" s="447"/>
      <c r="P33" s="86" t="s">
        <v>463</v>
      </c>
      <c r="Q33" s="442" t="str">
        <f>IF(ISBLANK(创建调查员!S63),,创建调查员!S63)</f>
        <v/>
      </c>
      <c r="R33" s="443"/>
      <c r="S33" s="443"/>
      <c r="T33" s="443"/>
      <c r="U33" s="444"/>
      <c r="V33" s="445">
        <f>创建调查员!AG63</f>
        <v>1</v>
      </c>
      <c r="W33" s="445"/>
      <c r="X33" s="445"/>
      <c r="Y33" s="445"/>
      <c r="Z33" s="446" t="str">
        <f t="shared" si="13"/>
        <v>1% (0/0)</v>
      </c>
      <c r="AA33" s="446"/>
      <c r="AB33" s="446"/>
      <c r="AC33" s="447"/>
      <c r="AD33" s="86" t="s">
        <v>463</v>
      </c>
      <c r="AE33" s="442" t="str">
        <f>IF(ISBLANK(创建调查员!U84),创建调查员!S84,创建调查员!S84&amp;"("&amp;创建调查员!U84&amp;")")</f>
        <v>生存</v>
      </c>
      <c r="AF33" s="443"/>
      <c r="AG33" s="443"/>
      <c r="AH33" s="443"/>
      <c r="AI33" s="444"/>
      <c r="AJ33" s="445">
        <f>创建调查员!AG84</f>
        <v>10</v>
      </c>
      <c r="AK33" s="445"/>
      <c r="AL33" s="445"/>
      <c r="AM33" s="445"/>
      <c r="AN33" s="446" t="str">
        <f t="shared" si="14"/>
        <v>10% (5/2)</v>
      </c>
      <c r="AO33" s="446"/>
      <c r="AP33" s="446"/>
      <c r="AQ33" s="467"/>
    </row>
    <row r="34" spans="2:48" x14ac:dyDescent="0.25">
      <c r="B34" s="32" t="s">
        <v>340</v>
      </c>
      <c r="C34" s="448" t="str">
        <f>IF(ISBLANK(创建调查员!B75),,创建调查员!B75)</f>
        <v>骑术</v>
      </c>
      <c r="D34" s="448"/>
      <c r="E34" s="448"/>
      <c r="F34" s="448"/>
      <c r="G34" s="448"/>
      <c r="H34" s="449">
        <f>创建调查员!P75</f>
        <v>5</v>
      </c>
      <c r="I34" s="449"/>
      <c r="J34" s="449"/>
      <c r="K34" s="449"/>
      <c r="L34" s="450" t="str">
        <f t="shared" si="12"/>
        <v>5% (2/1)</v>
      </c>
      <c r="M34" s="450"/>
      <c r="N34" s="450"/>
      <c r="O34" s="451"/>
      <c r="P34" s="87" t="s">
        <v>463</v>
      </c>
      <c r="Q34" s="490" t="str">
        <f>IF(ISBLANK(创建调查员!S64),,创建调查员!S64)</f>
        <v/>
      </c>
      <c r="R34" s="491"/>
      <c r="S34" s="491"/>
      <c r="T34" s="491"/>
      <c r="U34" s="492"/>
      <c r="V34" s="449">
        <f>创建调查员!AG64</f>
        <v>1</v>
      </c>
      <c r="W34" s="449"/>
      <c r="X34" s="449"/>
      <c r="Y34" s="449"/>
      <c r="Z34" s="450" t="str">
        <f t="shared" si="13"/>
        <v>1% (0/0)</v>
      </c>
      <c r="AA34" s="450"/>
      <c r="AB34" s="450"/>
      <c r="AC34" s="451"/>
      <c r="AD34" s="87" t="s">
        <v>463</v>
      </c>
      <c r="AE34" s="448" t="str">
        <f>IF(ISBLANK(创建调查员!U85),创建调查员!S85,创建调查员!S85&amp;"("&amp;创建调查员!U85&amp;")")</f>
        <v/>
      </c>
      <c r="AF34" s="448"/>
      <c r="AG34" s="448"/>
      <c r="AH34" s="448"/>
      <c r="AI34" s="448"/>
      <c r="AJ34" s="449">
        <f>创建调查员!AG85</f>
        <v>0</v>
      </c>
      <c r="AK34" s="449"/>
      <c r="AL34" s="449"/>
      <c r="AM34" s="449"/>
      <c r="AN34" s="450" t="str">
        <f t="shared" si="14"/>
        <v>0% (0/0)</v>
      </c>
      <c r="AO34" s="450"/>
      <c r="AP34" s="450"/>
      <c r="AQ34" s="555"/>
    </row>
    <row r="35" spans="2:48" x14ac:dyDescent="0.25">
      <c r="B35" s="33" t="s">
        <v>340</v>
      </c>
      <c r="C35" s="442" t="str">
        <f>IF(ISBLANK(创建调查员!B76),,创建调查员!B76)</f>
        <v>汽车驾驶</v>
      </c>
      <c r="D35" s="443"/>
      <c r="E35" s="443"/>
      <c r="F35" s="443"/>
      <c r="G35" s="444"/>
      <c r="H35" s="445">
        <f>创建调查员!P76</f>
        <v>20</v>
      </c>
      <c r="I35" s="445"/>
      <c r="J35" s="445"/>
      <c r="K35" s="445"/>
      <c r="L35" s="446" t="str">
        <f t="shared" si="12"/>
        <v>20% (10/4)</v>
      </c>
      <c r="M35" s="446"/>
      <c r="N35" s="446"/>
      <c r="O35" s="447"/>
      <c r="P35" s="86" t="s">
        <v>463</v>
      </c>
      <c r="Q35" s="442" t="str">
        <f>IF(ISBLANK(创建调查员!S65)," ",创建调查员!S65)</f>
        <v xml:space="preserve"> </v>
      </c>
      <c r="R35" s="443"/>
      <c r="S35" s="443"/>
      <c r="T35" s="443"/>
      <c r="U35" s="444"/>
      <c r="V35" s="445">
        <f>创建调查员!AG65</f>
        <v>0</v>
      </c>
      <c r="W35" s="445"/>
      <c r="X35" s="445"/>
      <c r="Y35" s="445"/>
      <c r="Z35" s="446" t="str">
        <f t="shared" si="13"/>
        <v>0% (0/0)</v>
      </c>
      <c r="AA35" s="446"/>
      <c r="AB35" s="446"/>
      <c r="AC35" s="447"/>
      <c r="AD35" s="86" t="s">
        <v>463</v>
      </c>
      <c r="AE35" s="442" t="str">
        <f>IF(ISBLANK(创建调查员!U86),创建调查员!S86,创建调查员!S86&amp;"("&amp;创建调查员!U86&amp;")")</f>
        <v/>
      </c>
      <c r="AF35" s="443"/>
      <c r="AG35" s="443"/>
      <c r="AH35" s="443"/>
      <c r="AI35" s="444"/>
      <c r="AJ35" s="445">
        <f>创建调查员!AG86</f>
        <v>0</v>
      </c>
      <c r="AK35" s="445"/>
      <c r="AL35" s="445"/>
      <c r="AM35" s="445"/>
      <c r="AN35" s="446" t="str">
        <f t="shared" si="14"/>
        <v>0% (0/0)</v>
      </c>
      <c r="AO35" s="446"/>
      <c r="AP35" s="446"/>
      <c r="AQ35" s="467"/>
    </row>
    <row r="36" spans="2:48" ht="15.6" thickBot="1" x14ac:dyDescent="0.3">
      <c r="B36" s="27" t="s">
        <v>340</v>
      </c>
      <c r="C36" s="602" t="str">
        <f>IF(ISBLANK(创建调查员!B77),,创建调查员!B77)</f>
        <v>潜行</v>
      </c>
      <c r="D36" s="603"/>
      <c r="E36" s="603"/>
      <c r="F36" s="603"/>
      <c r="G36" s="604"/>
      <c r="H36" s="599">
        <f>创建调查员!P77</f>
        <v>20</v>
      </c>
      <c r="I36" s="599"/>
      <c r="J36" s="599"/>
      <c r="K36" s="599"/>
      <c r="L36" s="600" t="str">
        <f t="shared" si="9"/>
        <v>20% (10/4)</v>
      </c>
      <c r="M36" s="600"/>
      <c r="N36" s="600"/>
      <c r="O36" s="601"/>
      <c r="P36" s="29" t="s">
        <v>463</v>
      </c>
      <c r="Q36" s="602"/>
      <c r="R36" s="603"/>
      <c r="S36" s="603"/>
      <c r="T36" s="603"/>
      <c r="U36" s="604"/>
      <c r="V36" s="599">
        <f>创建调查员!AG66</f>
        <v>0</v>
      </c>
      <c r="W36" s="599"/>
      <c r="X36" s="599"/>
      <c r="Y36" s="599"/>
      <c r="Z36" s="600" t="str">
        <f t="shared" ref="Z36" si="15">SUM(V36:Y36)&amp;"% ("&amp;INT(SUM(V36:Y36)/2)&amp;"/"&amp;INT(SUM(V36:Y36)/5)&amp;")"</f>
        <v>0% (0/0)</v>
      </c>
      <c r="AA36" s="600"/>
      <c r="AB36" s="600"/>
      <c r="AC36" s="601"/>
      <c r="AD36" s="29" t="s">
        <v>340</v>
      </c>
      <c r="AE36" s="602"/>
      <c r="AF36" s="603"/>
      <c r="AG36" s="603"/>
      <c r="AH36" s="603"/>
      <c r="AI36" s="604"/>
      <c r="AJ36" s="599">
        <f>创建调查员!AG87</f>
        <v>0</v>
      </c>
      <c r="AK36" s="599"/>
      <c r="AL36" s="599"/>
      <c r="AM36" s="599"/>
      <c r="AN36" s="600" t="str">
        <f>SUM(AJ36:AM36)&amp;"% ("&amp;INT(SUM(AJ36:AM36)/2)&amp;"/"&amp;INT(SUM(AJ36:AM36)/5)&amp;")"</f>
        <v>0% (0/0)</v>
      </c>
      <c r="AO36" s="600"/>
      <c r="AP36" s="600"/>
      <c r="AQ36" s="606"/>
    </row>
    <row r="37" spans="2:48" ht="15.6" thickBot="1" x14ac:dyDescent="0.3">
      <c r="B37" s="48"/>
      <c r="C37" s="470"/>
      <c r="D37" s="470"/>
      <c r="E37" s="470"/>
      <c r="F37" s="470"/>
      <c r="G37" s="470"/>
      <c r="H37" s="151"/>
      <c r="P37" s="49"/>
      <c r="AD37" s="50"/>
      <c r="AE37" s="50"/>
      <c r="AF37" s="50"/>
      <c r="AG37" s="50"/>
      <c r="AH37" s="50"/>
      <c r="AI37" s="50"/>
      <c r="AJ37" s="50"/>
      <c r="AK37" s="50"/>
      <c r="AL37" s="50"/>
      <c r="AM37" s="51"/>
    </row>
    <row r="38" spans="2:48" ht="15.6" x14ac:dyDescent="0.25">
      <c r="B38" s="335" t="s">
        <v>12</v>
      </c>
      <c r="C38" s="336"/>
      <c r="D38" s="336"/>
      <c r="E38" s="336"/>
      <c r="F38" s="336"/>
      <c r="G38" s="336"/>
      <c r="H38" s="336"/>
      <c r="I38" s="336"/>
      <c r="J38" s="336"/>
      <c r="K38" s="336"/>
      <c r="L38" s="336"/>
      <c r="M38" s="336"/>
      <c r="N38" s="336"/>
      <c r="O38" s="336"/>
      <c r="P38" s="336"/>
      <c r="Q38" s="336"/>
      <c r="R38" s="336"/>
      <c r="S38" s="336"/>
      <c r="T38" s="336"/>
      <c r="U38" s="336"/>
      <c r="V38" s="336"/>
      <c r="W38" s="336"/>
      <c r="X38" s="336"/>
      <c r="Y38" s="336"/>
      <c r="Z38" s="336"/>
      <c r="AA38" s="336"/>
      <c r="AB38" s="336"/>
      <c r="AC38" s="336"/>
      <c r="AD38" s="336"/>
      <c r="AE38" s="336"/>
      <c r="AF38" s="336"/>
      <c r="AG38" s="336"/>
      <c r="AH38" s="337"/>
      <c r="AJ38" s="585" t="s">
        <v>14</v>
      </c>
      <c r="AK38" s="586"/>
      <c r="AL38" s="586"/>
      <c r="AM38" s="586"/>
      <c r="AN38" s="586"/>
      <c r="AO38" s="586"/>
      <c r="AP38" s="586"/>
      <c r="AQ38" s="587"/>
    </row>
    <row r="39" spans="2:48" ht="15" customHeight="1" x14ac:dyDescent="0.25">
      <c r="B39" s="348" t="s">
        <v>12</v>
      </c>
      <c r="C39" s="349"/>
      <c r="D39" s="349"/>
      <c r="E39" s="349"/>
      <c r="F39" s="349"/>
      <c r="G39" s="349"/>
      <c r="H39" s="349"/>
      <c r="I39" s="349"/>
      <c r="J39" s="350"/>
      <c r="K39" s="382" t="s">
        <v>8</v>
      </c>
      <c r="L39" s="349"/>
      <c r="M39" s="349"/>
      <c r="N39" s="349"/>
      <c r="O39" s="349"/>
      <c r="P39" s="350"/>
      <c r="Q39" s="126" t="s">
        <v>338</v>
      </c>
      <c r="R39" s="349" t="s">
        <v>264</v>
      </c>
      <c r="S39" s="349"/>
      <c r="T39" s="349"/>
      <c r="U39" s="349"/>
      <c r="V39" s="349"/>
      <c r="W39" s="350"/>
      <c r="X39" s="464" t="s">
        <v>263</v>
      </c>
      <c r="Y39" s="465"/>
      <c r="Z39" s="465"/>
      <c r="AA39" s="466"/>
      <c r="AB39" s="464" t="s">
        <v>262</v>
      </c>
      <c r="AC39" s="465"/>
      <c r="AD39" s="466"/>
      <c r="AE39" s="382" t="s">
        <v>336</v>
      </c>
      <c r="AF39" s="350"/>
      <c r="AG39" s="382" t="s">
        <v>13</v>
      </c>
      <c r="AH39" s="383"/>
      <c r="AJ39" s="208" t="s">
        <v>275</v>
      </c>
      <c r="AK39" s="209"/>
      <c r="AL39" s="209"/>
      <c r="AM39" s="209"/>
      <c r="AN39" s="194" t="str">
        <f>创建调查员!R43</f>
        <v>错误</v>
      </c>
      <c r="AO39" s="194"/>
      <c r="AP39" s="194"/>
      <c r="AQ39" s="588"/>
    </row>
    <row r="40" spans="2:48" x14ac:dyDescent="0.25">
      <c r="B40" s="547" t="s">
        <v>369</v>
      </c>
      <c r="C40" s="548"/>
      <c r="D40" s="548"/>
      <c r="E40" s="548"/>
      <c r="F40" s="548"/>
      <c r="G40" s="548"/>
      <c r="H40" s="548"/>
      <c r="I40" s="548"/>
      <c r="J40" s="549"/>
      <c r="K40" s="434">
        <f>SUM(VLOOKUP("格斗(斗殴)",AE16:AM36,6,0),VLOOKUP("格斗(斗殴)",AE16:AM36,8,0))</f>
        <v>25</v>
      </c>
      <c r="L40" s="435"/>
      <c r="M40" s="434">
        <f>INT(K40/2)</f>
        <v>12</v>
      </c>
      <c r="N40" s="435"/>
      <c r="O40" s="434">
        <f>INT(K40/5)</f>
        <v>5</v>
      </c>
      <c r="P40" s="435"/>
      <c r="Q40" s="52" t="s">
        <v>377</v>
      </c>
      <c r="R40" s="419" t="s">
        <v>270</v>
      </c>
      <c r="S40" s="419"/>
      <c r="T40" s="419"/>
      <c r="U40" s="419"/>
      <c r="V40" s="419"/>
      <c r="W40" s="420"/>
      <c r="X40" s="550" t="s">
        <v>32</v>
      </c>
      <c r="Y40" s="551"/>
      <c r="Z40" s="551"/>
      <c r="AA40" s="552"/>
      <c r="AB40" s="550">
        <v>1</v>
      </c>
      <c r="AC40" s="551"/>
      <c r="AD40" s="552"/>
      <c r="AE40" s="419" t="s">
        <v>32</v>
      </c>
      <c r="AF40" s="420"/>
      <c r="AG40" s="582" t="s">
        <v>32</v>
      </c>
      <c r="AH40" s="583"/>
      <c r="AJ40" s="208"/>
      <c r="AK40" s="209"/>
      <c r="AL40" s="209"/>
      <c r="AM40" s="209"/>
      <c r="AN40" s="194"/>
      <c r="AO40" s="194"/>
      <c r="AP40" s="194"/>
      <c r="AQ40" s="588"/>
    </row>
    <row r="41" spans="2:48" ht="15" customHeight="1" x14ac:dyDescent="0.25">
      <c r="B41" s="427"/>
      <c r="C41" s="375"/>
      <c r="D41" s="375"/>
      <c r="E41" s="375"/>
      <c r="F41" s="375"/>
      <c r="G41" s="375"/>
      <c r="H41" s="375"/>
      <c r="I41" s="375"/>
      <c r="J41" s="376"/>
      <c r="K41" s="428"/>
      <c r="L41" s="429"/>
      <c r="M41" s="430">
        <f t="shared" ref="M41:M46" si="16">INT(K41/2)</f>
        <v>0</v>
      </c>
      <c r="N41" s="431"/>
      <c r="O41" s="430">
        <f t="shared" ref="O41:O46" si="17">INT(K41/5)</f>
        <v>0</v>
      </c>
      <c r="P41" s="431"/>
      <c r="Q41" s="70"/>
      <c r="R41" s="375"/>
      <c r="S41" s="375"/>
      <c r="T41" s="375"/>
      <c r="U41" s="375"/>
      <c r="V41" s="375"/>
      <c r="W41" s="376"/>
      <c r="X41" s="374"/>
      <c r="Y41" s="375"/>
      <c r="Z41" s="375"/>
      <c r="AA41" s="376"/>
      <c r="AB41" s="374"/>
      <c r="AC41" s="375"/>
      <c r="AD41" s="376"/>
      <c r="AE41" s="375"/>
      <c r="AF41" s="376"/>
      <c r="AG41" s="374"/>
      <c r="AH41" s="584"/>
      <c r="AJ41" s="206" t="s">
        <v>276</v>
      </c>
      <c r="AK41" s="207"/>
      <c r="AL41" s="207"/>
      <c r="AM41" s="207"/>
      <c r="AN41" s="188" t="str">
        <f>创建调查员!U43</f>
        <v>错误</v>
      </c>
      <c r="AO41" s="188"/>
      <c r="AP41" s="188"/>
      <c r="AQ41" s="189"/>
      <c r="AT41" s="89"/>
      <c r="AU41" s="89"/>
      <c r="AV41" s="89"/>
    </row>
    <row r="42" spans="2:48" x14ac:dyDescent="0.25">
      <c r="B42" s="547"/>
      <c r="C42" s="548"/>
      <c r="D42" s="548"/>
      <c r="E42" s="548"/>
      <c r="F42" s="548"/>
      <c r="G42" s="548"/>
      <c r="H42" s="548"/>
      <c r="I42" s="548"/>
      <c r="J42" s="549"/>
      <c r="K42" s="553"/>
      <c r="L42" s="554"/>
      <c r="M42" s="434">
        <f t="shared" si="16"/>
        <v>0</v>
      </c>
      <c r="N42" s="435"/>
      <c r="O42" s="434">
        <f t="shared" si="17"/>
        <v>0</v>
      </c>
      <c r="P42" s="435"/>
      <c r="Q42" s="150"/>
      <c r="R42" s="436"/>
      <c r="S42" s="436"/>
      <c r="T42" s="436"/>
      <c r="U42" s="436"/>
      <c r="V42" s="436"/>
      <c r="W42" s="437"/>
      <c r="X42" s="353"/>
      <c r="Y42" s="354"/>
      <c r="Z42" s="354"/>
      <c r="AA42" s="355"/>
      <c r="AB42" s="353"/>
      <c r="AC42" s="354"/>
      <c r="AD42" s="355"/>
      <c r="AE42" s="436"/>
      <c r="AF42" s="437"/>
      <c r="AG42" s="589"/>
      <c r="AH42" s="590"/>
      <c r="AJ42" s="206"/>
      <c r="AK42" s="207"/>
      <c r="AL42" s="207"/>
      <c r="AM42" s="207"/>
      <c r="AN42" s="188"/>
      <c r="AO42" s="188"/>
      <c r="AP42" s="188"/>
      <c r="AQ42" s="189"/>
      <c r="AT42" s="89"/>
      <c r="AU42" s="89"/>
      <c r="AV42" s="89"/>
    </row>
    <row r="43" spans="2:48" x14ac:dyDescent="0.25">
      <c r="B43" s="427"/>
      <c r="C43" s="375"/>
      <c r="D43" s="375"/>
      <c r="E43" s="375"/>
      <c r="F43" s="375"/>
      <c r="G43" s="375"/>
      <c r="H43" s="375"/>
      <c r="I43" s="375"/>
      <c r="J43" s="376"/>
      <c r="K43" s="428"/>
      <c r="L43" s="429"/>
      <c r="M43" s="430">
        <f t="shared" ref="M43:M44" si="18">INT(K43/2)</f>
        <v>0</v>
      </c>
      <c r="N43" s="431"/>
      <c r="O43" s="430">
        <f t="shared" ref="O43:O44" si="19">INT(K43/5)</f>
        <v>0</v>
      </c>
      <c r="P43" s="431"/>
      <c r="Q43" s="70"/>
      <c r="R43" s="375"/>
      <c r="S43" s="375"/>
      <c r="T43" s="375"/>
      <c r="U43" s="375"/>
      <c r="V43" s="375"/>
      <c r="W43" s="376"/>
      <c r="X43" s="374"/>
      <c r="Y43" s="375"/>
      <c r="Z43" s="375"/>
      <c r="AA43" s="376"/>
      <c r="AB43" s="374"/>
      <c r="AC43" s="375"/>
      <c r="AD43" s="376"/>
      <c r="AE43" s="375"/>
      <c r="AF43" s="376"/>
      <c r="AG43" s="374"/>
      <c r="AH43" s="584"/>
      <c r="AJ43" s="208" t="s">
        <v>337</v>
      </c>
      <c r="AK43" s="209"/>
      <c r="AL43" s="209"/>
      <c r="AM43" s="209"/>
      <c r="AN43" s="194">
        <f>Dodge</f>
        <v>0</v>
      </c>
      <c r="AO43" s="194"/>
      <c r="AP43" s="194">
        <f t="shared" ref="AP43" si="20">INT(AN43/2)</f>
        <v>0</v>
      </c>
      <c r="AQ43" s="588"/>
      <c r="AT43" s="89"/>
      <c r="AU43" s="89"/>
      <c r="AV43" s="89"/>
    </row>
    <row r="44" spans="2:48" x14ac:dyDescent="0.25">
      <c r="B44" s="547"/>
      <c r="C44" s="548"/>
      <c r="D44" s="548"/>
      <c r="E44" s="548"/>
      <c r="F44" s="548"/>
      <c r="G44" s="548"/>
      <c r="H44" s="548"/>
      <c r="I44" s="548"/>
      <c r="J44" s="549"/>
      <c r="K44" s="553"/>
      <c r="L44" s="554"/>
      <c r="M44" s="434">
        <f t="shared" si="18"/>
        <v>0</v>
      </c>
      <c r="N44" s="435"/>
      <c r="O44" s="434">
        <f t="shared" si="19"/>
        <v>0</v>
      </c>
      <c r="P44" s="435"/>
      <c r="Q44" s="150"/>
      <c r="R44" s="436"/>
      <c r="S44" s="436"/>
      <c r="T44" s="436"/>
      <c r="U44" s="436"/>
      <c r="V44" s="436"/>
      <c r="W44" s="437"/>
      <c r="X44" s="353"/>
      <c r="Y44" s="354"/>
      <c r="Z44" s="354"/>
      <c r="AA44" s="355"/>
      <c r="AB44" s="353"/>
      <c r="AC44" s="354"/>
      <c r="AD44" s="355"/>
      <c r="AE44" s="436"/>
      <c r="AF44" s="437"/>
      <c r="AG44" s="589"/>
      <c r="AH44" s="590"/>
      <c r="AJ44" s="208"/>
      <c r="AK44" s="209"/>
      <c r="AL44" s="209"/>
      <c r="AM44" s="209"/>
      <c r="AN44" s="194"/>
      <c r="AO44" s="194"/>
      <c r="AP44" s="194">
        <f t="shared" ref="AP44" si="21">INT(AN43/5)</f>
        <v>0</v>
      </c>
      <c r="AQ44" s="588"/>
      <c r="AT44" s="89"/>
      <c r="AU44" s="89"/>
      <c r="AV44" s="89"/>
    </row>
    <row r="45" spans="2:48" ht="15" customHeight="1" x14ac:dyDescent="0.25">
      <c r="B45" s="427"/>
      <c r="C45" s="375"/>
      <c r="D45" s="375"/>
      <c r="E45" s="375"/>
      <c r="F45" s="375"/>
      <c r="G45" s="375"/>
      <c r="H45" s="375"/>
      <c r="I45" s="375"/>
      <c r="J45" s="376"/>
      <c r="K45" s="428"/>
      <c r="L45" s="429"/>
      <c r="M45" s="430">
        <f t="shared" si="16"/>
        <v>0</v>
      </c>
      <c r="N45" s="431"/>
      <c r="O45" s="430">
        <f t="shared" si="17"/>
        <v>0</v>
      </c>
      <c r="P45" s="431"/>
      <c r="Q45" s="70"/>
      <c r="R45" s="375"/>
      <c r="S45" s="375"/>
      <c r="T45" s="375"/>
      <c r="U45" s="375"/>
      <c r="V45" s="375"/>
      <c r="W45" s="376"/>
      <c r="X45" s="374"/>
      <c r="Y45" s="375"/>
      <c r="Z45" s="375"/>
      <c r="AA45" s="376"/>
      <c r="AB45" s="374"/>
      <c r="AC45" s="375"/>
      <c r="AD45" s="376"/>
      <c r="AE45" s="375"/>
      <c r="AF45" s="376"/>
      <c r="AG45" s="374"/>
      <c r="AH45" s="584"/>
      <c r="AJ45" s="206" t="s">
        <v>667</v>
      </c>
      <c r="AK45" s="207"/>
      <c r="AL45" s="207"/>
      <c r="AM45" s="207"/>
      <c r="AN45" s="593"/>
      <c r="AO45" s="594"/>
      <c r="AP45" s="594"/>
      <c r="AQ45" s="595"/>
    </row>
    <row r="46" spans="2:48" ht="15.6" thickBot="1" x14ac:dyDescent="0.3">
      <c r="B46" s="359"/>
      <c r="C46" s="360"/>
      <c r="D46" s="360"/>
      <c r="E46" s="360"/>
      <c r="F46" s="360"/>
      <c r="G46" s="360"/>
      <c r="H46" s="360"/>
      <c r="I46" s="360"/>
      <c r="J46" s="361"/>
      <c r="K46" s="438"/>
      <c r="L46" s="439"/>
      <c r="M46" s="432">
        <f t="shared" si="16"/>
        <v>0</v>
      </c>
      <c r="N46" s="433"/>
      <c r="O46" s="432">
        <f t="shared" si="17"/>
        <v>0</v>
      </c>
      <c r="P46" s="433"/>
      <c r="Q46" s="55"/>
      <c r="R46" s="360"/>
      <c r="S46" s="360"/>
      <c r="T46" s="360"/>
      <c r="U46" s="360"/>
      <c r="V46" s="360"/>
      <c r="W46" s="361"/>
      <c r="X46" s="356"/>
      <c r="Y46" s="357"/>
      <c r="Z46" s="357"/>
      <c r="AA46" s="358"/>
      <c r="AB46" s="356"/>
      <c r="AC46" s="357"/>
      <c r="AD46" s="358"/>
      <c r="AE46" s="360"/>
      <c r="AF46" s="361"/>
      <c r="AG46" s="591"/>
      <c r="AH46" s="592"/>
      <c r="AJ46" s="180"/>
      <c r="AK46" s="181"/>
      <c r="AL46" s="181"/>
      <c r="AM46" s="181"/>
      <c r="AN46" s="596"/>
      <c r="AO46" s="597"/>
      <c r="AP46" s="597"/>
      <c r="AQ46" s="598"/>
    </row>
    <row r="47" spans="2:48" x14ac:dyDescent="0.25">
      <c r="B47" s="53" t="s">
        <v>370</v>
      </c>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row>
    <row r="48" spans="2:48" ht="15.6" thickBot="1" x14ac:dyDescent="0.3">
      <c r="B48" s="53"/>
      <c r="C48" s="53"/>
      <c r="D48" s="53"/>
      <c r="E48" s="53"/>
      <c r="F48" s="53"/>
      <c r="G48" s="53"/>
      <c r="H48" s="53"/>
      <c r="I48" s="53"/>
      <c r="J48" s="53"/>
      <c r="K48" s="53"/>
      <c r="L48" s="53"/>
      <c r="M48" s="53"/>
      <c r="N48" s="53"/>
      <c r="O48" s="53"/>
      <c r="P48" s="53"/>
      <c r="Q48" s="53"/>
    </row>
    <row r="49" spans="2:43" ht="15.6" x14ac:dyDescent="0.25">
      <c r="B49" s="338" t="s">
        <v>874</v>
      </c>
      <c r="C49" s="339"/>
      <c r="D49" s="339"/>
      <c r="E49" s="339"/>
      <c r="F49" s="339"/>
      <c r="G49" s="339"/>
      <c r="H49" s="339"/>
      <c r="I49" s="339"/>
      <c r="J49" s="339"/>
      <c r="K49" s="339"/>
      <c r="L49" s="339"/>
      <c r="M49" s="339"/>
      <c r="N49" s="339"/>
      <c r="O49" s="339"/>
      <c r="P49" s="339"/>
      <c r="Q49" s="340"/>
      <c r="S49" s="335" t="s">
        <v>34</v>
      </c>
      <c r="T49" s="336"/>
      <c r="U49" s="336"/>
      <c r="V49" s="336"/>
      <c r="W49" s="336"/>
      <c r="X49" s="336"/>
      <c r="Y49" s="336"/>
      <c r="Z49" s="336"/>
      <c r="AA49" s="336"/>
      <c r="AB49" s="336"/>
      <c r="AC49" s="336"/>
      <c r="AD49" s="336"/>
      <c r="AE49" s="336"/>
      <c r="AF49" s="336"/>
      <c r="AG49" s="336"/>
      <c r="AH49" s="336"/>
      <c r="AI49" s="336"/>
      <c r="AJ49" s="336"/>
      <c r="AK49" s="336"/>
      <c r="AL49" s="336"/>
      <c r="AM49" s="336"/>
      <c r="AN49" s="336"/>
      <c r="AO49" s="336"/>
      <c r="AP49" s="336"/>
      <c r="AQ49" s="337"/>
    </row>
    <row r="50" spans="2:43" x14ac:dyDescent="0.25">
      <c r="B50" s="311"/>
      <c r="C50" s="312"/>
      <c r="D50" s="312"/>
      <c r="E50" s="312"/>
      <c r="F50" s="312"/>
      <c r="G50" s="312"/>
      <c r="H50" s="312"/>
      <c r="I50" s="312"/>
      <c r="J50" s="312"/>
      <c r="K50" s="312"/>
      <c r="L50" s="312"/>
      <c r="M50" s="312"/>
      <c r="N50" s="312"/>
      <c r="O50" s="312"/>
      <c r="P50" s="312"/>
      <c r="Q50" s="313"/>
      <c r="S50" s="347" t="s">
        <v>460</v>
      </c>
      <c r="T50" s="314"/>
      <c r="U50" s="314"/>
      <c r="V50" s="314"/>
      <c r="W50" s="387"/>
      <c r="X50" s="388"/>
      <c r="Y50" s="388"/>
      <c r="Z50" s="388"/>
      <c r="AA50" s="388"/>
      <c r="AB50" s="388"/>
      <c r="AC50" s="388"/>
      <c r="AD50" s="388"/>
      <c r="AE50" s="388"/>
      <c r="AF50" s="388"/>
      <c r="AG50" s="388"/>
      <c r="AH50" s="388"/>
      <c r="AI50" s="388"/>
      <c r="AJ50" s="388"/>
      <c r="AK50" s="388"/>
      <c r="AL50" s="388"/>
      <c r="AM50" s="388"/>
      <c r="AN50" s="388"/>
      <c r="AO50" s="388"/>
      <c r="AP50" s="388"/>
      <c r="AQ50" s="389"/>
    </row>
    <row r="51" spans="2:43" x14ac:dyDescent="0.25">
      <c r="B51" s="308"/>
      <c r="C51" s="309"/>
      <c r="D51" s="309"/>
      <c r="E51" s="309"/>
      <c r="F51" s="309"/>
      <c r="G51" s="309"/>
      <c r="H51" s="309"/>
      <c r="I51" s="309"/>
      <c r="J51" s="309"/>
      <c r="K51" s="309"/>
      <c r="L51" s="309"/>
      <c r="M51" s="309"/>
      <c r="N51" s="309"/>
      <c r="O51" s="309"/>
      <c r="P51" s="309"/>
      <c r="Q51" s="310"/>
      <c r="S51" s="347"/>
      <c r="T51" s="314"/>
      <c r="U51" s="314"/>
      <c r="V51" s="314"/>
      <c r="W51" s="390"/>
      <c r="X51" s="391"/>
      <c r="Y51" s="391"/>
      <c r="Z51" s="391"/>
      <c r="AA51" s="391"/>
      <c r="AB51" s="391"/>
      <c r="AC51" s="391"/>
      <c r="AD51" s="391"/>
      <c r="AE51" s="391"/>
      <c r="AF51" s="391"/>
      <c r="AG51" s="391"/>
      <c r="AH51" s="391"/>
      <c r="AI51" s="391"/>
      <c r="AJ51" s="391"/>
      <c r="AK51" s="391"/>
      <c r="AL51" s="391"/>
      <c r="AM51" s="391"/>
      <c r="AN51" s="391"/>
      <c r="AO51" s="391"/>
      <c r="AP51" s="391"/>
      <c r="AQ51" s="392"/>
    </row>
    <row r="52" spans="2:43" x14ac:dyDescent="0.25">
      <c r="B52" s="311"/>
      <c r="C52" s="312"/>
      <c r="D52" s="312"/>
      <c r="E52" s="312"/>
      <c r="F52" s="312"/>
      <c r="G52" s="312"/>
      <c r="H52" s="312"/>
      <c r="I52" s="312"/>
      <c r="J52" s="312"/>
      <c r="K52" s="312"/>
      <c r="L52" s="312"/>
      <c r="M52" s="312"/>
      <c r="N52" s="312"/>
      <c r="O52" s="312"/>
      <c r="P52" s="312"/>
      <c r="Q52" s="313"/>
      <c r="S52" s="347"/>
      <c r="T52" s="314"/>
      <c r="U52" s="314"/>
      <c r="V52" s="314"/>
      <c r="W52" s="393"/>
      <c r="X52" s="394"/>
      <c r="Y52" s="394"/>
      <c r="Z52" s="394"/>
      <c r="AA52" s="394"/>
      <c r="AB52" s="394"/>
      <c r="AC52" s="394"/>
      <c r="AD52" s="394"/>
      <c r="AE52" s="394"/>
      <c r="AF52" s="394"/>
      <c r="AG52" s="394"/>
      <c r="AH52" s="394"/>
      <c r="AI52" s="394"/>
      <c r="AJ52" s="394"/>
      <c r="AK52" s="394"/>
      <c r="AL52" s="394"/>
      <c r="AM52" s="394"/>
      <c r="AN52" s="394"/>
      <c r="AO52" s="394"/>
      <c r="AP52" s="394"/>
      <c r="AQ52" s="395"/>
    </row>
    <row r="53" spans="2:43" x14ac:dyDescent="0.25">
      <c r="B53" s="308"/>
      <c r="C53" s="309"/>
      <c r="D53" s="309"/>
      <c r="E53" s="309"/>
      <c r="F53" s="309"/>
      <c r="G53" s="309"/>
      <c r="H53" s="309"/>
      <c r="I53" s="309"/>
      <c r="J53" s="309"/>
      <c r="K53" s="309"/>
      <c r="L53" s="309"/>
      <c r="M53" s="309"/>
      <c r="N53" s="309"/>
      <c r="O53" s="309"/>
      <c r="P53" s="309"/>
      <c r="Q53" s="310"/>
      <c r="S53" s="195" t="s">
        <v>278</v>
      </c>
      <c r="T53" s="188"/>
      <c r="U53" s="188"/>
      <c r="V53" s="188"/>
      <c r="W53" s="396"/>
      <c r="X53" s="397"/>
      <c r="Y53" s="397"/>
      <c r="Z53" s="397"/>
      <c r="AA53" s="397"/>
      <c r="AB53" s="397"/>
      <c r="AC53" s="397"/>
      <c r="AD53" s="397"/>
      <c r="AE53" s="397"/>
      <c r="AF53" s="397"/>
      <c r="AG53" s="397"/>
      <c r="AH53" s="397"/>
      <c r="AI53" s="397"/>
      <c r="AJ53" s="397"/>
      <c r="AK53" s="397"/>
      <c r="AL53" s="397"/>
      <c r="AM53" s="397"/>
      <c r="AN53" s="397"/>
      <c r="AO53" s="397"/>
      <c r="AP53" s="397"/>
      <c r="AQ53" s="398"/>
    </row>
    <row r="54" spans="2:43" x14ac:dyDescent="0.25">
      <c r="B54" s="311"/>
      <c r="C54" s="312"/>
      <c r="D54" s="312"/>
      <c r="E54" s="312"/>
      <c r="F54" s="312"/>
      <c r="G54" s="312"/>
      <c r="H54" s="312"/>
      <c r="I54" s="312"/>
      <c r="J54" s="312"/>
      <c r="K54" s="312"/>
      <c r="L54" s="312"/>
      <c r="M54" s="312"/>
      <c r="N54" s="312"/>
      <c r="O54" s="312"/>
      <c r="P54" s="312"/>
      <c r="Q54" s="313"/>
      <c r="S54" s="195"/>
      <c r="T54" s="188"/>
      <c r="U54" s="188"/>
      <c r="V54" s="188"/>
      <c r="W54" s="399"/>
      <c r="X54" s="400"/>
      <c r="Y54" s="400"/>
      <c r="Z54" s="400"/>
      <c r="AA54" s="400"/>
      <c r="AB54" s="400"/>
      <c r="AC54" s="400"/>
      <c r="AD54" s="400"/>
      <c r="AE54" s="400"/>
      <c r="AF54" s="400"/>
      <c r="AG54" s="400"/>
      <c r="AH54" s="400"/>
      <c r="AI54" s="400"/>
      <c r="AJ54" s="400"/>
      <c r="AK54" s="400"/>
      <c r="AL54" s="400"/>
      <c r="AM54" s="400"/>
      <c r="AN54" s="400"/>
      <c r="AO54" s="400"/>
      <c r="AP54" s="400"/>
      <c r="AQ54" s="401"/>
    </row>
    <row r="55" spans="2:43" x14ac:dyDescent="0.25">
      <c r="B55" s="308"/>
      <c r="C55" s="309"/>
      <c r="D55" s="309"/>
      <c r="E55" s="309"/>
      <c r="F55" s="309"/>
      <c r="G55" s="309"/>
      <c r="H55" s="309"/>
      <c r="I55" s="309"/>
      <c r="J55" s="309"/>
      <c r="K55" s="309"/>
      <c r="L55" s="309"/>
      <c r="M55" s="309"/>
      <c r="N55" s="309"/>
      <c r="O55" s="309"/>
      <c r="P55" s="309"/>
      <c r="Q55" s="310"/>
      <c r="S55" s="195"/>
      <c r="T55" s="188"/>
      <c r="U55" s="188"/>
      <c r="V55" s="188"/>
      <c r="W55" s="402"/>
      <c r="X55" s="403"/>
      <c r="Y55" s="403"/>
      <c r="Z55" s="403"/>
      <c r="AA55" s="403"/>
      <c r="AB55" s="403"/>
      <c r="AC55" s="403"/>
      <c r="AD55" s="403"/>
      <c r="AE55" s="403"/>
      <c r="AF55" s="403"/>
      <c r="AG55" s="403"/>
      <c r="AH55" s="403"/>
      <c r="AI55" s="403"/>
      <c r="AJ55" s="403"/>
      <c r="AK55" s="403"/>
      <c r="AL55" s="403"/>
      <c r="AM55" s="403"/>
      <c r="AN55" s="403"/>
      <c r="AO55" s="403"/>
      <c r="AP55" s="403"/>
      <c r="AQ55" s="404"/>
    </row>
    <row r="56" spans="2:43" x14ac:dyDescent="0.25">
      <c r="B56" s="311"/>
      <c r="C56" s="312"/>
      <c r="D56" s="312"/>
      <c r="E56" s="312"/>
      <c r="F56" s="312"/>
      <c r="G56" s="312"/>
      <c r="H56" s="312"/>
      <c r="I56" s="312"/>
      <c r="J56" s="312"/>
      <c r="K56" s="312"/>
      <c r="L56" s="312"/>
      <c r="M56" s="312"/>
      <c r="N56" s="312"/>
      <c r="O56" s="312"/>
      <c r="P56" s="312"/>
      <c r="Q56" s="313"/>
      <c r="S56" s="347" t="s">
        <v>279</v>
      </c>
      <c r="T56" s="314"/>
      <c r="U56" s="314"/>
      <c r="V56" s="314"/>
      <c r="W56" s="387"/>
      <c r="X56" s="388"/>
      <c r="Y56" s="388"/>
      <c r="Z56" s="388"/>
      <c r="AA56" s="388"/>
      <c r="AB56" s="388"/>
      <c r="AC56" s="388"/>
      <c r="AD56" s="388"/>
      <c r="AE56" s="388"/>
      <c r="AF56" s="388"/>
      <c r="AG56" s="388"/>
      <c r="AH56" s="388"/>
      <c r="AI56" s="388"/>
      <c r="AJ56" s="388"/>
      <c r="AK56" s="388"/>
      <c r="AL56" s="388"/>
      <c r="AM56" s="388"/>
      <c r="AN56" s="388"/>
      <c r="AO56" s="388"/>
      <c r="AP56" s="388"/>
      <c r="AQ56" s="389"/>
    </row>
    <row r="57" spans="2:43" x14ac:dyDescent="0.25">
      <c r="B57" s="308"/>
      <c r="C57" s="309"/>
      <c r="D57" s="309"/>
      <c r="E57" s="309"/>
      <c r="F57" s="309"/>
      <c r="G57" s="309"/>
      <c r="H57" s="309"/>
      <c r="I57" s="309"/>
      <c r="J57" s="309"/>
      <c r="K57" s="309"/>
      <c r="L57" s="309"/>
      <c r="M57" s="309"/>
      <c r="N57" s="309"/>
      <c r="O57" s="309"/>
      <c r="P57" s="309"/>
      <c r="Q57" s="310"/>
      <c r="S57" s="347"/>
      <c r="T57" s="314"/>
      <c r="U57" s="314"/>
      <c r="V57" s="314"/>
      <c r="W57" s="390"/>
      <c r="X57" s="391"/>
      <c r="Y57" s="391"/>
      <c r="Z57" s="391"/>
      <c r="AA57" s="391"/>
      <c r="AB57" s="391"/>
      <c r="AC57" s="391"/>
      <c r="AD57" s="391"/>
      <c r="AE57" s="391"/>
      <c r="AF57" s="391"/>
      <c r="AG57" s="391"/>
      <c r="AH57" s="391"/>
      <c r="AI57" s="391"/>
      <c r="AJ57" s="391"/>
      <c r="AK57" s="391"/>
      <c r="AL57" s="391"/>
      <c r="AM57" s="391"/>
      <c r="AN57" s="391"/>
      <c r="AO57" s="391"/>
      <c r="AP57" s="391"/>
      <c r="AQ57" s="392"/>
    </row>
    <row r="58" spans="2:43" ht="15.6" thickBot="1" x14ac:dyDescent="0.3">
      <c r="B58" s="371"/>
      <c r="C58" s="372"/>
      <c r="D58" s="372"/>
      <c r="E58" s="372"/>
      <c r="F58" s="372"/>
      <c r="G58" s="372"/>
      <c r="H58" s="372"/>
      <c r="I58" s="372"/>
      <c r="J58" s="372"/>
      <c r="K58" s="372"/>
      <c r="L58" s="372"/>
      <c r="M58" s="372"/>
      <c r="N58" s="372"/>
      <c r="O58" s="372"/>
      <c r="P58" s="372"/>
      <c r="Q58" s="373"/>
      <c r="S58" s="347"/>
      <c r="T58" s="314"/>
      <c r="U58" s="314"/>
      <c r="V58" s="314"/>
      <c r="W58" s="393"/>
      <c r="X58" s="394"/>
      <c r="Y58" s="394"/>
      <c r="Z58" s="394"/>
      <c r="AA58" s="394"/>
      <c r="AB58" s="394"/>
      <c r="AC58" s="394"/>
      <c r="AD58" s="394"/>
      <c r="AE58" s="394"/>
      <c r="AF58" s="394"/>
      <c r="AG58" s="394"/>
      <c r="AH58" s="394"/>
      <c r="AI58" s="394"/>
      <c r="AJ58" s="394"/>
      <c r="AK58" s="394"/>
      <c r="AL58" s="394"/>
      <c r="AM58" s="394"/>
      <c r="AN58" s="394"/>
      <c r="AO58" s="394"/>
      <c r="AP58" s="394"/>
      <c r="AQ58" s="395"/>
    </row>
    <row r="59" spans="2:43" ht="15.6" thickBot="1" x14ac:dyDescent="0.3">
      <c r="B59" s="53"/>
      <c r="C59" s="53"/>
      <c r="D59" s="53"/>
      <c r="E59" s="53"/>
      <c r="F59" s="53"/>
      <c r="G59" s="53"/>
      <c r="H59" s="53"/>
      <c r="I59" s="53"/>
      <c r="J59" s="53"/>
      <c r="K59" s="53"/>
      <c r="L59" s="53"/>
      <c r="M59" s="53"/>
      <c r="N59" s="53"/>
      <c r="O59" s="53"/>
      <c r="P59" s="53"/>
      <c r="Q59" s="53"/>
      <c r="S59" s="195" t="s">
        <v>265</v>
      </c>
      <c r="T59" s="188"/>
      <c r="U59" s="188"/>
      <c r="V59" s="188"/>
      <c r="W59" s="396"/>
      <c r="X59" s="397"/>
      <c r="Y59" s="397"/>
      <c r="Z59" s="397"/>
      <c r="AA59" s="397"/>
      <c r="AB59" s="397"/>
      <c r="AC59" s="397"/>
      <c r="AD59" s="397"/>
      <c r="AE59" s="397"/>
      <c r="AF59" s="397"/>
      <c r="AG59" s="397"/>
      <c r="AH59" s="397"/>
      <c r="AI59" s="397"/>
      <c r="AJ59" s="397"/>
      <c r="AK59" s="397"/>
      <c r="AL59" s="397"/>
      <c r="AM59" s="397"/>
      <c r="AN59" s="397"/>
      <c r="AO59" s="397"/>
      <c r="AP59" s="397"/>
      <c r="AQ59" s="398"/>
    </row>
    <row r="60" spans="2:43" ht="15.6" x14ac:dyDescent="0.25">
      <c r="B60" s="362" t="s">
        <v>33</v>
      </c>
      <c r="C60" s="363"/>
      <c r="D60" s="363"/>
      <c r="E60" s="363"/>
      <c r="F60" s="363"/>
      <c r="G60" s="363"/>
      <c r="H60" s="363"/>
      <c r="I60" s="363"/>
      <c r="J60" s="363"/>
      <c r="K60" s="363"/>
      <c r="L60" s="363"/>
      <c r="M60" s="363"/>
      <c r="N60" s="363"/>
      <c r="O60" s="363"/>
      <c r="P60" s="363"/>
      <c r="Q60" s="364"/>
      <c r="S60" s="195"/>
      <c r="T60" s="188"/>
      <c r="U60" s="188"/>
      <c r="V60" s="188"/>
      <c r="W60" s="399"/>
      <c r="X60" s="400"/>
      <c r="Y60" s="400"/>
      <c r="Z60" s="400"/>
      <c r="AA60" s="400"/>
      <c r="AB60" s="400"/>
      <c r="AC60" s="400"/>
      <c r="AD60" s="400"/>
      <c r="AE60" s="400"/>
      <c r="AF60" s="400"/>
      <c r="AG60" s="400"/>
      <c r="AH60" s="400"/>
      <c r="AI60" s="400"/>
      <c r="AJ60" s="400"/>
      <c r="AK60" s="400"/>
      <c r="AL60" s="400"/>
      <c r="AM60" s="400"/>
      <c r="AN60" s="400"/>
      <c r="AO60" s="400"/>
      <c r="AP60" s="400"/>
      <c r="AQ60" s="401"/>
    </row>
    <row r="61" spans="2:43" x14ac:dyDescent="0.25">
      <c r="B61" s="440" t="s">
        <v>383</v>
      </c>
      <c r="C61" s="441"/>
      <c r="D61" s="441"/>
      <c r="E61" s="379"/>
      <c r="F61" s="379"/>
      <c r="G61" s="379"/>
      <c r="H61" s="379"/>
      <c r="I61" s="379"/>
      <c r="J61" s="379"/>
      <c r="K61" s="379"/>
      <c r="L61" s="379"/>
      <c r="M61" s="379"/>
      <c r="N61" s="379"/>
      <c r="O61" s="379"/>
      <c r="P61" s="379"/>
      <c r="Q61" s="380"/>
      <c r="S61" s="195"/>
      <c r="T61" s="188"/>
      <c r="U61" s="188"/>
      <c r="V61" s="188"/>
      <c r="W61" s="402"/>
      <c r="X61" s="403"/>
      <c r="Y61" s="403"/>
      <c r="Z61" s="403"/>
      <c r="AA61" s="403"/>
      <c r="AB61" s="403"/>
      <c r="AC61" s="403"/>
      <c r="AD61" s="403"/>
      <c r="AE61" s="403"/>
      <c r="AF61" s="403"/>
      <c r="AG61" s="403"/>
      <c r="AH61" s="403"/>
      <c r="AI61" s="403"/>
      <c r="AJ61" s="403"/>
      <c r="AK61" s="403"/>
      <c r="AL61" s="403"/>
      <c r="AM61" s="403"/>
      <c r="AN61" s="403"/>
      <c r="AO61" s="403"/>
      <c r="AP61" s="403"/>
      <c r="AQ61" s="404"/>
    </row>
    <row r="62" spans="2:43" x14ac:dyDescent="0.25">
      <c r="B62" s="195" t="s">
        <v>381</v>
      </c>
      <c r="C62" s="188"/>
      <c r="D62" s="188"/>
      <c r="E62" s="377"/>
      <c r="F62" s="377"/>
      <c r="G62" s="377"/>
      <c r="H62" s="377"/>
      <c r="I62" s="377"/>
      <c r="J62" s="377"/>
      <c r="K62" s="377"/>
      <c r="L62" s="377"/>
      <c r="M62" s="377"/>
      <c r="N62" s="377"/>
      <c r="O62" s="377"/>
      <c r="P62" s="377"/>
      <c r="Q62" s="378"/>
      <c r="S62" s="347" t="s">
        <v>277</v>
      </c>
      <c r="T62" s="314"/>
      <c r="U62" s="314"/>
      <c r="V62" s="314"/>
      <c r="W62" s="387"/>
      <c r="X62" s="388"/>
      <c r="Y62" s="388"/>
      <c r="Z62" s="388"/>
      <c r="AA62" s="388"/>
      <c r="AB62" s="388"/>
      <c r="AC62" s="388"/>
      <c r="AD62" s="388"/>
      <c r="AE62" s="388"/>
      <c r="AF62" s="388"/>
      <c r="AG62" s="388"/>
      <c r="AH62" s="388"/>
      <c r="AI62" s="388"/>
      <c r="AJ62" s="388"/>
      <c r="AK62" s="388"/>
      <c r="AL62" s="388"/>
      <c r="AM62" s="388"/>
      <c r="AN62" s="388"/>
      <c r="AO62" s="388"/>
      <c r="AP62" s="388"/>
      <c r="AQ62" s="389"/>
    </row>
    <row r="63" spans="2:43" x14ac:dyDescent="0.25">
      <c r="B63" s="421"/>
      <c r="C63" s="422"/>
      <c r="D63" s="422"/>
      <c r="E63" s="422"/>
      <c r="F63" s="422"/>
      <c r="G63" s="422"/>
      <c r="H63" s="422"/>
      <c r="I63" s="422"/>
      <c r="J63" s="422"/>
      <c r="K63" s="422"/>
      <c r="L63" s="422"/>
      <c r="M63" s="422"/>
      <c r="N63" s="422"/>
      <c r="O63" s="422"/>
      <c r="P63" s="422"/>
      <c r="Q63" s="423"/>
      <c r="S63" s="347"/>
      <c r="T63" s="314"/>
      <c r="U63" s="314"/>
      <c r="V63" s="314"/>
      <c r="W63" s="390"/>
      <c r="X63" s="391"/>
      <c r="Y63" s="391"/>
      <c r="Z63" s="391"/>
      <c r="AA63" s="391"/>
      <c r="AB63" s="391"/>
      <c r="AC63" s="391"/>
      <c r="AD63" s="391"/>
      <c r="AE63" s="391"/>
      <c r="AF63" s="391"/>
      <c r="AG63" s="391"/>
      <c r="AH63" s="391"/>
      <c r="AI63" s="391"/>
      <c r="AJ63" s="391"/>
      <c r="AK63" s="391"/>
      <c r="AL63" s="391"/>
      <c r="AM63" s="391"/>
      <c r="AN63" s="391"/>
      <c r="AO63" s="391"/>
      <c r="AP63" s="391"/>
      <c r="AQ63" s="392"/>
    </row>
    <row r="64" spans="2:43" x14ac:dyDescent="0.25">
      <c r="B64" s="421"/>
      <c r="C64" s="422"/>
      <c r="D64" s="422"/>
      <c r="E64" s="422"/>
      <c r="F64" s="422"/>
      <c r="G64" s="422"/>
      <c r="H64" s="422"/>
      <c r="I64" s="422"/>
      <c r="J64" s="422"/>
      <c r="K64" s="422"/>
      <c r="L64" s="422"/>
      <c r="M64" s="422"/>
      <c r="N64" s="422"/>
      <c r="O64" s="422"/>
      <c r="P64" s="422"/>
      <c r="Q64" s="423"/>
      <c r="S64" s="347"/>
      <c r="T64" s="314"/>
      <c r="U64" s="314"/>
      <c r="V64" s="314"/>
      <c r="W64" s="393"/>
      <c r="X64" s="394"/>
      <c r="Y64" s="394"/>
      <c r="Z64" s="394"/>
      <c r="AA64" s="394"/>
      <c r="AB64" s="394"/>
      <c r="AC64" s="394"/>
      <c r="AD64" s="394"/>
      <c r="AE64" s="394"/>
      <c r="AF64" s="394"/>
      <c r="AG64" s="394"/>
      <c r="AH64" s="394"/>
      <c r="AI64" s="394"/>
      <c r="AJ64" s="394"/>
      <c r="AK64" s="394"/>
      <c r="AL64" s="394"/>
      <c r="AM64" s="394"/>
      <c r="AN64" s="394"/>
      <c r="AO64" s="394"/>
      <c r="AP64" s="394"/>
      <c r="AQ64" s="395"/>
    </row>
    <row r="65" spans="2:43" x14ac:dyDescent="0.25">
      <c r="B65" s="421"/>
      <c r="C65" s="422"/>
      <c r="D65" s="422"/>
      <c r="E65" s="422"/>
      <c r="F65" s="422"/>
      <c r="G65" s="422"/>
      <c r="H65" s="422"/>
      <c r="I65" s="422"/>
      <c r="J65" s="422"/>
      <c r="K65" s="422"/>
      <c r="L65" s="422"/>
      <c r="M65" s="422"/>
      <c r="N65" s="422"/>
      <c r="O65" s="422"/>
      <c r="P65" s="422"/>
      <c r="Q65" s="423"/>
      <c r="S65" s="195" t="s">
        <v>280</v>
      </c>
      <c r="T65" s="188"/>
      <c r="U65" s="188"/>
      <c r="V65" s="188"/>
      <c r="W65" s="396"/>
      <c r="X65" s="397"/>
      <c r="Y65" s="397"/>
      <c r="Z65" s="397"/>
      <c r="AA65" s="397"/>
      <c r="AB65" s="397"/>
      <c r="AC65" s="397"/>
      <c r="AD65" s="397"/>
      <c r="AE65" s="397"/>
      <c r="AF65" s="397"/>
      <c r="AG65" s="397"/>
      <c r="AH65" s="397"/>
      <c r="AI65" s="397"/>
      <c r="AJ65" s="397"/>
      <c r="AK65" s="397"/>
      <c r="AL65" s="397"/>
      <c r="AM65" s="397"/>
      <c r="AN65" s="397"/>
      <c r="AO65" s="397"/>
      <c r="AP65" s="397"/>
      <c r="AQ65" s="398"/>
    </row>
    <row r="66" spans="2:43" ht="15.6" thickBot="1" x14ac:dyDescent="0.3">
      <c r="B66" s="424"/>
      <c r="C66" s="425"/>
      <c r="D66" s="425"/>
      <c r="E66" s="425"/>
      <c r="F66" s="425"/>
      <c r="G66" s="425"/>
      <c r="H66" s="425"/>
      <c r="I66" s="425"/>
      <c r="J66" s="425"/>
      <c r="K66" s="425"/>
      <c r="L66" s="425"/>
      <c r="M66" s="425"/>
      <c r="N66" s="425"/>
      <c r="O66" s="425"/>
      <c r="P66" s="425"/>
      <c r="Q66" s="426"/>
      <c r="S66" s="195"/>
      <c r="T66" s="188"/>
      <c r="U66" s="188"/>
      <c r="V66" s="188"/>
      <c r="W66" s="399"/>
      <c r="X66" s="400"/>
      <c r="Y66" s="400"/>
      <c r="Z66" s="400"/>
      <c r="AA66" s="400"/>
      <c r="AB66" s="400"/>
      <c r="AC66" s="400"/>
      <c r="AD66" s="400"/>
      <c r="AE66" s="400"/>
      <c r="AF66" s="400"/>
      <c r="AG66" s="400"/>
      <c r="AH66" s="400"/>
      <c r="AI66" s="400"/>
      <c r="AJ66" s="400"/>
      <c r="AK66" s="400"/>
      <c r="AL66" s="400"/>
      <c r="AM66" s="400"/>
      <c r="AN66" s="400"/>
      <c r="AO66" s="400"/>
      <c r="AP66" s="400"/>
      <c r="AQ66" s="401"/>
    </row>
    <row r="67" spans="2:43" ht="15.6" thickBot="1" x14ac:dyDescent="0.3">
      <c r="S67" s="195"/>
      <c r="T67" s="188"/>
      <c r="U67" s="188"/>
      <c r="V67" s="188"/>
      <c r="W67" s="402"/>
      <c r="X67" s="403"/>
      <c r="Y67" s="403"/>
      <c r="Z67" s="403"/>
      <c r="AA67" s="403"/>
      <c r="AB67" s="403"/>
      <c r="AC67" s="403"/>
      <c r="AD67" s="403"/>
      <c r="AE67" s="403"/>
      <c r="AF67" s="403"/>
      <c r="AG67" s="403"/>
      <c r="AH67" s="403"/>
      <c r="AI67" s="403"/>
      <c r="AJ67" s="403"/>
      <c r="AK67" s="403"/>
      <c r="AL67" s="403"/>
      <c r="AM67" s="403"/>
      <c r="AN67" s="403"/>
      <c r="AO67" s="403"/>
      <c r="AP67" s="403"/>
      <c r="AQ67" s="404"/>
    </row>
    <row r="68" spans="2:43" ht="15.6" x14ac:dyDescent="0.25">
      <c r="B68" s="362" t="str">
        <f>IF(Pulp_Switch="启用","英雄天赋","重要线索")</f>
        <v>重要线索</v>
      </c>
      <c r="C68" s="363"/>
      <c r="D68" s="363"/>
      <c r="E68" s="363"/>
      <c r="F68" s="363"/>
      <c r="G68" s="363"/>
      <c r="H68" s="363"/>
      <c r="I68" s="363"/>
      <c r="J68" s="363"/>
      <c r="K68" s="363"/>
      <c r="L68" s="363"/>
      <c r="M68" s="363"/>
      <c r="N68" s="363"/>
      <c r="O68" s="363"/>
      <c r="P68" s="363"/>
      <c r="Q68" s="364"/>
      <c r="S68" s="347" t="str">
        <f>IF(创建调查员!B5="黑暗时代","人生经历","创伤和疤痕")</f>
        <v>创伤和疤痕</v>
      </c>
      <c r="T68" s="314"/>
      <c r="U68" s="314"/>
      <c r="V68" s="314"/>
      <c r="W68" s="387"/>
      <c r="X68" s="388"/>
      <c r="Y68" s="388"/>
      <c r="Z68" s="388"/>
      <c r="AA68" s="388"/>
      <c r="AB68" s="388"/>
      <c r="AC68" s="388"/>
      <c r="AD68" s="388"/>
      <c r="AE68" s="388"/>
      <c r="AF68" s="388"/>
      <c r="AG68" s="388"/>
      <c r="AH68" s="388"/>
      <c r="AI68" s="388"/>
      <c r="AJ68" s="388"/>
      <c r="AK68" s="388"/>
      <c r="AL68" s="388"/>
      <c r="AM68" s="388"/>
      <c r="AN68" s="388"/>
      <c r="AO68" s="388"/>
      <c r="AP68" s="388"/>
      <c r="AQ68" s="389"/>
    </row>
    <row r="69" spans="2:43" x14ac:dyDescent="0.25">
      <c r="B69" s="311"/>
      <c r="C69" s="312"/>
      <c r="D69" s="312"/>
      <c r="E69" s="312"/>
      <c r="F69" s="312"/>
      <c r="G69" s="312"/>
      <c r="H69" s="312"/>
      <c r="I69" s="312"/>
      <c r="J69" s="312"/>
      <c r="K69" s="312"/>
      <c r="L69" s="312"/>
      <c r="M69" s="312"/>
      <c r="N69" s="312"/>
      <c r="O69" s="312"/>
      <c r="P69" s="312"/>
      <c r="Q69" s="313"/>
      <c r="S69" s="347"/>
      <c r="T69" s="314"/>
      <c r="U69" s="314"/>
      <c r="V69" s="314"/>
      <c r="W69" s="390"/>
      <c r="X69" s="391"/>
      <c r="Y69" s="391"/>
      <c r="Z69" s="391"/>
      <c r="AA69" s="391"/>
      <c r="AB69" s="391"/>
      <c r="AC69" s="391"/>
      <c r="AD69" s="391"/>
      <c r="AE69" s="391"/>
      <c r="AF69" s="391"/>
      <c r="AG69" s="391"/>
      <c r="AH69" s="391"/>
      <c r="AI69" s="391"/>
      <c r="AJ69" s="391"/>
      <c r="AK69" s="391"/>
      <c r="AL69" s="391"/>
      <c r="AM69" s="391"/>
      <c r="AN69" s="391"/>
      <c r="AO69" s="391"/>
      <c r="AP69" s="391"/>
      <c r="AQ69" s="392"/>
    </row>
    <row r="70" spans="2:43" x14ac:dyDescent="0.25">
      <c r="B70" s="308"/>
      <c r="C70" s="309"/>
      <c r="D70" s="309"/>
      <c r="E70" s="309"/>
      <c r="F70" s="309"/>
      <c r="G70" s="309"/>
      <c r="H70" s="309"/>
      <c r="I70" s="309"/>
      <c r="J70" s="309"/>
      <c r="K70" s="309"/>
      <c r="L70" s="309"/>
      <c r="M70" s="309"/>
      <c r="N70" s="309"/>
      <c r="O70" s="309"/>
      <c r="P70" s="309"/>
      <c r="Q70" s="310"/>
      <c r="S70" s="347"/>
      <c r="T70" s="314"/>
      <c r="U70" s="314"/>
      <c r="V70" s="314"/>
      <c r="W70" s="393"/>
      <c r="X70" s="394"/>
      <c r="Y70" s="394"/>
      <c r="Z70" s="394"/>
      <c r="AA70" s="394"/>
      <c r="AB70" s="394"/>
      <c r="AC70" s="394"/>
      <c r="AD70" s="394"/>
      <c r="AE70" s="394"/>
      <c r="AF70" s="394"/>
      <c r="AG70" s="394"/>
      <c r="AH70" s="394"/>
      <c r="AI70" s="394"/>
      <c r="AJ70" s="394"/>
      <c r="AK70" s="394"/>
      <c r="AL70" s="394"/>
      <c r="AM70" s="394"/>
      <c r="AN70" s="394"/>
      <c r="AO70" s="394"/>
      <c r="AP70" s="394"/>
      <c r="AQ70" s="395"/>
    </row>
    <row r="71" spans="2:43" x14ac:dyDescent="0.25">
      <c r="B71" s="311"/>
      <c r="C71" s="312"/>
      <c r="D71" s="312"/>
      <c r="E71" s="312"/>
      <c r="F71" s="312"/>
      <c r="G71" s="312"/>
      <c r="H71" s="312"/>
      <c r="I71" s="312"/>
      <c r="J71" s="312"/>
      <c r="K71" s="312"/>
      <c r="L71" s="312"/>
      <c r="M71" s="312"/>
      <c r="N71" s="312"/>
      <c r="O71" s="312"/>
      <c r="P71" s="312"/>
      <c r="Q71" s="313"/>
      <c r="S71" s="206" t="s">
        <v>1207</v>
      </c>
      <c r="T71" s="188"/>
      <c r="U71" s="188"/>
      <c r="V71" s="188"/>
      <c r="W71" s="396"/>
      <c r="X71" s="397"/>
      <c r="Y71" s="397"/>
      <c r="Z71" s="397"/>
      <c r="AA71" s="397"/>
      <c r="AB71" s="397"/>
      <c r="AC71" s="397"/>
      <c r="AD71" s="397"/>
      <c r="AE71" s="397"/>
      <c r="AF71" s="397"/>
      <c r="AG71" s="397"/>
      <c r="AH71" s="397"/>
      <c r="AI71" s="397"/>
      <c r="AJ71" s="397"/>
      <c r="AK71" s="397"/>
      <c r="AL71" s="397"/>
      <c r="AM71" s="397"/>
      <c r="AN71" s="397"/>
      <c r="AO71" s="397"/>
      <c r="AP71" s="397"/>
      <c r="AQ71" s="398"/>
    </row>
    <row r="72" spans="2:43" x14ac:dyDescent="0.25">
      <c r="B72" s="308"/>
      <c r="C72" s="309"/>
      <c r="D72" s="309"/>
      <c r="E72" s="309"/>
      <c r="F72" s="309"/>
      <c r="G72" s="309"/>
      <c r="H72" s="309"/>
      <c r="I72" s="309"/>
      <c r="J72" s="309"/>
      <c r="K72" s="309"/>
      <c r="L72" s="309"/>
      <c r="M72" s="309"/>
      <c r="N72" s="309"/>
      <c r="O72" s="309"/>
      <c r="P72" s="309"/>
      <c r="Q72" s="310"/>
      <c r="S72" s="206"/>
      <c r="T72" s="188"/>
      <c r="U72" s="188"/>
      <c r="V72" s="188"/>
      <c r="W72" s="399"/>
      <c r="X72" s="400"/>
      <c r="Y72" s="400"/>
      <c r="Z72" s="400"/>
      <c r="AA72" s="400"/>
      <c r="AB72" s="400"/>
      <c r="AC72" s="400"/>
      <c r="AD72" s="400"/>
      <c r="AE72" s="400"/>
      <c r="AF72" s="400"/>
      <c r="AG72" s="400"/>
      <c r="AH72" s="400"/>
      <c r="AI72" s="400"/>
      <c r="AJ72" s="400"/>
      <c r="AK72" s="400"/>
      <c r="AL72" s="400"/>
      <c r="AM72" s="400"/>
      <c r="AN72" s="400"/>
      <c r="AO72" s="400"/>
      <c r="AP72" s="400"/>
      <c r="AQ72" s="401"/>
    </row>
    <row r="73" spans="2:43" ht="15.6" thickBot="1" x14ac:dyDescent="0.3">
      <c r="B73" s="371"/>
      <c r="C73" s="372"/>
      <c r="D73" s="372"/>
      <c r="E73" s="372"/>
      <c r="F73" s="372"/>
      <c r="G73" s="372"/>
      <c r="H73" s="372"/>
      <c r="I73" s="372"/>
      <c r="J73" s="372"/>
      <c r="K73" s="372"/>
      <c r="L73" s="372"/>
      <c r="M73" s="372"/>
      <c r="N73" s="372"/>
      <c r="O73" s="372"/>
      <c r="P73" s="372"/>
      <c r="Q73" s="373"/>
      <c r="S73" s="292"/>
      <c r="T73" s="176"/>
      <c r="U73" s="176"/>
      <c r="V73" s="176"/>
      <c r="W73" s="405"/>
      <c r="X73" s="406"/>
      <c r="Y73" s="406"/>
      <c r="Z73" s="406"/>
      <c r="AA73" s="406"/>
      <c r="AB73" s="406"/>
      <c r="AC73" s="406"/>
      <c r="AD73" s="406"/>
      <c r="AE73" s="406"/>
      <c r="AF73" s="406"/>
      <c r="AG73" s="406"/>
      <c r="AH73" s="406"/>
      <c r="AI73" s="406"/>
      <c r="AJ73" s="406"/>
      <c r="AK73" s="406"/>
      <c r="AL73" s="406"/>
      <c r="AM73" s="406"/>
      <c r="AN73" s="406"/>
      <c r="AO73" s="406"/>
      <c r="AP73" s="406"/>
      <c r="AQ73" s="407"/>
    </row>
    <row r="74" spans="2:43" ht="15.6" thickBot="1" x14ac:dyDescent="0.3"/>
    <row r="75" spans="2:43" ht="15.6" x14ac:dyDescent="0.25">
      <c r="B75" s="338" t="s">
        <v>335</v>
      </c>
      <c r="C75" s="339"/>
      <c r="D75" s="339"/>
      <c r="E75" s="339"/>
      <c r="F75" s="339"/>
      <c r="G75" s="339"/>
      <c r="H75" s="339"/>
      <c r="I75" s="339"/>
      <c r="J75" s="339"/>
      <c r="K75" s="339"/>
      <c r="L75" s="339"/>
      <c r="M75" s="339"/>
      <c r="N75" s="339"/>
      <c r="O75" s="339"/>
      <c r="P75" s="339"/>
      <c r="Q75" s="340"/>
      <c r="S75" s="362" t="s">
        <v>875</v>
      </c>
      <c r="T75" s="363"/>
      <c r="U75" s="363"/>
      <c r="V75" s="363"/>
      <c r="W75" s="363"/>
      <c r="X75" s="363"/>
      <c r="Y75" s="363"/>
      <c r="Z75" s="363"/>
      <c r="AA75" s="363"/>
      <c r="AB75" s="363"/>
      <c r="AC75" s="363"/>
      <c r="AD75" s="363"/>
      <c r="AE75" s="363"/>
      <c r="AF75" s="363"/>
      <c r="AG75" s="363"/>
      <c r="AH75" s="363"/>
      <c r="AI75" s="363"/>
      <c r="AJ75" s="363"/>
      <c r="AK75" s="363"/>
      <c r="AL75" s="363"/>
      <c r="AM75" s="363"/>
      <c r="AN75" s="363"/>
      <c r="AO75" s="363"/>
      <c r="AP75" s="363"/>
      <c r="AQ75" s="364"/>
    </row>
    <row r="76" spans="2:43" x14ac:dyDescent="0.25">
      <c r="B76" s="341"/>
      <c r="C76" s="342"/>
      <c r="D76" s="342"/>
      <c r="E76" s="342"/>
      <c r="F76" s="342"/>
      <c r="G76" s="342"/>
      <c r="H76" s="342"/>
      <c r="I76" s="342"/>
      <c r="J76" s="342"/>
      <c r="K76" s="342"/>
      <c r="L76" s="342"/>
      <c r="M76" s="342"/>
      <c r="N76" s="342"/>
      <c r="O76" s="342"/>
      <c r="P76" s="342"/>
      <c r="Q76" s="343"/>
      <c r="S76" s="365"/>
      <c r="T76" s="366"/>
      <c r="U76" s="366"/>
      <c r="V76" s="366"/>
      <c r="W76" s="366"/>
      <c r="X76" s="366"/>
      <c r="Y76" s="366"/>
      <c r="Z76" s="366"/>
      <c r="AA76" s="366"/>
      <c r="AB76" s="366"/>
      <c r="AC76" s="366"/>
      <c r="AD76" s="366"/>
      <c r="AE76" s="366"/>
      <c r="AF76" s="366"/>
      <c r="AG76" s="366"/>
      <c r="AH76" s="366"/>
      <c r="AI76" s="366"/>
      <c r="AJ76" s="366"/>
      <c r="AK76" s="366"/>
      <c r="AL76" s="366"/>
      <c r="AM76" s="366"/>
      <c r="AN76" s="366"/>
      <c r="AO76" s="366"/>
      <c r="AP76" s="366"/>
      <c r="AQ76" s="367"/>
    </row>
    <row r="77" spans="2:43" x14ac:dyDescent="0.25">
      <c r="B77" s="341"/>
      <c r="C77" s="342"/>
      <c r="D77" s="342"/>
      <c r="E77" s="342"/>
      <c r="F77" s="342"/>
      <c r="G77" s="342"/>
      <c r="H77" s="342"/>
      <c r="I77" s="342"/>
      <c r="J77" s="342"/>
      <c r="K77" s="342"/>
      <c r="L77" s="342"/>
      <c r="M77" s="342"/>
      <c r="N77" s="342"/>
      <c r="O77" s="342"/>
      <c r="P77" s="342"/>
      <c r="Q77" s="343"/>
      <c r="S77" s="365"/>
      <c r="T77" s="366"/>
      <c r="U77" s="366"/>
      <c r="V77" s="366"/>
      <c r="W77" s="366"/>
      <c r="X77" s="366"/>
      <c r="Y77" s="366"/>
      <c r="Z77" s="366"/>
      <c r="AA77" s="366"/>
      <c r="AB77" s="366"/>
      <c r="AC77" s="366"/>
      <c r="AD77" s="366"/>
      <c r="AE77" s="366"/>
      <c r="AF77" s="366"/>
      <c r="AG77" s="366"/>
      <c r="AH77" s="366"/>
      <c r="AI77" s="366"/>
      <c r="AJ77" s="366"/>
      <c r="AK77" s="366"/>
      <c r="AL77" s="366"/>
      <c r="AM77" s="366"/>
      <c r="AN77" s="366"/>
      <c r="AO77" s="366"/>
      <c r="AP77" s="366"/>
      <c r="AQ77" s="367"/>
    </row>
    <row r="78" spans="2:43" x14ac:dyDescent="0.25">
      <c r="B78" s="341"/>
      <c r="C78" s="342"/>
      <c r="D78" s="342"/>
      <c r="E78" s="342"/>
      <c r="F78" s="342"/>
      <c r="G78" s="342"/>
      <c r="H78" s="342"/>
      <c r="I78" s="342"/>
      <c r="J78" s="342"/>
      <c r="K78" s="342"/>
      <c r="L78" s="342"/>
      <c r="M78" s="342"/>
      <c r="N78" s="342"/>
      <c r="O78" s="342"/>
      <c r="P78" s="342"/>
      <c r="Q78" s="343"/>
      <c r="S78" s="365"/>
      <c r="T78" s="366"/>
      <c r="U78" s="366"/>
      <c r="V78" s="366"/>
      <c r="W78" s="366"/>
      <c r="X78" s="366"/>
      <c r="Y78" s="366"/>
      <c r="Z78" s="366"/>
      <c r="AA78" s="366"/>
      <c r="AB78" s="366"/>
      <c r="AC78" s="366"/>
      <c r="AD78" s="366"/>
      <c r="AE78" s="366"/>
      <c r="AF78" s="366"/>
      <c r="AG78" s="366"/>
      <c r="AH78" s="366"/>
      <c r="AI78" s="366"/>
      <c r="AJ78" s="366"/>
      <c r="AK78" s="366"/>
      <c r="AL78" s="366"/>
      <c r="AM78" s="366"/>
      <c r="AN78" s="366"/>
      <c r="AO78" s="366"/>
      <c r="AP78" s="366"/>
      <c r="AQ78" s="367"/>
    </row>
    <row r="79" spans="2:43" x14ac:dyDescent="0.25">
      <c r="B79" s="341"/>
      <c r="C79" s="342"/>
      <c r="D79" s="342"/>
      <c r="E79" s="342"/>
      <c r="F79" s="342"/>
      <c r="G79" s="342"/>
      <c r="H79" s="342"/>
      <c r="I79" s="342"/>
      <c r="J79" s="342"/>
      <c r="K79" s="342"/>
      <c r="L79" s="342"/>
      <c r="M79" s="342"/>
      <c r="N79" s="342"/>
      <c r="O79" s="342"/>
      <c r="P79" s="342"/>
      <c r="Q79" s="343"/>
      <c r="S79" s="365"/>
      <c r="T79" s="366"/>
      <c r="U79" s="366"/>
      <c r="V79" s="366"/>
      <c r="W79" s="366"/>
      <c r="X79" s="366"/>
      <c r="Y79" s="366"/>
      <c r="Z79" s="366"/>
      <c r="AA79" s="366"/>
      <c r="AB79" s="366"/>
      <c r="AC79" s="366"/>
      <c r="AD79" s="366"/>
      <c r="AE79" s="366"/>
      <c r="AF79" s="366"/>
      <c r="AG79" s="366"/>
      <c r="AH79" s="366"/>
      <c r="AI79" s="366"/>
      <c r="AJ79" s="366"/>
      <c r="AK79" s="366"/>
      <c r="AL79" s="366"/>
      <c r="AM79" s="366"/>
      <c r="AN79" s="366"/>
      <c r="AO79" s="366"/>
      <c r="AP79" s="366"/>
      <c r="AQ79" s="367"/>
    </row>
    <row r="80" spans="2:43" x14ac:dyDescent="0.25">
      <c r="B80" s="341"/>
      <c r="C80" s="342"/>
      <c r="D80" s="342"/>
      <c r="E80" s="342"/>
      <c r="F80" s="342"/>
      <c r="G80" s="342"/>
      <c r="H80" s="342"/>
      <c r="I80" s="342"/>
      <c r="J80" s="342"/>
      <c r="K80" s="342"/>
      <c r="L80" s="342"/>
      <c r="M80" s="342"/>
      <c r="N80" s="342"/>
      <c r="O80" s="342"/>
      <c r="P80" s="342"/>
      <c r="Q80" s="343"/>
      <c r="S80" s="365"/>
      <c r="T80" s="366"/>
      <c r="U80" s="366"/>
      <c r="V80" s="366"/>
      <c r="W80" s="366"/>
      <c r="X80" s="366"/>
      <c r="Y80" s="366"/>
      <c r="Z80" s="366"/>
      <c r="AA80" s="366"/>
      <c r="AB80" s="366"/>
      <c r="AC80" s="366"/>
      <c r="AD80" s="366"/>
      <c r="AE80" s="366"/>
      <c r="AF80" s="366"/>
      <c r="AG80" s="366"/>
      <c r="AH80" s="366"/>
      <c r="AI80" s="366"/>
      <c r="AJ80" s="366"/>
      <c r="AK80" s="366"/>
      <c r="AL80" s="366"/>
      <c r="AM80" s="366"/>
      <c r="AN80" s="366"/>
      <c r="AO80" s="366"/>
      <c r="AP80" s="366"/>
      <c r="AQ80" s="367"/>
    </row>
    <row r="81" spans="2:43" x14ac:dyDescent="0.25">
      <c r="B81" s="341"/>
      <c r="C81" s="342"/>
      <c r="D81" s="342"/>
      <c r="E81" s="342"/>
      <c r="F81" s="342"/>
      <c r="G81" s="342"/>
      <c r="H81" s="342"/>
      <c r="I81" s="342"/>
      <c r="J81" s="342"/>
      <c r="K81" s="342"/>
      <c r="L81" s="342"/>
      <c r="M81" s="342"/>
      <c r="N81" s="342"/>
      <c r="O81" s="342"/>
      <c r="P81" s="342"/>
      <c r="Q81" s="343"/>
      <c r="S81" s="365"/>
      <c r="T81" s="366"/>
      <c r="U81" s="366"/>
      <c r="V81" s="366"/>
      <c r="W81" s="366"/>
      <c r="X81" s="366"/>
      <c r="Y81" s="366"/>
      <c r="Z81" s="366"/>
      <c r="AA81" s="366"/>
      <c r="AB81" s="366"/>
      <c r="AC81" s="366"/>
      <c r="AD81" s="366"/>
      <c r="AE81" s="366"/>
      <c r="AF81" s="366"/>
      <c r="AG81" s="366"/>
      <c r="AH81" s="366"/>
      <c r="AI81" s="366"/>
      <c r="AJ81" s="366"/>
      <c r="AK81" s="366"/>
      <c r="AL81" s="366"/>
      <c r="AM81" s="366"/>
      <c r="AN81" s="366"/>
      <c r="AO81" s="366"/>
      <c r="AP81" s="366"/>
      <c r="AQ81" s="367"/>
    </row>
    <row r="82" spans="2:43" ht="15.6" thickBot="1" x14ac:dyDescent="0.3">
      <c r="B82" s="341"/>
      <c r="C82" s="342"/>
      <c r="D82" s="342"/>
      <c r="E82" s="342"/>
      <c r="F82" s="342"/>
      <c r="G82" s="342"/>
      <c r="H82" s="342"/>
      <c r="I82" s="342"/>
      <c r="J82" s="342"/>
      <c r="K82" s="342"/>
      <c r="L82" s="342"/>
      <c r="M82" s="342"/>
      <c r="N82" s="342"/>
      <c r="O82" s="342"/>
      <c r="P82" s="342"/>
      <c r="Q82" s="343"/>
      <c r="S82" s="368"/>
      <c r="T82" s="369"/>
      <c r="U82" s="369"/>
      <c r="V82" s="369"/>
      <c r="W82" s="369"/>
      <c r="X82" s="369"/>
      <c r="Y82" s="369"/>
      <c r="Z82" s="369"/>
      <c r="AA82" s="369"/>
      <c r="AB82" s="369"/>
      <c r="AC82" s="369"/>
      <c r="AD82" s="369"/>
      <c r="AE82" s="369"/>
      <c r="AF82" s="369"/>
      <c r="AG82" s="369"/>
      <c r="AH82" s="369"/>
      <c r="AI82" s="369"/>
      <c r="AJ82" s="369"/>
      <c r="AK82" s="369"/>
      <c r="AL82" s="369"/>
      <c r="AM82" s="369"/>
      <c r="AN82" s="369"/>
      <c r="AO82" s="369"/>
      <c r="AP82" s="369"/>
      <c r="AQ82" s="370"/>
    </row>
    <row r="83" spans="2:43" ht="15.6" thickBot="1" x14ac:dyDescent="0.3">
      <c r="B83" s="341"/>
      <c r="C83" s="342"/>
      <c r="D83" s="342"/>
      <c r="E83" s="342"/>
      <c r="F83" s="342"/>
      <c r="G83" s="342"/>
      <c r="H83" s="342"/>
      <c r="I83" s="342"/>
      <c r="J83" s="342"/>
      <c r="K83" s="342"/>
      <c r="L83" s="342"/>
      <c r="M83" s="342"/>
      <c r="N83" s="342"/>
      <c r="O83" s="342"/>
      <c r="P83" s="342"/>
      <c r="Q83" s="343"/>
    </row>
    <row r="84" spans="2:43" ht="15.6" x14ac:dyDescent="0.25">
      <c r="B84" s="341"/>
      <c r="C84" s="342"/>
      <c r="D84" s="342"/>
      <c r="E84" s="342"/>
      <c r="F84" s="342"/>
      <c r="G84" s="342"/>
      <c r="H84" s="342"/>
      <c r="I84" s="342"/>
      <c r="J84" s="342"/>
      <c r="K84" s="342"/>
      <c r="L84" s="342"/>
      <c r="M84" s="342"/>
      <c r="N84" s="342"/>
      <c r="O84" s="342"/>
      <c r="P84" s="342"/>
      <c r="Q84" s="343"/>
      <c r="S84" s="335" t="s">
        <v>267</v>
      </c>
      <c r="T84" s="336"/>
      <c r="U84" s="336"/>
      <c r="V84" s="336"/>
      <c r="W84" s="336"/>
      <c r="X84" s="336"/>
      <c r="Y84" s="336"/>
      <c r="Z84" s="336"/>
      <c r="AA84" s="336"/>
      <c r="AB84" s="337"/>
      <c r="AD84" s="335" t="s">
        <v>11</v>
      </c>
      <c r="AE84" s="336"/>
      <c r="AF84" s="336"/>
      <c r="AG84" s="336"/>
      <c r="AH84" s="336"/>
      <c r="AI84" s="336"/>
      <c r="AJ84" s="336"/>
      <c r="AK84" s="336"/>
      <c r="AL84" s="336"/>
      <c r="AM84" s="336"/>
      <c r="AN84" s="336"/>
      <c r="AO84" s="336"/>
      <c r="AP84" s="336"/>
      <c r="AQ84" s="337"/>
    </row>
    <row r="85" spans="2:43" x14ac:dyDescent="0.25">
      <c r="B85" s="341"/>
      <c r="C85" s="342"/>
      <c r="D85" s="342"/>
      <c r="E85" s="342"/>
      <c r="F85" s="342"/>
      <c r="G85" s="342"/>
      <c r="H85" s="342"/>
      <c r="I85" s="342"/>
      <c r="J85" s="342"/>
      <c r="K85" s="342"/>
      <c r="L85" s="342"/>
      <c r="M85" s="342"/>
      <c r="N85" s="342"/>
      <c r="O85" s="342"/>
      <c r="P85" s="342"/>
      <c r="Q85" s="343"/>
      <c r="S85" s="323" t="s">
        <v>1133</v>
      </c>
      <c r="T85" s="324"/>
      <c r="U85" s="324"/>
      <c r="V85" s="324"/>
      <c r="W85" s="324"/>
      <c r="X85" s="324"/>
      <c r="Y85" s="324"/>
      <c r="Z85" s="324"/>
      <c r="AA85" s="324"/>
      <c r="AB85" s="325"/>
      <c r="AD85" s="348" t="s">
        <v>589</v>
      </c>
      <c r="AE85" s="349"/>
      <c r="AF85" s="349"/>
      <c r="AG85" s="349"/>
      <c r="AH85" s="349"/>
      <c r="AI85" s="349"/>
      <c r="AJ85" s="350"/>
      <c r="AK85" s="382" t="s">
        <v>266</v>
      </c>
      <c r="AL85" s="349"/>
      <c r="AM85" s="349"/>
      <c r="AN85" s="349"/>
      <c r="AO85" s="349"/>
      <c r="AP85" s="349"/>
      <c r="AQ85" s="383"/>
    </row>
    <row r="86" spans="2:43" ht="15.6" thickBot="1" x14ac:dyDescent="0.3">
      <c r="B86" s="344"/>
      <c r="C86" s="345"/>
      <c r="D86" s="345"/>
      <c r="E86" s="345"/>
      <c r="F86" s="345"/>
      <c r="G86" s="345"/>
      <c r="H86" s="345"/>
      <c r="I86" s="345"/>
      <c r="J86" s="345"/>
      <c r="K86" s="345"/>
      <c r="L86" s="345"/>
      <c r="M86" s="345"/>
      <c r="N86" s="345"/>
      <c r="O86" s="345"/>
      <c r="P86" s="345"/>
      <c r="Q86" s="346"/>
      <c r="S86" s="326"/>
      <c r="T86" s="327"/>
      <c r="U86" s="327"/>
      <c r="V86" s="327"/>
      <c r="W86" s="327"/>
      <c r="X86" s="327"/>
      <c r="Y86" s="327"/>
      <c r="Z86" s="327"/>
      <c r="AA86" s="327"/>
      <c r="AB86" s="328"/>
      <c r="AD86" s="316"/>
      <c r="AE86" s="317"/>
      <c r="AF86" s="317"/>
      <c r="AG86" s="317"/>
      <c r="AH86" s="317"/>
      <c r="AI86" s="317"/>
      <c r="AJ86" s="318"/>
      <c r="AK86" s="351"/>
      <c r="AL86" s="317"/>
      <c r="AM86" s="317"/>
      <c r="AN86" s="317"/>
      <c r="AO86" s="317"/>
      <c r="AP86" s="317"/>
      <c r="AQ86" s="352"/>
    </row>
    <row r="87" spans="2:43" ht="15.6" thickBot="1" x14ac:dyDescent="0.3">
      <c r="S87" s="329"/>
      <c r="T87" s="330"/>
      <c r="U87" s="330"/>
      <c r="V87" s="330"/>
      <c r="W87" s="330"/>
      <c r="X87" s="330"/>
      <c r="Y87" s="330"/>
      <c r="Z87" s="330"/>
      <c r="AA87" s="330"/>
      <c r="AB87" s="331"/>
      <c r="AD87" s="319"/>
      <c r="AE87" s="320"/>
      <c r="AF87" s="320"/>
      <c r="AG87" s="320"/>
      <c r="AH87" s="320"/>
      <c r="AI87" s="320"/>
      <c r="AJ87" s="321"/>
      <c r="AK87" s="320"/>
      <c r="AL87" s="320"/>
      <c r="AM87" s="320"/>
      <c r="AN87" s="320"/>
      <c r="AO87" s="320"/>
      <c r="AP87" s="320"/>
      <c r="AQ87" s="381"/>
    </row>
    <row r="88" spans="2:43" ht="15.6" x14ac:dyDescent="0.25">
      <c r="B88" s="335" t="s">
        <v>231</v>
      </c>
      <c r="C88" s="336"/>
      <c r="D88" s="336"/>
      <c r="E88" s="336"/>
      <c r="F88" s="336"/>
      <c r="G88" s="336"/>
      <c r="H88" s="336"/>
      <c r="I88" s="336"/>
      <c r="J88" s="336"/>
      <c r="K88" s="336"/>
      <c r="L88" s="336"/>
      <c r="M88" s="336"/>
      <c r="N88" s="336"/>
      <c r="O88" s="336"/>
      <c r="P88" s="336"/>
      <c r="Q88" s="337"/>
      <c r="S88" s="332"/>
      <c r="T88" s="333"/>
      <c r="U88" s="333"/>
      <c r="V88" s="333"/>
      <c r="W88" s="333"/>
      <c r="X88" s="333"/>
      <c r="Y88" s="333"/>
      <c r="Z88" s="333"/>
      <c r="AA88" s="333"/>
      <c r="AB88" s="334"/>
      <c r="AD88" s="316"/>
      <c r="AE88" s="317"/>
      <c r="AF88" s="317"/>
      <c r="AG88" s="317"/>
      <c r="AH88" s="317"/>
      <c r="AI88" s="317"/>
      <c r="AJ88" s="318"/>
      <c r="AK88" s="317"/>
      <c r="AL88" s="317"/>
      <c r="AM88" s="317"/>
      <c r="AN88" s="317"/>
      <c r="AO88" s="317"/>
      <c r="AP88" s="317"/>
      <c r="AQ88" s="352"/>
    </row>
    <row r="89" spans="2:43" x14ac:dyDescent="0.25">
      <c r="B89" s="569" t="s">
        <v>1132</v>
      </c>
      <c r="C89" s="529"/>
      <c r="D89" s="529"/>
      <c r="E89" s="529"/>
      <c r="F89" s="314" t="s">
        <v>35</v>
      </c>
      <c r="G89" s="314"/>
      <c r="H89" s="314" t="s">
        <v>36</v>
      </c>
      <c r="I89" s="314"/>
      <c r="J89" s="314" t="s">
        <v>37</v>
      </c>
      <c r="K89" s="314"/>
      <c r="L89" s="314" t="s">
        <v>38</v>
      </c>
      <c r="M89" s="314"/>
      <c r="N89" s="314" t="s">
        <v>524</v>
      </c>
      <c r="O89" s="314"/>
      <c r="P89" s="314" t="s">
        <v>39</v>
      </c>
      <c r="Q89" s="315"/>
      <c r="S89" s="323"/>
      <c r="T89" s="324"/>
      <c r="U89" s="324"/>
      <c r="V89" s="324"/>
      <c r="W89" s="324"/>
      <c r="X89" s="324"/>
      <c r="Y89" s="324"/>
      <c r="Z89" s="324"/>
      <c r="AA89" s="324"/>
      <c r="AB89" s="325"/>
      <c r="AD89" s="319"/>
      <c r="AE89" s="320"/>
      <c r="AF89" s="320"/>
      <c r="AG89" s="320"/>
      <c r="AH89" s="320"/>
      <c r="AI89" s="320"/>
      <c r="AJ89" s="321"/>
      <c r="AK89" s="320"/>
      <c r="AL89" s="320"/>
      <c r="AM89" s="320"/>
      <c r="AN89" s="320"/>
      <c r="AO89" s="320"/>
      <c r="AP89" s="320"/>
      <c r="AQ89" s="381"/>
    </row>
    <row r="90" spans="2:43" x14ac:dyDescent="0.25">
      <c r="B90" s="569"/>
      <c r="C90" s="529"/>
      <c r="D90" s="529"/>
      <c r="E90" s="529"/>
      <c r="F90" s="314" t="s">
        <v>234</v>
      </c>
      <c r="G90" s="314"/>
      <c r="H90" s="314" t="s">
        <v>41</v>
      </c>
      <c r="I90" s="314"/>
      <c r="J90" s="314" t="s">
        <v>40</v>
      </c>
      <c r="K90" s="314"/>
      <c r="L90" s="314" t="s">
        <v>42</v>
      </c>
      <c r="M90" s="314"/>
      <c r="N90" s="314" t="s">
        <v>43</v>
      </c>
      <c r="O90" s="314"/>
      <c r="P90" s="322" t="s">
        <v>459</v>
      </c>
      <c r="Q90" s="315"/>
      <c r="S90" s="326"/>
      <c r="T90" s="327"/>
      <c r="U90" s="327"/>
      <c r="V90" s="327"/>
      <c r="W90" s="327"/>
      <c r="X90" s="327"/>
      <c r="Y90" s="327"/>
      <c r="Z90" s="327"/>
      <c r="AA90" s="327"/>
      <c r="AB90" s="328"/>
      <c r="AD90" s="316"/>
      <c r="AE90" s="317"/>
      <c r="AF90" s="317"/>
      <c r="AG90" s="317"/>
      <c r="AH90" s="317"/>
      <c r="AI90" s="317"/>
      <c r="AJ90" s="318"/>
      <c r="AK90" s="317"/>
      <c r="AL90" s="317"/>
      <c r="AM90" s="317"/>
      <c r="AN90" s="317"/>
      <c r="AO90" s="317"/>
      <c r="AP90" s="317"/>
      <c r="AQ90" s="352"/>
    </row>
    <row r="91" spans="2:43" x14ac:dyDescent="0.25">
      <c r="B91" s="569" t="s">
        <v>517</v>
      </c>
      <c r="C91" s="529"/>
      <c r="D91" s="529"/>
      <c r="E91" s="529"/>
      <c r="F91" s="529"/>
      <c r="G91" s="529"/>
      <c r="H91" s="529"/>
      <c r="I91" s="529"/>
      <c r="J91" s="529"/>
      <c r="K91" s="529"/>
      <c r="L91" s="529"/>
      <c r="M91" s="529"/>
      <c r="N91" s="529"/>
      <c r="O91" s="529"/>
      <c r="P91" s="529"/>
      <c r="Q91" s="581"/>
      <c r="S91" s="329"/>
      <c r="T91" s="330"/>
      <c r="U91" s="330"/>
      <c r="V91" s="330"/>
      <c r="W91" s="330"/>
      <c r="X91" s="330"/>
      <c r="Y91" s="330"/>
      <c r="Z91" s="330"/>
      <c r="AA91" s="330"/>
      <c r="AB91" s="331"/>
      <c r="AD91" s="319"/>
      <c r="AE91" s="320"/>
      <c r="AF91" s="320"/>
      <c r="AG91" s="320"/>
      <c r="AH91" s="320"/>
      <c r="AI91" s="320"/>
      <c r="AJ91" s="321"/>
      <c r="AK91" s="320"/>
      <c r="AL91" s="320"/>
      <c r="AM91" s="320"/>
      <c r="AN91" s="320"/>
      <c r="AO91" s="320"/>
      <c r="AP91" s="320"/>
      <c r="AQ91" s="381"/>
    </row>
    <row r="92" spans="2:43" x14ac:dyDescent="0.25">
      <c r="B92" s="569"/>
      <c r="C92" s="529"/>
      <c r="D92" s="529"/>
      <c r="E92" s="529"/>
      <c r="F92" s="529"/>
      <c r="G92" s="529"/>
      <c r="H92" s="529"/>
      <c r="I92" s="529"/>
      <c r="J92" s="529"/>
      <c r="K92" s="529"/>
      <c r="L92" s="529"/>
      <c r="M92" s="529"/>
      <c r="N92" s="529"/>
      <c r="O92" s="529"/>
      <c r="P92" s="529"/>
      <c r="Q92" s="581"/>
      <c r="S92" s="332"/>
      <c r="T92" s="333"/>
      <c r="U92" s="333"/>
      <c r="V92" s="333"/>
      <c r="W92" s="333"/>
      <c r="X92" s="333"/>
      <c r="Y92" s="333"/>
      <c r="Z92" s="333"/>
      <c r="AA92" s="333"/>
      <c r="AB92" s="334"/>
      <c r="AD92" s="316"/>
      <c r="AE92" s="317"/>
      <c r="AF92" s="317"/>
      <c r="AG92" s="317"/>
      <c r="AH92" s="317"/>
      <c r="AI92" s="317"/>
      <c r="AJ92" s="318"/>
      <c r="AK92" s="317"/>
      <c r="AL92" s="317"/>
      <c r="AM92" s="317"/>
      <c r="AN92" s="317"/>
      <c r="AO92" s="317"/>
      <c r="AP92" s="317"/>
      <c r="AQ92" s="352"/>
    </row>
    <row r="93" spans="2:43" x14ac:dyDescent="0.25">
      <c r="B93" s="347" t="str">
        <f>IF(Pulp_Switch="启用","[急救]回复1D4点生命值","[急救]回复1点生命值")</f>
        <v>[急救]回复1点生命值</v>
      </c>
      <c r="C93" s="314"/>
      <c r="D93" s="314"/>
      <c r="E93" s="314"/>
      <c r="F93" s="314"/>
      <c r="G93" s="314"/>
      <c r="H93" s="314"/>
      <c r="I93" s="314"/>
      <c r="J93" s="314" t="str">
        <f>IF(Pulp_Switch="启用","[医学]回复1D4点生命值","[医学]回复1D3点生命值")</f>
        <v>[医学]回复1D3点生命值</v>
      </c>
      <c r="K93" s="314"/>
      <c r="L93" s="314"/>
      <c r="M93" s="314"/>
      <c r="N93" s="314"/>
      <c r="O93" s="314"/>
      <c r="P93" s="314"/>
      <c r="Q93" s="315"/>
      <c r="S93" s="323"/>
      <c r="T93" s="324"/>
      <c r="U93" s="324"/>
      <c r="V93" s="324"/>
      <c r="W93" s="324"/>
      <c r="X93" s="324"/>
      <c r="Y93" s="324"/>
      <c r="Z93" s="324"/>
      <c r="AA93" s="324"/>
      <c r="AB93" s="325"/>
      <c r="AD93" s="319"/>
      <c r="AE93" s="320"/>
      <c r="AF93" s="320"/>
      <c r="AG93" s="320"/>
      <c r="AH93" s="320"/>
      <c r="AI93" s="320"/>
      <c r="AJ93" s="321"/>
      <c r="AK93" s="320"/>
      <c r="AL93" s="320"/>
      <c r="AM93" s="320"/>
      <c r="AN93" s="320"/>
      <c r="AO93" s="320"/>
      <c r="AP93" s="320"/>
      <c r="AQ93" s="381"/>
    </row>
    <row r="94" spans="2:43" x14ac:dyDescent="0.25">
      <c r="B94" s="410" t="str">
        <f>IF(Pulp_Switch="启用","调整技能检定结果：1幸运/点","重伤：一次受到最大生命值一半的伤害")</f>
        <v>重伤：一次受到最大生命值一半的伤害</v>
      </c>
      <c r="C94" s="411"/>
      <c r="D94" s="411"/>
      <c r="E94" s="411"/>
      <c r="F94" s="411"/>
      <c r="G94" s="411"/>
      <c r="H94" s="411"/>
      <c r="I94" s="411"/>
      <c r="J94" s="411"/>
      <c r="K94" s="411"/>
      <c r="L94" s="411"/>
      <c r="M94" s="411"/>
      <c r="N94" s="411"/>
      <c r="O94" s="411"/>
      <c r="P94" s="411"/>
      <c r="Q94" s="412"/>
      <c r="S94" s="326"/>
      <c r="T94" s="327"/>
      <c r="U94" s="327"/>
      <c r="V94" s="327"/>
      <c r="W94" s="327"/>
      <c r="X94" s="327"/>
      <c r="Y94" s="327"/>
      <c r="Z94" s="327"/>
      <c r="AA94" s="327"/>
      <c r="AB94" s="328"/>
      <c r="AD94" s="316"/>
      <c r="AE94" s="317"/>
      <c r="AF94" s="317"/>
      <c r="AG94" s="317"/>
      <c r="AH94" s="317"/>
      <c r="AI94" s="317"/>
      <c r="AJ94" s="318"/>
      <c r="AK94" s="317"/>
      <c r="AL94" s="317"/>
      <c r="AM94" s="317"/>
      <c r="AN94" s="317"/>
      <c r="AO94" s="317"/>
      <c r="AP94" s="317"/>
      <c r="AQ94" s="352"/>
    </row>
    <row r="95" spans="2:43" x14ac:dyDescent="0.25">
      <c r="B95" s="410" t="str">
        <f>IF(Pulp_Switch="启用","避免枪械故障或近战大失败：10幸运","昏迷：生命值归零但并未[重伤]")</f>
        <v>昏迷：生命值归零但并未[重伤]</v>
      </c>
      <c r="C95" s="411"/>
      <c r="D95" s="411"/>
      <c r="E95" s="411"/>
      <c r="F95" s="411"/>
      <c r="G95" s="411"/>
      <c r="H95" s="411"/>
      <c r="I95" s="411"/>
      <c r="J95" s="411"/>
      <c r="K95" s="411"/>
      <c r="L95" s="411"/>
      <c r="M95" s="411"/>
      <c r="N95" s="411"/>
      <c r="O95" s="411"/>
      <c r="P95" s="411"/>
      <c r="Q95" s="412"/>
      <c r="S95" s="329"/>
      <c r="T95" s="330"/>
      <c r="U95" s="330"/>
      <c r="V95" s="330"/>
      <c r="W95" s="330"/>
      <c r="X95" s="330"/>
      <c r="Y95" s="330"/>
      <c r="Z95" s="330"/>
      <c r="AA95" s="330"/>
      <c r="AB95" s="331"/>
      <c r="AD95" s="319"/>
      <c r="AE95" s="320"/>
      <c r="AF95" s="320"/>
      <c r="AG95" s="320"/>
      <c r="AH95" s="320"/>
      <c r="AI95" s="320"/>
      <c r="AJ95" s="321"/>
      <c r="AK95" s="320"/>
      <c r="AL95" s="320"/>
      <c r="AM95" s="320"/>
      <c r="AN95" s="320"/>
      <c r="AO95" s="320"/>
      <c r="AP95" s="320"/>
      <c r="AQ95" s="381"/>
    </row>
    <row r="96" spans="2:43" ht="15" customHeight="1" x14ac:dyDescent="0.25">
      <c r="B96" s="413" t="str">
        <f>IF(Pulp_Switch="启用","减半理智损失：理智损失×2幸运；维持意识：1幸运，每轮翻倍；避免死亡：所有幸运，且不少于30点","濒死：生命值归零且受到[重伤]。需要接受[急救]稳定伤势，并用[医学]进行后续治疗。")</f>
        <v>濒死：生命值归零且受到[重伤]。需要接受[急救]稳定伤势，并用[医学]进行后续治疗。</v>
      </c>
      <c r="C96" s="414"/>
      <c r="D96" s="414"/>
      <c r="E96" s="414"/>
      <c r="F96" s="414"/>
      <c r="G96" s="414"/>
      <c r="H96" s="414"/>
      <c r="I96" s="414"/>
      <c r="J96" s="414"/>
      <c r="K96" s="414"/>
      <c r="L96" s="414"/>
      <c r="M96" s="414"/>
      <c r="N96" s="414"/>
      <c r="O96" s="414"/>
      <c r="P96" s="414"/>
      <c r="Q96" s="415"/>
      <c r="S96" s="332"/>
      <c r="T96" s="333"/>
      <c r="U96" s="333"/>
      <c r="V96" s="333"/>
      <c r="W96" s="333"/>
      <c r="X96" s="333"/>
      <c r="Y96" s="333"/>
      <c r="Z96" s="333"/>
      <c r="AA96" s="333"/>
      <c r="AB96" s="334"/>
      <c r="AD96" s="316"/>
      <c r="AE96" s="317"/>
      <c r="AF96" s="317"/>
      <c r="AG96" s="317"/>
      <c r="AH96" s="317"/>
      <c r="AI96" s="317"/>
      <c r="AJ96" s="318"/>
      <c r="AK96" s="317"/>
      <c r="AL96" s="317"/>
      <c r="AM96" s="317"/>
      <c r="AN96" s="317"/>
      <c r="AO96" s="317"/>
      <c r="AP96" s="317"/>
      <c r="AQ96" s="352"/>
    </row>
    <row r="97" spans="2:43" x14ac:dyDescent="0.25">
      <c r="B97" s="416"/>
      <c r="C97" s="417"/>
      <c r="D97" s="417"/>
      <c r="E97" s="417"/>
      <c r="F97" s="417"/>
      <c r="G97" s="417"/>
      <c r="H97" s="417"/>
      <c r="I97" s="417"/>
      <c r="J97" s="417"/>
      <c r="K97" s="417"/>
      <c r="L97" s="417"/>
      <c r="M97" s="417"/>
      <c r="N97" s="417"/>
      <c r="O97" s="417"/>
      <c r="P97" s="417"/>
      <c r="Q97" s="418"/>
      <c r="S97" s="323"/>
      <c r="T97" s="324"/>
      <c r="U97" s="324"/>
      <c r="V97" s="324"/>
      <c r="W97" s="324"/>
      <c r="X97" s="324"/>
      <c r="Y97" s="324"/>
      <c r="Z97" s="324"/>
      <c r="AA97" s="324"/>
      <c r="AB97" s="325"/>
      <c r="AD97" s="319"/>
      <c r="AE97" s="320"/>
      <c r="AF97" s="320"/>
      <c r="AG97" s="320"/>
      <c r="AH97" s="320"/>
      <c r="AI97" s="320"/>
      <c r="AJ97" s="321"/>
      <c r="AK97" s="320"/>
      <c r="AL97" s="320"/>
      <c r="AM97" s="320"/>
      <c r="AN97" s="320"/>
      <c r="AO97" s="320"/>
      <c r="AP97" s="320"/>
      <c r="AQ97" s="381"/>
    </row>
    <row r="98" spans="2:43" ht="15.6" thickBot="1" x14ac:dyDescent="0.3">
      <c r="B98" s="580" t="str">
        <f>IF(Pulp_Switch="启用","每天自然回复2点生命值","通常每天自然回复1点生命值")</f>
        <v>通常每天自然回复1点生命值</v>
      </c>
      <c r="C98" s="578"/>
      <c r="D98" s="578"/>
      <c r="E98" s="578"/>
      <c r="F98" s="578"/>
      <c r="G98" s="578"/>
      <c r="H98" s="578"/>
      <c r="I98" s="578"/>
      <c r="J98" s="578" t="str">
        <f>IF(Pulp_Switch="启用","Pulp Hero不会受到重伤","重伤时每周1次恢复检定")</f>
        <v>重伤时每周1次恢复检定</v>
      </c>
      <c r="K98" s="578"/>
      <c r="L98" s="578"/>
      <c r="M98" s="578"/>
      <c r="N98" s="578"/>
      <c r="O98" s="578"/>
      <c r="P98" s="578"/>
      <c r="Q98" s="579"/>
      <c r="S98" s="344"/>
      <c r="T98" s="345"/>
      <c r="U98" s="345"/>
      <c r="V98" s="345"/>
      <c r="W98" s="345"/>
      <c r="X98" s="345"/>
      <c r="Y98" s="345"/>
      <c r="Z98" s="345"/>
      <c r="AA98" s="345"/>
      <c r="AB98" s="346"/>
      <c r="AD98" s="408"/>
      <c r="AE98" s="385"/>
      <c r="AF98" s="385"/>
      <c r="AG98" s="385"/>
      <c r="AH98" s="385"/>
      <c r="AI98" s="385"/>
      <c r="AJ98" s="409"/>
      <c r="AK98" s="384"/>
      <c r="AL98" s="385"/>
      <c r="AM98" s="385"/>
      <c r="AN98" s="385"/>
      <c r="AO98" s="385"/>
      <c r="AP98" s="385"/>
      <c r="AQ98" s="386"/>
    </row>
  </sheetData>
  <sheetProtection algorithmName="SHA-512" hashValue="4VHCB7yXdqe+yOwBnQ645K9NkJOE2rMcYWcN3SSUoHcVSioxo1mx9GMrNb6+QIFAQBfVaHZNUA1rccZe4A6P3A==" saltValue="ZN7+8/tK2bYlmF13lyn6mQ==" spinCount="100000" sheet="1" selectLockedCells="1"/>
  <mergeCells count="519">
    <mergeCell ref="B44:J44"/>
    <mergeCell ref="K44:L44"/>
    <mergeCell ref="M44:N44"/>
    <mergeCell ref="O44:P44"/>
    <mergeCell ref="R44:W44"/>
    <mergeCell ref="X44:AA44"/>
    <mergeCell ref="AB44:AD44"/>
    <mergeCell ref="AE44:AF44"/>
    <mergeCell ref="AG44:AH44"/>
    <mergeCell ref="B43:J43"/>
    <mergeCell ref="K43:L43"/>
    <mergeCell ref="M43:N43"/>
    <mergeCell ref="O43:P43"/>
    <mergeCell ref="R43:W43"/>
    <mergeCell ref="X43:AA43"/>
    <mergeCell ref="AB43:AD43"/>
    <mergeCell ref="AE43:AF43"/>
    <mergeCell ref="AG43:AH43"/>
    <mergeCell ref="AE36:AI36"/>
    <mergeCell ref="AJ36:AK36"/>
    <mergeCell ref="AL36:AM36"/>
    <mergeCell ref="AN36:AQ36"/>
    <mergeCell ref="Q36:U36"/>
    <mergeCell ref="V36:W36"/>
    <mergeCell ref="X36:Y36"/>
    <mergeCell ref="Z36:AC36"/>
    <mergeCell ref="AE16:AI16"/>
    <mergeCell ref="AJ16:AK16"/>
    <mergeCell ref="AL16:AM16"/>
    <mergeCell ref="AN16:AQ16"/>
    <mergeCell ref="AE17:AI17"/>
    <mergeCell ref="AJ17:AK17"/>
    <mergeCell ref="AL17:AM17"/>
    <mergeCell ref="AN17:AQ17"/>
    <mergeCell ref="AE18:AI18"/>
    <mergeCell ref="AJ18:AK18"/>
    <mergeCell ref="AL18:AM18"/>
    <mergeCell ref="AN18:AQ18"/>
    <mergeCell ref="Q30:U30"/>
    <mergeCell ref="V30:W30"/>
    <mergeCell ref="X30:Y30"/>
    <mergeCell ref="Z30:AC30"/>
    <mergeCell ref="Q31:U31"/>
    <mergeCell ref="V31:W31"/>
    <mergeCell ref="X31:Y31"/>
    <mergeCell ref="Z31:AC31"/>
    <mergeCell ref="Q35:U35"/>
    <mergeCell ref="V35:W35"/>
    <mergeCell ref="X35:Y35"/>
    <mergeCell ref="Z35:AC35"/>
    <mergeCell ref="AE24:AI24"/>
    <mergeCell ref="Q25:U25"/>
    <mergeCell ref="V25:W25"/>
    <mergeCell ref="X25:Y25"/>
    <mergeCell ref="Z25:AC25"/>
    <mergeCell ref="Q32:U32"/>
    <mergeCell ref="V32:W32"/>
    <mergeCell ref="X32:Y32"/>
    <mergeCell ref="Z32:AC32"/>
    <mergeCell ref="Q34:U34"/>
    <mergeCell ref="V34:W34"/>
    <mergeCell ref="X34:Y34"/>
    <mergeCell ref="Z34:AC34"/>
    <mergeCell ref="Q33:U33"/>
    <mergeCell ref="V33:W33"/>
    <mergeCell ref="X33:Y33"/>
    <mergeCell ref="AJ24:AK24"/>
    <mergeCell ref="Q23:U23"/>
    <mergeCell ref="V23:W23"/>
    <mergeCell ref="AE19:AI19"/>
    <mergeCell ref="AJ19:AK19"/>
    <mergeCell ref="AL19:AM19"/>
    <mergeCell ref="AN19:AQ19"/>
    <mergeCell ref="AE20:AI20"/>
    <mergeCell ref="AJ20:AK20"/>
    <mergeCell ref="AL20:AM20"/>
    <mergeCell ref="AN20:AQ20"/>
    <mergeCell ref="Z23:AC23"/>
    <mergeCell ref="Q24:U24"/>
    <mergeCell ref="V24:W24"/>
    <mergeCell ref="X24:Y24"/>
    <mergeCell ref="Z24:AC24"/>
    <mergeCell ref="AL24:AM24"/>
    <mergeCell ref="AN24:AQ24"/>
    <mergeCell ref="AE15:AI15"/>
    <mergeCell ref="AJ15:AK15"/>
    <mergeCell ref="AL15:AM15"/>
    <mergeCell ref="AN15:AQ15"/>
    <mergeCell ref="Q29:U29"/>
    <mergeCell ref="V29:W29"/>
    <mergeCell ref="X29:Y29"/>
    <mergeCell ref="Z29:AC29"/>
    <mergeCell ref="AE21:AI21"/>
    <mergeCell ref="AJ21:AK21"/>
    <mergeCell ref="AL21:AM21"/>
    <mergeCell ref="AN21:AQ21"/>
    <mergeCell ref="AE22:AI22"/>
    <mergeCell ref="AJ22:AK22"/>
    <mergeCell ref="AL22:AM22"/>
    <mergeCell ref="AN22:AQ22"/>
    <mergeCell ref="AE23:AI23"/>
    <mergeCell ref="AJ23:AK23"/>
    <mergeCell ref="AL23:AM23"/>
    <mergeCell ref="AN23:AQ23"/>
    <mergeCell ref="V22:W22"/>
    <mergeCell ref="X22:Y22"/>
    <mergeCell ref="Z22:AC22"/>
    <mergeCell ref="X23:Y23"/>
    <mergeCell ref="C23:G23"/>
    <mergeCell ref="H23:I23"/>
    <mergeCell ref="J23:K23"/>
    <mergeCell ref="L23:O23"/>
    <mergeCell ref="C18:G18"/>
    <mergeCell ref="H18:I18"/>
    <mergeCell ref="V17:W17"/>
    <mergeCell ref="X17:Y17"/>
    <mergeCell ref="Z17:AC17"/>
    <mergeCell ref="Q18:U18"/>
    <mergeCell ref="V18:W18"/>
    <mergeCell ref="X18:Y18"/>
    <mergeCell ref="Z18:AC18"/>
    <mergeCell ref="Q19:U19"/>
    <mergeCell ref="V19:W19"/>
    <mergeCell ref="X19:Y19"/>
    <mergeCell ref="Z19:AC19"/>
    <mergeCell ref="V20:W20"/>
    <mergeCell ref="X20:Y20"/>
    <mergeCell ref="Z20:AC20"/>
    <mergeCell ref="Q21:U21"/>
    <mergeCell ref="V21:W21"/>
    <mergeCell ref="X21:Y21"/>
    <mergeCell ref="Z21:AC21"/>
    <mergeCell ref="Q17:U17"/>
    <mergeCell ref="Q20:U20"/>
    <mergeCell ref="C21:G21"/>
    <mergeCell ref="H21:I21"/>
    <mergeCell ref="J21:K21"/>
    <mergeCell ref="L21:O21"/>
    <mergeCell ref="C22:G22"/>
    <mergeCell ref="H22:I22"/>
    <mergeCell ref="J22:K22"/>
    <mergeCell ref="L22:O22"/>
    <mergeCell ref="Q22:U22"/>
    <mergeCell ref="J18:K18"/>
    <mergeCell ref="L18:O18"/>
    <mergeCell ref="C19:G19"/>
    <mergeCell ref="H19:I19"/>
    <mergeCell ref="J19:K19"/>
    <mergeCell ref="L19:O19"/>
    <mergeCell ref="C20:G20"/>
    <mergeCell ref="H20:I20"/>
    <mergeCell ref="J20:K20"/>
    <mergeCell ref="L20:O20"/>
    <mergeCell ref="H36:I36"/>
    <mergeCell ref="J36:K36"/>
    <mergeCell ref="L36:O36"/>
    <mergeCell ref="C36:G36"/>
    <mergeCell ref="C35:G35"/>
    <mergeCell ref="H35:I35"/>
    <mergeCell ref="J35:K35"/>
    <mergeCell ref="L35:O35"/>
    <mergeCell ref="C31:G31"/>
    <mergeCell ref="H31:I31"/>
    <mergeCell ref="J31:K31"/>
    <mergeCell ref="L31:O31"/>
    <mergeCell ref="J29:K29"/>
    <mergeCell ref="L29:O29"/>
    <mergeCell ref="C30:G30"/>
    <mergeCell ref="H30:I30"/>
    <mergeCell ref="J30:K30"/>
    <mergeCell ref="L30:O30"/>
    <mergeCell ref="C34:G34"/>
    <mergeCell ref="H34:I34"/>
    <mergeCell ref="J34:K34"/>
    <mergeCell ref="L34:O34"/>
    <mergeCell ref="C32:G32"/>
    <mergeCell ref="H32:I32"/>
    <mergeCell ref="J32:K32"/>
    <mergeCell ref="L32:O32"/>
    <mergeCell ref="C33:G33"/>
    <mergeCell ref="H33:I33"/>
    <mergeCell ref="J33:K33"/>
    <mergeCell ref="L33:O33"/>
    <mergeCell ref="AG40:AH40"/>
    <mergeCell ref="AG41:AH41"/>
    <mergeCell ref="AE40:AF40"/>
    <mergeCell ref="AE41:AF41"/>
    <mergeCell ref="AJ38:AQ38"/>
    <mergeCell ref="AN39:AQ40"/>
    <mergeCell ref="AJ39:AM40"/>
    <mergeCell ref="AJ41:AM42"/>
    <mergeCell ref="AJ45:AM46"/>
    <mergeCell ref="AN41:AQ42"/>
    <mergeCell ref="AG39:AH39"/>
    <mergeCell ref="AG42:AH42"/>
    <mergeCell ref="AG45:AH45"/>
    <mergeCell ref="AE46:AF46"/>
    <mergeCell ref="AE39:AF39"/>
    <mergeCell ref="AG46:AH46"/>
    <mergeCell ref="AN45:AQ46"/>
    <mergeCell ref="AJ43:AM44"/>
    <mergeCell ref="AN43:AO44"/>
    <mergeCell ref="AP43:AQ43"/>
    <mergeCell ref="AP44:AQ44"/>
    <mergeCell ref="AE45:AF45"/>
    <mergeCell ref="AE42:AF42"/>
    <mergeCell ref="J98:Q98"/>
    <mergeCell ref="B98:I98"/>
    <mergeCell ref="B89:E90"/>
    <mergeCell ref="F89:G89"/>
    <mergeCell ref="F90:G90"/>
    <mergeCell ref="N89:O89"/>
    <mergeCell ref="N90:O90"/>
    <mergeCell ref="P89:Q89"/>
    <mergeCell ref="L89:M89"/>
    <mergeCell ref="L90:M90"/>
    <mergeCell ref="B93:I93"/>
    <mergeCell ref="H89:I89"/>
    <mergeCell ref="H90:I90"/>
    <mergeCell ref="B91:Q92"/>
    <mergeCell ref="B3:C3"/>
    <mergeCell ref="B4:C4"/>
    <mergeCell ref="B5:C5"/>
    <mergeCell ref="B6:C6"/>
    <mergeCell ref="B7:C7"/>
    <mergeCell ref="B8:C8"/>
    <mergeCell ref="P3:Q4"/>
    <mergeCell ref="P5:Q6"/>
    <mergeCell ref="P7:Q8"/>
    <mergeCell ref="I6:J6"/>
    <mergeCell ref="K6:N6"/>
    <mergeCell ref="D7:N7"/>
    <mergeCell ref="D8:N8"/>
    <mergeCell ref="X5:Y6"/>
    <mergeCell ref="X7:Y8"/>
    <mergeCell ref="Z3:AA3"/>
    <mergeCell ref="Z4:AA4"/>
    <mergeCell ref="Z5:AA5"/>
    <mergeCell ref="Z6:AA6"/>
    <mergeCell ref="Z7:AA7"/>
    <mergeCell ref="Z8:AA8"/>
    <mergeCell ref="R5:S6"/>
    <mergeCell ref="R7:S8"/>
    <mergeCell ref="T3:U3"/>
    <mergeCell ref="T4:U4"/>
    <mergeCell ref="T5:U5"/>
    <mergeCell ref="T6:U6"/>
    <mergeCell ref="T7:U7"/>
    <mergeCell ref="T8:U8"/>
    <mergeCell ref="V3:W4"/>
    <mergeCell ref="V5:W6"/>
    <mergeCell ref="V7:W8"/>
    <mergeCell ref="R3:S4"/>
    <mergeCell ref="AJ25:AK25"/>
    <mergeCell ref="AL25:AM25"/>
    <mergeCell ref="AN25:AQ25"/>
    <mergeCell ref="AJ26:AK26"/>
    <mergeCell ref="AL26:AM26"/>
    <mergeCell ref="AN26:AQ26"/>
    <mergeCell ref="AJ27:AK27"/>
    <mergeCell ref="AL27:AM27"/>
    <mergeCell ref="AN27:AQ27"/>
    <mergeCell ref="AJ28:AK28"/>
    <mergeCell ref="AL28:AM28"/>
    <mergeCell ref="AN28:AQ28"/>
    <mergeCell ref="AJ29:AK29"/>
    <mergeCell ref="AL29:AM29"/>
    <mergeCell ref="AN29:AQ29"/>
    <mergeCell ref="AJ30:AK30"/>
    <mergeCell ref="AL30:AM30"/>
    <mergeCell ref="AN30:AQ30"/>
    <mergeCell ref="AJ31:AK31"/>
    <mergeCell ref="AL31:AM31"/>
    <mergeCell ref="AN31:AQ31"/>
    <mergeCell ref="AE29:AI29"/>
    <mergeCell ref="AE30:AI30"/>
    <mergeCell ref="AE31:AI31"/>
    <mergeCell ref="AE35:AI35"/>
    <mergeCell ref="AJ35:AK35"/>
    <mergeCell ref="AL35:AM35"/>
    <mergeCell ref="AN35:AQ35"/>
    <mergeCell ref="AE32:AI32"/>
    <mergeCell ref="AJ32:AK32"/>
    <mergeCell ref="AL32:AM32"/>
    <mergeCell ref="AN32:AQ32"/>
    <mergeCell ref="AN34:AQ34"/>
    <mergeCell ref="R41:W41"/>
    <mergeCell ref="X41:AA41"/>
    <mergeCell ref="B39:J39"/>
    <mergeCell ref="X40:AA40"/>
    <mergeCell ref="Q26:U26"/>
    <mergeCell ref="V26:W26"/>
    <mergeCell ref="X26:Y26"/>
    <mergeCell ref="Z26:AC26"/>
    <mergeCell ref="Q27:U27"/>
    <mergeCell ref="V27:W27"/>
    <mergeCell ref="X27:Y27"/>
    <mergeCell ref="Z27:AC27"/>
    <mergeCell ref="Q28:U28"/>
    <mergeCell ref="V28:W28"/>
    <mergeCell ref="X28:Y28"/>
    <mergeCell ref="Z28:AC28"/>
    <mergeCell ref="C27:G27"/>
    <mergeCell ref="H27:I27"/>
    <mergeCell ref="J27:K27"/>
    <mergeCell ref="L27:O27"/>
    <mergeCell ref="C28:G28"/>
    <mergeCell ref="H28:I28"/>
    <mergeCell ref="J28:K28"/>
    <mergeCell ref="L28:O28"/>
    <mergeCell ref="AF4:AG4"/>
    <mergeCell ref="AF5:AG5"/>
    <mergeCell ref="AF6:AG6"/>
    <mergeCell ref="X3:Y4"/>
    <mergeCell ref="AF7:AG7"/>
    <mergeCell ref="AB46:AD46"/>
    <mergeCell ref="AF8:AG8"/>
    <mergeCell ref="AD92:AJ92"/>
    <mergeCell ref="S91:AB92"/>
    <mergeCell ref="S85:AB86"/>
    <mergeCell ref="S53:V55"/>
    <mergeCell ref="S56:V58"/>
    <mergeCell ref="S59:V61"/>
    <mergeCell ref="R46:W46"/>
    <mergeCell ref="B38:AH38"/>
    <mergeCell ref="B40:J40"/>
    <mergeCell ref="AB39:AD39"/>
    <mergeCell ref="AB40:AD40"/>
    <mergeCell ref="AB41:AD41"/>
    <mergeCell ref="K40:L40"/>
    <mergeCell ref="M40:N40"/>
    <mergeCell ref="O40:P40"/>
    <mergeCell ref="B42:J42"/>
    <mergeCell ref="K42:L42"/>
    <mergeCell ref="AD10:AE12"/>
    <mergeCell ref="AF10:AG12"/>
    <mergeCell ref="T10:V12"/>
    <mergeCell ref="B14:AQ14"/>
    <mergeCell ref="B2:N2"/>
    <mergeCell ref="D3:N3"/>
    <mergeCell ref="D4:N4"/>
    <mergeCell ref="D5:N5"/>
    <mergeCell ref="F12:G12"/>
    <mergeCell ref="I12:J12"/>
    <mergeCell ref="O12:P12"/>
    <mergeCell ref="R12:S12"/>
    <mergeCell ref="N10:P11"/>
    <mergeCell ref="Q10:S11"/>
    <mergeCell ref="K10:M12"/>
    <mergeCell ref="B10:D12"/>
    <mergeCell ref="P2:AG2"/>
    <mergeCell ref="AB3:AC4"/>
    <mergeCell ref="AB5:AC6"/>
    <mergeCell ref="AB7:AC8"/>
    <mergeCell ref="AD3:AE4"/>
    <mergeCell ref="AD5:AE6"/>
    <mergeCell ref="AD7:AE8"/>
    <mergeCell ref="AF3:AG3"/>
    <mergeCell ref="H16:I16"/>
    <mergeCell ref="C16:G16"/>
    <mergeCell ref="AA10:AC12"/>
    <mergeCell ref="E10:G11"/>
    <mergeCell ref="H10:J11"/>
    <mergeCell ref="W10:X12"/>
    <mergeCell ref="Y10:Z12"/>
    <mergeCell ref="X15:Y15"/>
    <mergeCell ref="Z15:AC15"/>
    <mergeCell ref="Q16:U16"/>
    <mergeCell ref="V16:W16"/>
    <mergeCell ref="X16:Y16"/>
    <mergeCell ref="Z16:AC16"/>
    <mergeCell ref="AI2:AQ12"/>
    <mergeCell ref="D6:H6"/>
    <mergeCell ref="X39:AA39"/>
    <mergeCell ref="AE33:AI33"/>
    <mergeCell ref="AJ33:AK33"/>
    <mergeCell ref="AL33:AM33"/>
    <mergeCell ref="AN33:AQ33"/>
    <mergeCell ref="AE34:AI34"/>
    <mergeCell ref="AE25:AI25"/>
    <mergeCell ref="AE26:AI26"/>
    <mergeCell ref="AE27:AI27"/>
    <mergeCell ref="AE28:AI28"/>
    <mergeCell ref="AJ34:AK34"/>
    <mergeCell ref="AL34:AM34"/>
    <mergeCell ref="L15:O15"/>
    <mergeCell ref="J15:K15"/>
    <mergeCell ref="C15:G15"/>
    <mergeCell ref="H15:I15"/>
    <mergeCell ref="Q15:U15"/>
    <mergeCell ref="V15:W15"/>
    <mergeCell ref="L16:O16"/>
    <mergeCell ref="J16:K16"/>
    <mergeCell ref="Z33:AC33"/>
    <mergeCell ref="C37:G37"/>
    <mergeCell ref="M41:N41"/>
    <mergeCell ref="K46:L46"/>
    <mergeCell ref="B61:D61"/>
    <mergeCell ref="B62:D62"/>
    <mergeCell ref="O41:P41"/>
    <mergeCell ref="C17:G17"/>
    <mergeCell ref="H17:I17"/>
    <mergeCell ref="J17:K17"/>
    <mergeCell ref="L17:O17"/>
    <mergeCell ref="C24:G24"/>
    <mergeCell ref="H24:I24"/>
    <mergeCell ref="J24:K24"/>
    <mergeCell ref="L24:O24"/>
    <mergeCell ref="C25:G25"/>
    <mergeCell ref="H25:I25"/>
    <mergeCell ref="J25:K25"/>
    <mergeCell ref="L25:O25"/>
    <mergeCell ref="C26:G26"/>
    <mergeCell ref="H26:I26"/>
    <mergeCell ref="J26:K26"/>
    <mergeCell ref="L26:O26"/>
    <mergeCell ref="C29:G29"/>
    <mergeCell ref="B58:Q58"/>
    <mergeCell ref="H29:I29"/>
    <mergeCell ref="AD98:AJ98"/>
    <mergeCell ref="B94:Q94"/>
    <mergeCell ref="B95:Q95"/>
    <mergeCell ref="B96:Q97"/>
    <mergeCell ref="R40:W40"/>
    <mergeCell ref="R39:W39"/>
    <mergeCell ref="K39:P39"/>
    <mergeCell ref="S50:V52"/>
    <mergeCell ref="B63:Q66"/>
    <mergeCell ref="B60:Q60"/>
    <mergeCell ref="X42:AA42"/>
    <mergeCell ref="B45:J45"/>
    <mergeCell ref="K45:L45"/>
    <mergeCell ref="M45:N45"/>
    <mergeCell ref="O45:P45"/>
    <mergeCell ref="R45:W45"/>
    <mergeCell ref="X45:AA45"/>
    <mergeCell ref="M46:N46"/>
    <mergeCell ref="O46:P46"/>
    <mergeCell ref="M42:N42"/>
    <mergeCell ref="O42:P42"/>
    <mergeCell ref="R42:W42"/>
    <mergeCell ref="B41:J41"/>
    <mergeCell ref="K41:L41"/>
    <mergeCell ref="AK98:AQ98"/>
    <mergeCell ref="S49:AQ49"/>
    <mergeCell ref="W50:AQ52"/>
    <mergeCell ref="W53:AQ55"/>
    <mergeCell ref="W56:AQ58"/>
    <mergeCell ref="W59:AQ61"/>
    <mergeCell ref="W62:AQ64"/>
    <mergeCell ref="W65:AQ67"/>
    <mergeCell ref="W68:AQ70"/>
    <mergeCell ref="W71:AQ73"/>
    <mergeCell ref="AD93:AJ93"/>
    <mergeCell ref="AK93:AQ93"/>
    <mergeCell ref="AD94:AJ94"/>
    <mergeCell ref="AK94:AQ94"/>
    <mergeCell ref="AD95:AJ95"/>
    <mergeCell ref="S68:V70"/>
    <mergeCell ref="S71:V73"/>
    <mergeCell ref="AK90:AQ90"/>
    <mergeCell ref="S97:AB98"/>
    <mergeCell ref="S93:AB94"/>
    <mergeCell ref="S95:AB96"/>
    <mergeCell ref="S84:AB84"/>
    <mergeCell ref="AD88:AJ88"/>
    <mergeCell ref="AD91:AJ91"/>
    <mergeCell ref="AD97:AJ97"/>
    <mergeCell ref="AK97:AQ97"/>
    <mergeCell ref="AD84:AQ84"/>
    <mergeCell ref="AK85:AQ85"/>
    <mergeCell ref="AD87:AJ87"/>
    <mergeCell ref="AK87:AQ87"/>
    <mergeCell ref="AK88:AQ88"/>
    <mergeCell ref="AK89:AQ89"/>
    <mergeCell ref="AK92:AQ92"/>
    <mergeCell ref="AK91:AQ91"/>
    <mergeCell ref="AK95:AQ95"/>
    <mergeCell ref="AD96:AJ96"/>
    <mergeCell ref="AK96:AQ96"/>
    <mergeCell ref="B51:Q51"/>
    <mergeCell ref="S62:V64"/>
    <mergeCell ref="S65:V67"/>
    <mergeCell ref="B57:Q57"/>
    <mergeCell ref="AD85:AJ85"/>
    <mergeCell ref="AD86:AJ86"/>
    <mergeCell ref="AK86:AQ86"/>
    <mergeCell ref="AB42:AD42"/>
    <mergeCell ref="X46:AA46"/>
    <mergeCell ref="B46:J46"/>
    <mergeCell ref="S75:AQ75"/>
    <mergeCell ref="S76:AQ82"/>
    <mergeCell ref="B73:Q73"/>
    <mergeCell ref="AB45:AD45"/>
    <mergeCell ref="E62:Q62"/>
    <mergeCell ref="E61:Q61"/>
    <mergeCell ref="B68:Q68"/>
    <mergeCell ref="B69:Q69"/>
    <mergeCell ref="B70:Q70"/>
    <mergeCell ref="B71:Q71"/>
    <mergeCell ref="B72:Q72"/>
    <mergeCell ref="B49:Q49"/>
    <mergeCell ref="B50:Q50"/>
    <mergeCell ref="B52:Q52"/>
    <mergeCell ref="B53:Q53"/>
    <mergeCell ref="B54:Q54"/>
    <mergeCell ref="B55:Q55"/>
    <mergeCell ref="B56:Q56"/>
    <mergeCell ref="J93:Q93"/>
    <mergeCell ref="AD90:AJ90"/>
    <mergeCell ref="AD89:AJ89"/>
    <mergeCell ref="P90:Q90"/>
    <mergeCell ref="S89:AB90"/>
    <mergeCell ref="S87:AB88"/>
    <mergeCell ref="B88:Q88"/>
    <mergeCell ref="B75:Q75"/>
    <mergeCell ref="J89:K89"/>
    <mergeCell ref="J90:K90"/>
    <mergeCell ref="B76:Q86"/>
  </mergeCells>
  <phoneticPr fontId="2" type="noConversion"/>
  <conditionalFormatting sqref="AD37:AM37">
    <cfRule type="cellIs" dxfId="4" priority="14" operator="equal">
      <formula>"剩余职业点=0   剩余兴趣点=0"</formula>
    </cfRule>
  </conditionalFormatting>
  <conditionalFormatting sqref="P16:P17 AD16:AD17 B16:B36 P36 AD36">
    <cfRule type="cellIs" dxfId="3" priority="11" operator="equal">
      <formula>"√"</formula>
    </cfRule>
  </conditionalFormatting>
  <conditionalFormatting sqref="E12 H12 N12 Q12">
    <cfRule type="cellIs" dxfId="2" priority="4" operator="equal">
      <formula>"√"</formula>
    </cfRule>
  </conditionalFormatting>
  <conditionalFormatting sqref="AD18:AD35">
    <cfRule type="cellIs" dxfId="1" priority="1" operator="equal">
      <formula>"√"</formula>
    </cfRule>
  </conditionalFormatting>
  <conditionalFormatting sqref="P18:P35">
    <cfRule type="cellIs" dxfId="0" priority="2" operator="equal">
      <formula>"√"</formula>
    </cfRule>
  </conditionalFormatting>
  <dataValidations xWindow="517" yWindow="581" count="6">
    <dataValidation allowBlank="1" showInputMessage="1" showErrorMessage="1" prompt="这是你立即可以取用、支配的现金。_x000a_包括带在身上的和存在银行的。" sqref="B62" xr:uid="{00000000-0002-0000-0000-00000C000000}"/>
    <dataValidation type="list" allowBlank="1" showInputMessage="1" showErrorMessage="1" sqref="Q40:Q46" xr:uid="{00000000-0002-0000-0000-00003C000000}">
      <formula1>"√,×"</formula1>
    </dataValidation>
    <dataValidation type="whole" errorStyle="information" allowBlank="1" showInputMessage="1" showErrorMessage="1" errorTitle="年龄" error="只能输入整数，且范围应在15-89之间。" sqref="D6:H6" xr:uid="{F6CBBAE9-F1EB-438D-AF79-2852EE3858E6}">
      <formula1>10</formula1>
      <formula2>89</formula2>
    </dataValidation>
    <dataValidation type="list" allowBlank="1" showInputMessage="1" showErrorMessage="1" sqref="E12 H12 N12 Q12" xr:uid="{0CB6DAD2-F5CC-491E-8130-D9B140FA51F2}">
      <formula1>"☐,√"</formula1>
    </dataValidation>
    <dataValidation allowBlank="1" showInputMessage="1" sqref="L16:L36 Q16:Q36 C16:C37 Z16:Z36 AK16:AK36 AM16:AQ36 AE16:AE36" xr:uid="{203ACA81-BF20-4E3B-A77E-66ABCCBEEAFE}"/>
    <dataValidation type="list" allowBlank="1" showInputMessage="1" sqref="P16:P36 B16:B36 AD16:AD36" xr:uid="{512D9B4A-FE0B-4357-A82C-4E0CF1665D1E}">
      <formula1>"☐,√"</formula1>
    </dataValidation>
  </dataValidations>
  <pageMargins left="0.23622047244094491" right="0.23622047244094491" top="0.98425196850393704" bottom="0.98425196850393704" header="0.31496062992125984" footer="0.31496062992125984"/>
  <pageSetup paperSize="9" scale="6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F3066-57DF-40C2-AE28-5FCE7C4EA5AD}">
  <sheetPr codeName="Sheet6"/>
  <dimension ref="A1:H201"/>
  <sheetViews>
    <sheetView zoomScaleNormal="100" workbookViewId="0">
      <pane ySplit="2" topLeftCell="A3" activePane="bottomLeft" state="frozen"/>
      <selection pane="bottomLeft" activeCell="D79" sqref="D79"/>
    </sheetView>
  </sheetViews>
  <sheetFormatPr defaultColWidth="8.88671875" defaultRowHeight="17.399999999999999" x14ac:dyDescent="0.25"/>
  <cols>
    <col min="1" max="1" width="16" style="83" customWidth="1"/>
    <col min="2" max="2" width="15.6640625" style="83" bestFit="1" customWidth="1"/>
    <col min="3" max="3" width="15.33203125" style="83" bestFit="1" customWidth="1"/>
    <col min="4" max="5" width="14.88671875" style="83" bestFit="1" customWidth="1"/>
    <col min="6" max="6" width="17.109375" style="83" bestFit="1" customWidth="1"/>
    <col min="7" max="7" width="17.77734375" style="83" bestFit="1" customWidth="1"/>
    <col min="8" max="8" width="14.88671875" style="83" bestFit="1" customWidth="1"/>
    <col min="9" max="16384" width="8.88671875" style="83"/>
  </cols>
  <sheetData>
    <row r="1" spans="1:8" x14ac:dyDescent="0.25">
      <c r="A1" s="83" t="s">
        <v>526</v>
      </c>
      <c r="B1" s="83" t="s">
        <v>585</v>
      </c>
      <c r="C1" s="83" t="s">
        <v>590</v>
      </c>
      <c r="D1" s="83" t="s">
        <v>527</v>
      </c>
      <c r="E1" s="83" t="s">
        <v>529</v>
      </c>
      <c r="F1" s="83" t="s">
        <v>530</v>
      </c>
      <c r="G1" s="83" t="s">
        <v>591</v>
      </c>
      <c r="H1" s="83" t="s">
        <v>528</v>
      </c>
    </row>
    <row r="2" spans="1:8" x14ac:dyDescent="0.25">
      <c r="A2" s="83" t="s">
        <v>531</v>
      </c>
      <c r="C2" s="83" t="s">
        <v>592</v>
      </c>
      <c r="D2" s="83" t="s">
        <v>532</v>
      </c>
      <c r="E2" s="83" t="s">
        <v>533</v>
      </c>
      <c r="F2" s="83" t="s">
        <v>534</v>
      </c>
      <c r="G2" s="83" t="s">
        <v>593</v>
      </c>
      <c r="H2" s="83" t="s">
        <v>532</v>
      </c>
    </row>
    <row r="3" spans="1:8" x14ac:dyDescent="0.25">
      <c r="A3" s="83" t="s">
        <v>584</v>
      </c>
      <c r="C3" s="83" t="s">
        <v>602</v>
      </c>
      <c r="G3" s="83" t="s">
        <v>602</v>
      </c>
    </row>
    <row r="4" spans="1:8" x14ac:dyDescent="0.25">
      <c r="A4" s="83">
        <v>1</v>
      </c>
      <c r="B4" s="83" t="str">
        <f t="shared" ref="B4:B35" si="0">IF(ISBLANK(LOOKUP(模板选择,模板名称,C4:AC4)),"",LOOKUP(模板选择,模板名称,C4:AC4))</f>
        <v>博物学</v>
      </c>
      <c r="C4" s="83" t="s">
        <v>599</v>
      </c>
      <c r="D4" s="84" t="s">
        <v>339</v>
      </c>
      <c r="E4" s="83" t="s">
        <v>366</v>
      </c>
      <c r="F4" s="84" t="s">
        <v>535</v>
      </c>
      <c r="G4" s="83" t="s">
        <v>604</v>
      </c>
      <c r="H4" s="84" t="s">
        <v>339</v>
      </c>
    </row>
    <row r="5" spans="1:8" x14ac:dyDescent="0.25">
      <c r="A5" s="83">
        <v>2</v>
      </c>
      <c r="B5" s="83" t="str">
        <f t="shared" si="0"/>
        <v>操作重型机械</v>
      </c>
      <c r="C5" s="83" t="s">
        <v>600</v>
      </c>
      <c r="D5" s="84" t="s">
        <v>253</v>
      </c>
      <c r="E5" s="84" t="s">
        <v>339</v>
      </c>
      <c r="F5" s="84" t="s">
        <v>536</v>
      </c>
      <c r="G5" s="83" t="s">
        <v>599</v>
      </c>
      <c r="H5" s="84" t="s">
        <v>253</v>
      </c>
    </row>
    <row r="6" spans="1:8" x14ac:dyDescent="0.25">
      <c r="A6" s="83">
        <v>3</v>
      </c>
      <c r="B6" s="83" t="str">
        <f t="shared" si="0"/>
        <v>导航</v>
      </c>
      <c r="C6" s="83" t="s">
        <v>537</v>
      </c>
      <c r="D6" s="84" t="s">
        <v>523</v>
      </c>
      <c r="E6" s="84" t="s">
        <v>253</v>
      </c>
      <c r="F6" s="84" t="s">
        <v>537</v>
      </c>
      <c r="G6" s="83" t="s">
        <v>600</v>
      </c>
      <c r="H6" s="84" t="s">
        <v>523</v>
      </c>
    </row>
    <row r="7" spans="1:8" x14ac:dyDescent="0.25">
      <c r="A7" s="83">
        <v>4</v>
      </c>
      <c r="B7" s="83" t="str">
        <f t="shared" si="0"/>
        <v>电气维修</v>
      </c>
      <c r="C7" s="83" t="s">
        <v>538</v>
      </c>
      <c r="D7" s="84" t="s">
        <v>242</v>
      </c>
      <c r="E7" s="84" t="s">
        <v>523</v>
      </c>
      <c r="F7" s="84" t="s">
        <v>538</v>
      </c>
      <c r="G7" s="83" t="s">
        <v>537</v>
      </c>
      <c r="H7" s="84" t="s">
        <v>242</v>
      </c>
    </row>
    <row r="8" spans="1:8" x14ac:dyDescent="0.25">
      <c r="A8" s="83">
        <v>5</v>
      </c>
      <c r="B8" s="83" t="str">
        <f t="shared" si="0"/>
        <v>法律</v>
      </c>
      <c r="C8" s="83" t="s">
        <v>596</v>
      </c>
      <c r="D8" s="84" t="s">
        <v>9</v>
      </c>
      <c r="E8" s="84" t="s">
        <v>242</v>
      </c>
      <c r="F8" s="84" t="s">
        <v>236</v>
      </c>
      <c r="G8" s="83" t="s">
        <v>242</v>
      </c>
      <c r="H8" s="84" t="s">
        <v>539</v>
      </c>
    </row>
    <row r="9" spans="1:8" x14ac:dyDescent="0.25">
      <c r="A9" s="83">
        <v>6</v>
      </c>
      <c r="B9" s="83" t="str">
        <f t="shared" si="0"/>
        <v>估价</v>
      </c>
      <c r="C9" s="83" t="s">
        <v>236</v>
      </c>
      <c r="D9" s="84" t="s">
        <v>236</v>
      </c>
      <c r="E9" s="83" t="s">
        <v>343</v>
      </c>
      <c r="F9" s="84" t="s">
        <v>243</v>
      </c>
      <c r="G9" s="83" t="s">
        <v>605</v>
      </c>
      <c r="H9" s="84" t="s">
        <v>9</v>
      </c>
    </row>
    <row r="10" spans="1:8" x14ac:dyDescent="0.25">
      <c r="A10" s="83">
        <v>7</v>
      </c>
      <c r="B10" s="83" t="str">
        <f t="shared" si="0"/>
        <v>话术</v>
      </c>
      <c r="C10" s="83" t="s">
        <v>243</v>
      </c>
      <c r="D10" s="84" t="s">
        <v>243</v>
      </c>
      <c r="E10" s="84" t="s">
        <v>9</v>
      </c>
      <c r="F10" s="84" t="s">
        <v>540</v>
      </c>
      <c r="G10" s="83" t="s">
        <v>607</v>
      </c>
      <c r="H10" s="84" t="s">
        <v>236</v>
      </c>
    </row>
    <row r="11" spans="1:8" x14ac:dyDescent="0.25">
      <c r="A11" s="83">
        <v>8</v>
      </c>
      <c r="B11" s="83" t="str">
        <f t="shared" si="0"/>
        <v>会计</v>
      </c>
      <c r="C11" s="83" t="s">
        <v>540</v>
      </c>
      <c r="D11" s="84" t="s">
        <v>326</v>
      </c>
      <c r="E11" s="84" t="s">
        <v>236</v>
      </c>
      <c r="F11" s="84" t="s">
        <v>244</v>
      </c>
      <c r="G11" s="83" t="s">
        <v>596</v>
      </c>
      <c r="H11" s="84" t="s">
        <v>243</v>
      </c>
    </row>
    <row r="12" spans="1:8" x14ac:dyDescent="0.25">
      <c r="A12" s="83">
        <v>9</v>
      </c>
      <c r="B12" s="83" t="str">
        <f t="shared" si="0"/>
        <v>机械维修</v>
      </c>
      <c r="C12" s="83" t="s">
        <v>598</v>
      </c>
      <c r="D12" s="84" t="s">
        <v>250</v>
      </c>
      <c r="E12" s="84" t="s">
        <v>243</v>
      </c>
      <c r="F12" s="84" t="s">
        <v>239</v>
      </c>
      <c r="G12" s="83" t="s">
        <v>236</v>
      </c>
      <c r="H12" s="84" t="s">
        <v>326</v>
      </c>
    </row>
    <row r="13" spans="1:8" x14ac:dyDescent="0.25">
      <c r="A13" s="83">
        <v>10</v>
      </c>
      <c r="B13" s="83" t="str">
        <f t="shared" si="0"/>
        <v>急救</v>
      </c>
      <c r="C13" s="83" t="s">
        <v>244</v>
      </c>
      <c r="D13" s="84" t="s">
        <v>244</v>
      </c>
      <c r="E13" s="84" t="s">
        <v>326</v>
      </c>
      <c r="F13" s="84" t="s">
        <v>246</v>
      </c>
      <c r="G13" s="83" t="s">
        <v>243</v>
      </c>
      <c r="H13" s="84" t="s">
        <v>250</v>
      </c>
    </row>
    <row r="14" spans="1:8" x14ac:dyDescent="0.25">
      <c r="A14" s="83">
        <v>11</v>
      </c>
      <c r="B14" s="83" t="str">
        <f t="shared" si="0"/>
        <v>精神分析</v>
      </c>
      <c r="C14" s="83" t="s">
        <v>237</v>
      </c>
      <c r="D14" s="84" t="s">
        <v>254</v>
      </c>
      <c r="E14" s="84" t="s">
        <v>250</v>
      </c>
      <c r="F14" s="84" t="s">
        <v>541</v>
      </c>
      <c r="G14" s="83" t="s">
        <v>540</v>
      </c>
      <c r="H14" s="84" t="s">
        <v>244</v>
      </c>
    </row>
    <row r="15" spans="1:8" x14ac:dyDescent="0.25">
      <c r="A15" s="83">
        <v>12</v>
      </c>
      <c r="B15" s="83" t="str">
        <f t="shared" si="0"/>
        <v>考古学</v>
      </c>
      <c r="C15" s="83" t="s">
        <v>239</v>
      </c>
      <c r="D15" s="84" t="s">
        <v>237</v>
      </c>
      <c r="E15" s="84" t="s">
        <v>244</v>
      </c>
      <c r="F15" s="84" t="s">
        <v>543</v>
      </c>
      <c r="G15" s="83" t="s">
        <v>598</v>
      </c>
      <c r="H15" s="84" t="s">
        <v>542</v>
      </c>
    </row>
    <row r="16" spans="1:8" x14ac:dyDescent="0.25">
      <c r="A16" s="83">
        <v>13</v>
      </c>
      <c r="B16" s="83" t="str">
        <f t="shared" si="0"/>
        <v>克苏鲁神话</v>
      </c>
      <c r="C16" s="83" t="s">
        <v>246</v>
      </c>
      <c r="D16" s="84" t="s">
        <v>239</v>
      </c>
      <c r="E16" s="84" t="s">
        <v>542</v>
      </c>
      <c r="F16" s="84" t="s">
        <v>544</v>
      </c>
      <c r="G16" s="83" t="s">
        <v>244</v>
      </c>
      <c r="H16" s="84" t="s">
        <v>254</v>
      </c>
    </row>
    <row r="17" spans="1:8" x14ac:dyDescent="0.25">
      <c r="A17" s="83">
        <v>14</v>
      </c>
      <c r="B17" s="83" t="str">
        <f t="shared" si="0"/>
        <v>恐吓</v>
      </c>
      <c r="C17" s="83" t="s">
        <v>245</v>
      </c>
      <c r="D17" s="84" t="s">
        <v>246</v>
      </c>
      <c r="E17" s="84" t="s">
        <v>254</v>
      </c>
      <c r="F17" s="84" t="s">
        <v>238</v>
      </c>
      <c r="G17" s="83" t="s">
        <v>603</v>
      </c>
      <c r="H17" s="84" t="s">
        <v>237</v>
      </c>
    </row>
    <row r="18" spans="1:8" x14ac:dyDescent="0.25">
      <c r="A18" s="83">
        <v>15</v>
      </c>
      <c r="B18" s="83" t="str">
        <f t="shared" si="0"/>
        <v>历史</v>
      </c>
      <c r="C18" s="83" t="s">
        <v>541</v>
      </c>
      <c r="D18" s="84" t="s">
        <v>245</v>
      </c>
      <c r="E18" s="84" t="s">
        <v>237</v>
      </c>
      <c r="F18" s="84" t="s">
        <v>545</v>
      </c>
      <c r="G18" s="83" t="s">
        <v>609</v>
      </c>
      <c r="H18" s="84" t="s">
        <v>239</v>
      </c>
    </row>
    <row r="19" spans="1:8" x14ac:dyDescent="0.25">
      <c r="A19" s="83">
        <v>16</v>
      </c>
      <c r="B19" s="83" t="str">
        <f t="shared" si="0"/>
        <v>聆听</v>
      </c>
      <c r="C19" s="83" t="s">
        <v>595</v>
      </c>
      <c r="D19" s="84" t="s">
        <v>248</v>
      </c>
      <c r="E19" s="84" t="s">
        <v>239</v>
      </c>
      <c r="F19" s="84" t="s">
        <v>546</v>
      </c>
      <c r="G19" s="83" t="s">
        <v>606</v>
      </c>
      <c r="H19" s="84" t="s">
        <v>246</v>
      </c>
    </row>
    <row r="20" spans="1:8" x14ac:dyDescent="0.25">
      <c r="A20" s="83">
        <v>17</v>
      </c>
      <c r="B20" s="83" t="str">
        <f t="shared" si="0"/>
        <v>妙手</v>
      </c>
      <c r="C20" s="83" t="s">
        <v>544</v>
      </c>
      <c r="D20" s="84" t="s">
        <v>258</v>
      </c>
      <c r="E20" s="84" t="s">
        <v>246</v>
      </c>
      <c r="F20" s="84" t="s">
        <v>547</v>
      </c>
      <c r="G20" s="83" t="s">
        <v>237</v>
      </c>
      <c r="H20" s="84" t="s">
        <v>245</v>
      </c>
    </row>
    <row r="21" spans="1:8" x14ac:dyDescent="0.25">
      <c r="A21" s="83">
        <v>18</v>
      </c>
      <c r="B21" s="83" t="str">
        <f t="shared" si="0"/>
        <v>攀爬</v>
      </c>
      <c r="C21" s="83" t="s">
        <v>238</v>
      </c>
      <c r="D21" s="84" t="s">
        <v>238</v>
      </c>
      <c r="E21" s="84" t="s">
        <v>245</v>
      </c>
      <c r="F21" s="84" t="s">
        <v>241</v>
      </c>
      <c r="G21" s="83" t="s">
        <v>239</v>
      </c>
      <c r="H21" s="84" t="s">
        <v>248</v>
      </c>
    </row>
    <row r="22" spans="1:8" x14ac:dyDescent="0.25">
      <c r="A22" s="83">
        <v>19</v>
      </c>
      <c r="B22" s="83" t="str">
        <f t="shared" si="0"/>
        <v>骑术</v>
      </c>
      <c r="C22" s="83" t="s">
        <v>545</v>
      </c>
      <c r="D22" s="84" t="s">
        <v>256</v>
      </c>
      <c r="E22" s="84" t="s">
        <v>248</v>
      </c>
      <c r="F22" s="84" t="s">
        <v>548</v>
      </c>
      <c r="G22" s="83" t="s">
        <v>246</v>
      </c>
      <c r="H22" s="84" t="s">
        <v>258</v>
      </c>
    </row>
    <row r="23" spans="1:8" x14ac:dyDescent="0.25">
      <c r="A23" s="83">
        <v>20</v>
      </c>
      <c r="B23" s="83" t="str">
        <f t="shared" si="0"/>
        <v>汽车驾驶</v>
      </c>
      <c r="C23" s="83" t="s">
        <v>546</v>
      </c>
      <c r="D23" s="84" t="s">
        <v>479</v>
      </c>
      <c r="E23" s="84" t="s">
        <v>258</v>
      </c>
      <c r="F23" s="84" t="s">
        <v>549</v>
      </c>
      <c r="G23" s="83" t="s">
        <v>245</v>
      </c>
      <c r="H23" s="84" t="s">
        <v>238</v>
      </c>
    </row>
    <row r="24" spans="1:8" x14ac:dyDescent="0.25">
      <c r="A24" s="83">
        <v>21</v>
      </c>
      <c r="B24" s="83" t="str">
        <f t="shared" si="0"/>
        <v>潜行</v>
      </c>
      <c r="C24" s="83" t="s">
        <v>240</v>
      </c>
      <c r="D24" s="84" t="s">
        <v>259</v>
      </c>
      <c r="E24" s="84" t="s">
        <v>238</v>
      </c>
      <c r="F24" s="84" t="s">
        <v>247</v>
      </c>
      <c r="G24" s="83" t="s">
        <v>541</v>
      </c>
      <c r="H24" s="84" t="s">
        <v>479</v>
      </c>
    </row>
    <row r="25" spans="1:8" x14ac:dyDescent="0.25">
      <c r="A25" s="83">
        <v>22</v>
      </c>
      <c r="B25" s="83" t="str">
        <f t="shared" si="0"/>
        <v>乔装</v>
      </c>
      <c r="C25" s="83" t="s">
        <v>547</v>
      </c>
      <c r="D25" s="84" t="s">
        <v>240</v>
      </c>
      <c r="E25" s="83" t="s">
        <v>256</v>
      </c>
      <c r="F25" s="84" t="s">
        <v>550</v>
      </c>
      <c r="G25" s="83" t="s">
        <v>610</v>
      </c>
      <c r="H25" s="84" t="s">
        <v>259</v>
      </c>
    </row>
    <row r="26" spans="1:8" x14ac:dyDescent="0.25">
      <c r="A26" s="83">
        <v>23</v>
      </c>
      <c r="B26" s="83" t="str">
        <f t="shared" si="0"/>
        <v>取悦</v>
      </c>
      <c r="C26" s="83" t="s">
        <v>235</v>
      </c>
      <c r="D26" s="84" t="s">
        <v>522</v>
      </c>
      <c r="E26" s="84" t="s">
        <v>479</v>
      </c>
      <c r="F26" s="84" t="s">
        <v>551</v>
      </c>
      <c r="G26" s="83" t="s">
        <v>544</v>
      </c>
      <c r="H26" s="84" t="s">
        <v>240</v>
      </c>
    </row>
    <row r="27" spans="1:8" x14ac:dyDescent="0.25">
      <c r="A27" s="83">
        <v>24</v>
      </c>
      <c r="B27" s="83" t="str">
        <f t="shared" si="0"/>
        <v>人类学</v>
      </c>
      <c r="C27" s="83" t="s">
        <v>241</v>
      </c>
      <c r="D27" s="84" t="s">
        <v>235</v>
      </c>
      <c r="E27" s="83" t="s">
        <v>368</v>
      </c>
      <c r="F27" s="84" t="s">
        <v>552</v>
      </c>
      <c r="G27" s="83" t="s">
        <v>238</v>
      </c>
      <c r="H27" s="84" t="s">
        <v>522</v>
      </c>
    </row>
    <row r="28" spans="1:8" x14ac:dyDescent="0.25">
      <c r="A28" s="83">
        <v>25</v>
      </c>
      <c r="B28" s="83" t="str">
        <f t="shared" si="0"/>
        <v>闪避</v>
      </c>
      <c r="C28" s="83" t="s">
        <v>548</v>
      </c>
      <c r="D28" s="84" t="s">
        <v>241</v>
      </c>
      <c r="E28" s="84" t="s">
        <v>259</v>
      </c>
      <c r="F28" s="84" t="s">
        <v>553</v>
      </c>
      <c r="G28" s="83" t="s">
        <v>546</v>
      </c>
      <c r="H28" s="84" t="s">
        <v>235</v>
      </c>
    </row>
    <row r="29" spans="1:8" x14ac:dyDescent="0.25">
      <c r="A29" s="83">
        <v>26</v>
      </c>
      <c r="B29" s="83" t="str">
        <f t="shared" si="0"/>
        <v>神秘学</v>
      </c>
      <c r="C29" s="83" t="s">
        <v>549</v>
      </c>
      <c r="D29" s="84" t="s">
        <v>252</v>
      </c>
      <c r="E29" s="84" t="s">
        <v>240</v>
      </c>
      <c r="F29" s="84" t="s">
        <v>554</v>
      </c>
      <c r="G29" s="83" t="s">
        <v>547</v>
      </c>
      <c r="H29" s="84" t="s">
        <v>241</v>
      </c>
    </row>
    <row r="30" spans="1:8" x14ac:dyDescent="0.25">
      <c r="A30" s="83">
        <v>27</v>
      </c>
      <c r="B30" s="83" t="str">
        <f t="shared" si="0"/>
        <v>说服</v>
      </c>
      <c r="C30" s="83" t="s">
        <v>597</v>
      </c>
      <c r="D30" s="84" t="s">
        <v>64</v>
      </c>
      <c r="E30" s="84" t="s">
        <v>522</v>
      </c>
      <c r="F30" s="84" t="s">
        <v>555</v>
      </c>
      <c r="G30" s="83" t="s">
        <v>235</v>
      </c>
      <c r="H30" s="84" t="s">
        <v>252</v>
      </c>
    </row>
    <row r="31" spans="1:8" x14ac:dyDescent="0.25">
      <c r="A31" s="83">
        <v>28</v>
      </c>
      <c r="B31" s="83" t="str">
        <f t="shared" si="0"/>
        <v>锁匠</v>
      </c>
      <c r="C31" s="83" t="s">
        <v>247</v>
      </c>
      <c r="D31" s="84" t="s">
        <v>249</v>
      </c>
      <c r="E31" s="84" t="s">
        <v>241</v>
      </c>
      <c r="F31" s="84" t="s">
        <v>556</v>
      </c>
      <c r="G31" s="83" t="s">
        <v>241</v>
      </c>
      <c r="H31" s="84" t="s">
        <v>64</v>
      </c>
    </row>
    <row r="32" spans="1:8" x14ac:dyDescent="0.25">
      <c r="A32" s="83">
        <v>29</v>
      </c>
      <c r="B32" s="83" t="str">
        <f t="shared" si="0"/>
        <v>跳跃</v>
      </c>
      <c r="C32" s="83" t="s">
        <v>550</v>
      </c>
      <c r="D32" s="84" t="s">
        <v>247</v>
      </c>
      <c r="E32" s="84" t="s">
        <v>252</v>
      </c>
      <c r="F32" s="85" t="s">
        <v>839</v>
      </c>
      <c r="G32" s="83" t="s">
        <v>548</v>
      </c>
      <c r="H32" s="84" t="s">
        <v>249</v>
      </c>
    </row>
    <row r="33" spans="1:8" x14ac:dyDescent="0.25">
      <c r="A33" s="83">
        <v>30</v>
      </c>
      <c r="B33" s="83" t="str">
        <f t="shared" si="0"/>
        <v>投掷</v>
      </c>
      <c r="C33" s="83" t="s">
        <v>551</v>
      </c>
      <c r="D33" s="84" t="s">
        <v>261</v>
      </c>
      <c r="E33" s="84" t="s">
        <v>64</v>
      </c>
      <c r="F33" s="85"/>
      <c r="G33" s="83" t="s">
        <v>549</v>
      </c>
      <c r="H33" s="84" t="s">
        <v>247</v>
      </c>
    </row>
    <row r="34" spans="1:8" x14ac:dyDescent="0.25">
      <c r="A34" s="83">
        <v>31</v>
      </c>
      <c r="B34" s="83" t="str">
        <f t="shared" si="0"/>
        <v>图书馆使用</v>
      </c>
      <c r="C34" s="83" t="s">
        <v>601</v>
      </c>
      <c r="D34" s="84" t="s">
        <v>327</v>
      </c>
      <c r="E34" s="84" t="s">
        <v>249</v>
      </c>
      <c r="F34" s="85"/>
      <c r="G34" s="83" t="s">
        <v>597</v>
      </c>
      <c r="H34" s="84" t="s">
        <v>261</v>
      </c>
    </row>
    <row r="35" spans="1:8" x14ac:dyDescent="0.25">
      <c r="A35" s="83">
        <v>32</v>
      </c>
      <c r="B35" s="83" t="str">
        <f t="shared" si="0"/>
        <v>心理学</v>
      </c>
      <c r="C35" s="83" t="s">
        <v>594</v>
      </c>
      <c r="D35" s="84" t="s">
        <v>255</v>
      </c>
      <c r="E35" s="84" t="s">
        <v>247</v>
      </c>
      <c r="F35" s="85"/>
      <c r="G35" s="83" t="s">
        <v>247</v>
      </c>
      <c r="H35" s="84" t="s">
        <v>327</v>
      </c>
    </row>
    <row r="36" spans="1:8" x14ac:dyDescent="0.25">
      <c r="A36" s="83">
        <v>33</v>
      </c>
      <c r="B36" s="83" t="str">
        <f t="shared" ref="B36:B67" si="1">IF(ISBLANK(LOOKUP(模板选择,模板名称,C36:AC36)),"",LOOKUP(模板选择,模板名称,C36:AC36))</f>
        <v>信用评级</v>
      </c>
      <c r="C36" s="83" t="s">
        <v>553</v>
      </c>
      <c r="D36" s="84" t="s">
        <v>325</v>
      </c>
      <c r="E36" s="84" t="s">
        <v>261</v>
      </c>
      <c r="F36" s="85"/>
      <c r="G36" s="83" t="s">
        <v>550</v>
      </c>
      <c r="H36" s="84" t="s">
        <v>255</v>
      </c>
    </row>
    <row r="37" spans="1:8" x14ac:dyDescent="0.25">
      <c r="A37" s="83">
        <v>34</v>
      </c>
      <c r="B37" s="83" t="str">
        <f t="shared" si="1"/>
        <v>医学</v>
      </c>
      <c r="C37" s="83" t="s">
        <v>554</v>
      </c>
      <c r="D37" s="84" t="s">
        <v>251</v>
      </c>
      <c r="E37" s="84" t="s">
        <v>327</v>
      </c>
      <c r="F37" s="85"/>
      <c r="G37" s="83" t="s">
        <v>551</v>
      </c>
      <c r="H37" s="84" t="s">
        <v>325</v>
      </c>
    </row>
    <row r="38" spans="1:8" x14ac:dyDescent="0.25">
      <c r="A38" s="83">
        <v>35</v>
      </c>
      <c r="B38" s="83" t="str">
        <f t="shared" si="1"/>
        <v>游泳</v>
      </c>
      <c r="C38" s="83" t="s">
        <v>555</v>
      </c>
      <c r="D38" s="84" t="s">
        <v>260</v>
      </c>
      <c r="E38" s="84" t="s">
        <v>255</v>
      </c>
      <c r="F38" s="85"/>
      <c r="G38" s="83" t="s">
        <v>608</v>
      </c>
      <c r="H38" s="84" t="s">
        <v>251</v>
      </c>
    </row>
    <row r="39" spans="1:8" x14ac:dyDescent="0.25">
      <c r="A39" s="83">
        <v>36</v>
      </c>
      <c r="B39" s="83" t="str">
        <f t="shared" si="1"/>
        <v>侦查</v>
      </c>
      <c r="C39" s="83" t="s">
        <v>556</v>
      </c>
      <c r="D39" s="84" t="s">
        <v>519</v>
      </c>
      <c r="E39" s="84" t="s">
        <v>325</v>
      </c>
      <c r="F39" s="85"/>
      <c r="G39" s="83" t="s">
        <v>601</v>
      </c>
      <c r="H39" s="84" t="s">
        <v>260</v>
      </c>
    </row>
    <row r="40" spans="1:8" x14ac:dyDescent="0.25">
      <c r="A40" s="83">
        <v>37</v>
      </c>
      <c r="B40" s="83" t="str">
        <f t="shared" si="1"/>
        <v>追踪</v>
      </c>
      <c r="D40" s="84" t="s">
        <v>257</v>
      </c>
      <c r="E40" s="84" t="s">
        <v>251</v>
      </c>
      <c r="F40" s="85"/>
      <c r="G40" s="83" t="s">
        <v>594</v>
      </c>
      <c r="H40" s="84" t="s">
        <v>519</v>
      </c>
    </row>
    <row r="41" spans="1:8" x14ac:dyDescent="0.25">
      <c r="A41" s="83">
        <v>38</v>
      </c>
      <c r="B41" s="83" t="str">
        <f t="shared" si="1"/>
        <v/>
      </c>
      <c r="D41" s="85"/>
      <c r="E41" s="84" t="s">
        <v>260</v>
      </c>
      <c r="F41" s="85"/>
      <c r="G41" s="83" t="s">
        <v>553</v>
      </c>
      <c r="H41" s="84" t="s">
        <v>257</v>
      </c>
    </row>
    <row r="42" spans="1:8" x14ac:dyDescent="0.25">
      <c r="A42" s="83">
        <v>39</v>
      </c>
      <c r="B42" s="83" t="str">
        <f t="shared" si="1"/>
        <v/>
      </c>
      <c r="D42" s="85"/>
      <c r="E42" s="84" t="s">
        <v>519</v>
      </c>
      <c r="F42" s="85"/>
      <c r="G42" s="83" t="s">
        <v>555</v>
      </c>
      <c r="H42" s="85"/>
    </row>
    <row r="43" spans="1:8" x14ac:dyDescent="0.25">
      <c r="A43" s="83">
        <v>40</v>
      </c>
      <c r="B43" s="83" t="str">
        <f t="shared" si="1"/>
        <v/>
      </c>
      <c r="D43" s="85"/>
      <c r="E43" s="84" t="s">
        <v>257</v>
      </c>
      <c r="F43" s="85"/>
      <c r="G43" s="83" t="s">
        <v>556</v>
      </c>
      <c r="H43" s="85"/>
    </row>
    <row r="44" spans="1:8" x14ac:dyDescent="0.25">
      <c r="A44" s="83">
        <v>41</v>
      </c>
      <c r="B44" s="83" t="str">
        <f t="shared" si="1"/>
        <v/>
      </c>
      <c r="D44" s="85"/>
      <c r="E44" s="85"/>
      <c r="F44" s="85"/>
      <c r="H44" s="85"/>
    </row>
    <row r="45" spans="1:8" x14ac:dyDescent="0.25">
      <c r="A45" s="83">
        <v>42</v>
      </c>
      <c r="B45" s="83" t="str">
        <f t="shared" si="1"/>
        <v/>
      </c>
      <c r="D45" s="85"/>
      <c r="E45" s="85"/>
      <c r="F45" s="85"/>
      <c r="H45" s="85"/>
    </row>
    <row r="46" spans="1:8" x14ac:dyDescent="0.25">
      <c r="A46" s="83" t="s">
        <v>557</v>
      </c>
      <c r="B46" s="83" t="str">
        <f t="shared" si="1"/>
        <v>技艺</v>
      </c>
      <c r="C46" s="85" t="s">
        <v>558</v>
      </c>
      <c r="D46" s="85" t="s">
        <v>558</v>
      </c>
      <c r="E46" s="85" t="s">
        <v>558</v>
      </c>
      <c r="F46" s="85" t="s">
        <v>574</v>
      </c>
      <c r="G46" s="85" t="s">
        <v>558</v>
      </c>
      <c r="H46" s="85" t="s">
        <v>558</v>
      </c>
    </row>
    <row r="47" spans="1:8" x14ac:dyDescent="0.25">
      <c r="A47" s="83" t="s">
        <v>559</v>
      </c>
      <c r="B47" s="83" t="str">
        <f t="shared" si="1"/>
        <v>技艺</v>
      </c>
      <c r="C47" s="85" t="s">
        <v>558</v>
      </c>
      <c r="D47" s="85" t="s">
        <v>558</v>
      </c>
      <c r="E47" s="85" t="s">
        <v>558</v>
      </c>
      <c r="F47" s="85" t="s">
        <v>558</v>
      </c>
      <c r="G47" s="85" t="s">
        <v>558</v>
      </c>
      <c r="H47" s="85" t="s">
        <v>558</v>
      </c>
    </row>
    <row r="48" spans="1:8" x14ac:dyDescent="0.25">
      <c r="A48" s="83" t="s">
        <v>560</v>
      </c>
      <c r="B48" s="83" t="str">
        <f t="shared" si="1"/>
        <v>技艺</v>
      </c>
      <c r="C48" s="85" t="s">
        <v>558</v>
      </c>
      <c r="D48" s="85" t="s">
        <v>558</v>
      </c>
      <c r="E48" s="85" t="s">
        <v>558</v>
      </c>
      <c r="F48" s="85" t="s">
        <v>558</v>
      </c>
      <c r="G48" s="85" t="s">
        <v>558</v>
      </c>
      <c r="H48" s="85" t="s">
        <v>558</v>
      </c>
    </row>
    <row r="49" spans="1:8" x14ac:dyDescent="0.25">
      <c r="A49" s="83" t="s">
        <v>561</v>
      </c>
      <c r="B49" s="83" t="str">
        <f t="shared" si="1"/>
        <v>格斗</v>
      </c>
      <c r="C49" s="85" t="s">
        <v>14</v>
      </c>
      <c r="D49" s="85" t="s">
        <v>14</v>
      </c>
      <c r="E49" s="85" t="s">
        <v>14</v>
      </c>
      <c r="F49" s="85" t="s">
        <v>14</v>
      </c>
      <c r="G49" s="85" t="s">
        <v>14</v>
      </c>
      <c r="H49" s="85" t="s">
        <v>14</v>
      </c>
    </row>
    <row r="50" spans="1:8" x14ac:dyDescent="0.25">
      <c r="A50" s="83" t="s">
        <v>562</v>
      </c>
      <c r="B50" s="83" t="str">
        <f t="shared" si="1"/>
        <v>格斗</v>
      </c>
      <c r="C50" s="85" t="s">
        <v>14</v>
      </c>
      <c r="D50" s="85" t="s">
        <v>14</v>
      </c>
      <c r="E50" s="85" t="s">
        <v>14</v>
      </c>
      <c r="F50" s="85" t="s">
        <v>14</v>
      </c>
      <c r="G50" s="85" t="s">
        <v>14</v>
      </c>
      <c r="H50" s="85" t="s">
        <v>14</v>
      </c>
    </row>
    <row r="51" spans="1:8" x14ac:dyDescent="0.25">
      <c r="A51" s="83" t="s">
        <v>563</v>
      </c>
      <c r="B51" s="83" t="str">
        <f t="shared" si="1"/>
        <v>格斗</v>
      </c>
      <c r="C51" s="85" t="s">
        <v>14</v>
      </c>
      <c r="D51" s="85" t="s">
        <v>14</v>
      </c>
      <c r="E51" s="85" t="s">
        <v>14</v>
      </c>
      <c r="F51" s="85" t="s">
        <v>14</v>
      </c>
      <c r="G51" s="85" t="s">
        <v>14</v>
      </c>
      <c r="H51" s="85" t="s">
        <v>14</v>
      </c>
    </row>
    <row r="52" spans="1:8" x14ac:dyDescent="0.25">
      <c r="A52" s="83" t="s">
        <v>564</v>
      </c>
      <c r="B52" s="83" t="str">
        <f t="shared" si="1"/>
        <v>射击</v>
      </c>
      <c r="C52" s="85" t="s">
        <v>61</v>
      </c>
      <c r="D52" s="85" t="s">
        <v>61</v>
      </c>
      <c r="E52" s="85" t="s">
        <v>61</v>
      </c>
      <c r="F52" s="85" t="s">
        <v>61</v>
      </c>
      <c r="G52" s="85" t="s">
        <v>61</v>
      </c>
      <c r="H52" s="85" t="s">
        <v>61</v>
      </c>
    </row>
    <row r="53" spans="1:8" x14ac:dyDescent="0.25">
      <c r="A53" s="83" t="s">
        <v>565</v>
      </c>
      <c r="B53" s="83" t="str">
        <f t="shared" si="1"/>
        <v>射击</v>
      </c>
      <c r="C53" s="85" t="s">
        <v>61</v>
      </c>
      <c r="D53" s="85" t="s">
        <v>61</v>
      </c>
      <c r="E53" s="85" t="s">
        <v>61</v>
      </c>
      <c r="F53" s="85" t="s">
        <v>61</v>
      </c>
      <c r="G53" s="85" t="s">
        <v>61</v>
      </c>
      <c r="H53" s="85" t="s">
        <v>61</v>
      </c>
    </row>
    <row r="54" spans="1:8" x14ac:dyDescent="0.25">
      <c r="A54" s="83" t="s">
        <v>566</v>
      </c>
      <c r="B54" s="83" t="str">
        <f t="shared" si="1"/>
        <v>射击</v>
      </c>
      <c r="C54" s="85" t="s">
        <v>61</v>
      </c>
      <c r="D54" s="85" t="s">
        <v>61</v>
      </c>
      <c r="E54" s="85" t="s">
        <v>61</v>
      </c>
      <c r="F54" s="85" t="s">
        <v>61</v>
      </c>
      <c r="G54" s="85" t="s">
        <v>61</v>
      </c>
      <c r="H54" s="85" t="s">
        <v>61</v>
      </c>
    </row>
    <row r="55" spans="1:8" x14ac:dyDescent="0.25">
      <c r="A55" s="83" t="s">
        <v>567</v>
      </c>
      <c r="B55" s="83" t="str">
        <f t="shared" si="1"/>
        <v>母语</v>
      </c>
      <c r="C55" s="88" t="s">
        <v>571</v>
      </c>
      <c r="D55" s="88" t="s">
        <v>571</v>
      </c>
      <c r="E55" s="88" t="s">
        <v>571</v>
      </c>
      <c r="F55" s="88" t="s">
        <v>571</v>
      </c>
      <c r="G55" s="88" t="s">
        <v>571</v>
      </c>
      <c r="H55" s="88" t="s">
        <v>571</v>
      </c>
    </row>
    <row r="56" spans="1:8" x14ac:dyDescent="0.25">
      <c r="A56" s="83" t="s">
        <v>569</v>
      </c>
      <c r="B56" s="83" t="str">
        <f t="shared" si="1"/>
        <v>语言</v>
      </c>
      <c r="C56" s="85" t="s">
        <v>568</v>
      </c>
      <c r="D56" s="85" t="s">
        <v>568</v>
      </c>
      <c r="E56" s="85" t="s">
        <v>568</v>
      </c>
      <c r="F56" s="85" t="s">
        <v>568</v>
      </c>
      <c r="G56" s="85" t="s">
        <v>568</v>
      </c>
      <c r="H56" s="85" t="s">
        <v>568</v>
      </c>
    </row>
    <row r="57" spans="1:8" x14ac:dyDescent="0.25">
      <c r="A57" s="83" t="s">
        <v>570</v>
      </c>
      <c r="B57" s="83" t="str">
        <f t="shared" si="1"/>
        <v>语言</v>
      </c>
      <c r="C57" s="85" t="s">
        <v>568</v>
      </c>
      <c r="D57" s="85" t="s">
        <v>568</v>
      </c>
      <c r="E57" s="85" t="s">
        <v>568</v>
      </c>
      <c r="F57" s="85" t="s">
        <v>568</v>
      </c>
      <c r="G57" s="85" t="s">
        <v>568</v>
      </c>
      <c r="H57" s="85" t="s">
        <v>568</v>
      </c>
    </row>
    <row r="58" spans="1:8" x14ac:dyDescent="0.25">
      <c r="A58" s="83" t="s">
        <v>572</v>
      </c>
      <c r="B58" s="83" t="str">
        <f t="shared" si="1"/>
        <v>语言</v>
      </c>
      <c r="C58" s="85" t="s">
        <v>573</v>
      </c>
      <c r="D58" s="85" t="s">
        <v>568</v>
      </c>
      <c r="E58" s="85" t="s">
        <v>571</v>
      </c>
      <c r="F58" s="85" t="s">
        <v>10</v>
      </c>
      <c r="G58" s="83" t="s">
        <v>611</v>
      </c>
      <c r="H58" s="85" t="s">
        <v>573</v>
      </c>
    </row>
    <row r="59" spans="1:8" x14ac:dyDescent="0.25">
      <c r="A59" s="83" t="s">
        <v>575</v>
      </c>
      <c r="B59" s="83" t="str">
        <f t="shared" si="1"/>
        <v>操纵</v>
      </c>
      <c r="C59" s="85" t="s">
        <v>573</v>
      </c>
      <c r="D59" s="85" t="s">
        <v>573</v>
      </c>
      <c r="E59" s="85" t="s">
        <v>573</v>
      </c>
      <c r="F59" s="83" t="s">
        <v>339</v>
      </c>
      <c r="G59" s="83" t="s">
        <v>573</v>
      </c>
      <c r="H59" s="85" t="s">
        <v>10</v>
      </c>
    </row>
    <row r="60" spans="1:8" x14ac:dyDescent="0.25">
      <c r="A60" s="83" t="s">
        <v>576</v>
      </c>
      <c r="B60" s="83" t="str">
        <f t="shared" si="1"/>
        <v>科学</v>
      </c>
      <c r="C60" s="85" t="s">
        <v>10</v>
      </c>
      <c r="D60" s="85" t="s">
        <v>10</v>
      </c>
      <c r="E60" s="85" t="s">
        <v>10</v>
      </c>
      <c r="F60" s="83" t="s">
        <v>587</v>
      </c>
      <c r="G60" s="85" t="s">
        <v>10</v>
      </c>
      <c r="H60" s="85" t="s">
        <v>10</v>
      </c>
    </row>
    <row r="61" spans="1:8" x14ac:dyDescent="0.25">
      <c r="A61" s="83" t="s">
        <v>577</v>
      </c>
      <c r="B61" s="83" t="str">
        <f t="shared" si="1"/>
        <v>科学</v>
      </c>
      <c r="C61" s="85" t="s">
        <v>10</v>
      </c>
      <c r="D61" s="85" t="s">
        <v>10</v>
      </c>
      <c r="E61" s="85" t="s">
        <v>10</v>
      </c>
      <c r="F61" s="83" t="s">
        <v>587</v>
      </c>
      <c r="G61" s="85" t="s">
        <v>10</v>
      </c>
      <c r="H61" s="85" t="s">
        <v>10</v>
      </c>
    </row>
    <row r="62" spans="1:8" x14ac:dyDescent="0.25">
      <c r="A62" s="83" t="s">
        <v>578</v>
      </c>
      <c r="B62" s="83" t="str">
        <f t="shared" si="1"/>
        <v>科学</v>
      </c>
      <c r="C62" s="85" t="s">
        <v>10</v>
      </c>
      <c r="D62" s="85" t="s">
        <v>10</v>
      </c>
      <c r="E62" s="85" t="s">
        <v>10</v>
      </c>
      <c r="F62" s="83" t="s">
        <v>586</v>
      </c>
      <c r="G62" s="85" t="s">
        <v>10</v>
      </c>
      <c r="H62" s="85" t="s">
        <v>10</v>
      </c>
    </row>
    <row r="63" spans="1:8" x14ac:dyDescent="0.25">
      <c r="A63" s="83" t="s">
        <v>580</v>
      </c>
      <c r="B63" s="83" t="str">
        <f t="shared" si="1"/>
        <v>生存</v>
      </c>
      <c r="C63" s="85" t="s">
        <v>579</v>
      </c>
      <c r="D63" s="85" t="s">
        <v>579</v>
      </c>
      <c r="E63" s="85" t="s">
        <v>579</v>
      </c>
      <c r="F63" s="83" t="s">
        <v>586</v>
      </c>
      <c r="G63" s="85" t="s">
        <v>579</v>
      </c>
      <c r="H63" s="85" t="s">
        <v>579</v>
      </c>
    </row>
    <row r="64" spans="1:8" x14ac:dyDescent="0.25">
      <c r="A64" s="83" t="s">
        <v>581</v>
      </c>
      <c r="B64" s="83" t="str">
        <f t="shared" si="1"/>
        <v/>
      </c>
      <c r="C64" s="85"/>
      <c r="D64" s="85"/>
      <c r="E64" s="85"/>
      <c r="F64" s="85"/>
      <c r="H64" s="85"/>
    </row>
    <row r="65" spans="1:8" x14ac:dyDescent="0.25">
      <c r="A65" s="83" t="s">
        <v>582</v>
      </c>
      <c r="B65" s="83" t="str">
        <f t="shared" si="1"/>
        <v/>
      </c>
      <c r="D65" s="85"/>
      <c r="E65" s="85"/>
      <c r="F65" s="85"/>
      <c r="H65" s="85"/>
    </row>
    <row r="66" spans="1:8" x14ac:dyDescent="0.25">
      <c r="A66" s="83" t="s">
        <v>583</v>
      </c>
      <c r="B66" s="83" t="str">
        <f t="shared" si="1"/>
        <v/>
      </c>
      <c r="D66" s="85"/>
      <c r="E66" s="85"/>
      <c r="H66" s="85"/>
    </row>
    <row r="67" spans="1:8" x14ac:dyDescent="0.25">
      <c r="A67" s="83" t="s">
        <v>622</v>
      </c>
      <c r="B67" s="83" t="str">
        <f t="shared" si="1"/>
        <v>斧</v>
      </c>
      <c r="C67" s="83" t="s">
        <v>228</v>
      </c>
      <c r="D67" s="83" t="s">
        <v>228</v>
      </c>
      <c r="E67" s="83" t="s">
        <v>228</v>
      </c>
      <c r="F67" s="83" t="s">
        <v>228</v>
      </c>
      <c r="G67" s="83" t="s">
        <v>228</v>
      </c>
      <c r="H67" s="83" t="s">
        <v>228</v>
      </c>
    </row>
    <row r="68" spans="1:8" x14ac:dyDescent="0.25">
      <c r="A68" s="83" t="s">
        <v>623</v>
      </c>
      <c r="B68" s="83" t="str">
        <f t="shared" ref="B68:B90" si="2">IF(ISBLANK(LOOKUP(模板选择,模板名称,C68:AC68)),"",LOOKUP(模板选择,模板名称,C68:AC68))</f>
        <v>斗殴</v>
      </c>
      <c r="C68" s="83" t="s">
        <v>62</v>
      </c>
      <c r="D68" s="83" t="s">
        <v>62</v>
      </c>
      <c r="E68" s="83" t="s">
        <v>62</v>
      </c>
      <c r="F68" s="83" t="s">
        <v>62</v>
      </c>
      <c r="G68" s="83" t="s">
        <v>62</v>
      </c>
      <c r="H68" s="83" t="s">
        <v>62</v>
      </c>
    </row>
    <row r="69" spans="1:8" x14ac:dyDescent="0.25">
      <c r="A69" s="83" t="s">
        <v>624</v>
      </c>
      <c r="B69" s="83" t="str">
        <f>IF(ISBLANK(LOOKUP(模板选择,模板名称,C69:AC69)),"",LOOKUP(模板选择,模板名称,C69:AC69))</f>
        <v>链锯</v>
      </c>
      <c r="C69" s="83" t="s">
        <v>656</v>
      </c>
      <c r="D69" s="83" t="s">
        <v>617</v>
      </c>
      <c r="E69" s="83" t="s">
        <v>617</v>
      </c>
      <c r="F69" s="83" t="s">
        <v>619</v>
      </c>
      <c r="G69" s="83" t="s">
        <v>617</v>
      </c>
      <c r="H69" s="83" t="s">
        <v>617</v>
      </c>
    </row>
    <row r="70" spans="1:8" x14ac:dyDescent="0.25">
      <c r="A70" s="83" t="s">
        <v>625</v>
      </c>
      <c r="B70" s="83" t="str">
        <f t="shared" si="2"/>
        <v>连枷</v>
      </c>
      <c r="C70" s="83" t="s">
        <v>344</v>
      </c>
      <c r="D70" s="83" t="s">
        <v>656</v>
      </c>
      <c r="E70" s="83" t="s">
        <v>656</v>
      </c>
      <c r="F70" s="83" t="s">
        <v>344</v>
      </c>
      <c r="G70" s="83" t="s">
        <v>656</v>
      </c>
      <c r="H70" s="83" t="s">
        <v>656</v>
      </c>
    </row>
    <row r="71" spans="1:8" x14ac:dyDescent="0.25">
      <c r="A71" s="83" t="s">
        <v>626</v>
      </c>
      <c r="B71" s="83" t="str">
        <f t="shared" si="2"/>
        <v>绞索</v>
      </c>
      <c r="C71" s="83" t="s">
        <v>28</v>
      </c>
      <c r="D71" s="83" t="s">
        <v>344</v>
      </c>
      <c r="E71" s="83" t="s">
        <v>344</v>
      </c>
      <c r="F71" s="83" t="s">
        <v>631</v>
      </c>
      <c r="G71" s="83" t="s">
        <v>344</v>
      </c>
      <c r="H71" s="83" t="s">
        <v>344</v>
      </c>
    </row>
    <row r="72" spans="1:8" x14ac:dyDescent="0.25">
      <c r="A72" s="83" t="s">
        <v>627</v>
      </c>
      <c r="B72" s="83" t="str">
        <f t="shared" si="2"/>
        <v>矛</v>
      </c>
      <c r="C72" s="83" t="s">
        <v>618</v>
      </c>
      <c r="D72" s="83" t="s">
        <v>28</v>
      </c>
      <c r="E72" s="83" t="s">
        <v>28</v>
      </c>
      <c r="F72" s="83" t="s">
        <v>632</v>
      </c>
      <c r="G72" s="83" t="s">
        <v>28</v>
      </c>
      <c r="H72" s="83" t="s">
        <v>28</v>
      </c>
    </row>
    <row r="73" spans="1:8" x14ac:dyDescent="0.25">
      <c r="A73" s="83" t="s">
        <v>628</v>
      </c>
      <c r="B73" s="83" t="str">
        <f t="shared" si="2"/>
        <v>刀剑</v>
      </c>
      <c r="C73" s="83" t="s">
        <v>616</v>
      </c>
      <c r="D73" s="83" t="s">
        <v>618</v>
      </c>
      <c r="E73" s="83" t="s">
        <v>618</v>
      </c>
      <c r="F73" s="83" t="s">
        <v>633</v>
      </c>
      <c r="G73" s="83" t="s">
        <v>618</v>
      </c>
      <c r="H73" s="83" t="s">
        <v>618</v>
      </c>
    </row>
    <row r="74" spans="1:8" x14ac:dyDescent="0.25">
      <c r="A74" s="83" t="s">
        <v>629</v>
      </c>
      <c r="B74" s="83" t="str">
        <f t="shared" si="2"/>
        <v>鞭</v>
      </c>
      <c r="D74" s="83" t="s">
        <v>616</v>
      </c>
      <c r="E74" s="83" t="s">
        <v>616</v>
      </c>
      <c r="F74" s="83" t="s">
        <v>28</v>
      </c>
      <c r="G74" s="83" t="s">
        <v>616</v>
      </c>
      <c r="H74" s="83" t="s">
        <v>616</v>
      </c>
    </row>
    <row r="75" spans="1:8" x14ac:dyDescent="0.25">
      <c r="A75" s="83" t="s">
        <v>630</v>
      </c>
      <c r="B75" s="83" t="str">
        <f t="shared" si="2"/>
        <v/>
      </c>
      <c r="D75" s="85"/>
      <c r="E75" s="85"/>
      <c r="F75" s="83" t="s">
        <v>634</v>
      </c>
      <c r="H75" s="85"/>
    </row>
    <row r="76" spans="1:8" x14ac:dyDescent="0.25">
      <c r="A76" s="83" t="s">
        <v>635</v>
      </c>
      <c r="B76" s="83" t="str">
        <f t="shared" si="2"/>
        <v/>
      </c>
      <c r="D76" s="85"/>
      <c r="E76" s="85"/>
      <c r="F76" s="83" t="s">
        <v>618</v>
      </c>
      <c r="H76" s="85"/>
    </row>
    <row r="77" spans="1:8" x14ac:dyDescent="0.25">
      <c r="A77" s="83" t="s">
        <v>668</v>
      </c>
      <c r="B77" s="83" t="str">
        <f t="shared" si="2"/>
        <v/>
      </c>
      <c r="D77" s="85"/>
      <c r="E77" s="85"/>
      <c r="H77" s="85"/>
    </row>
    <row r="78" spans="1:8" x14ac:dyDescent="0.25">
      <c r="A78" s="83" t="s">
        <v>669</v>
      </c>
      <c r="B78" s="83" t="str">
        <f t="shared" si="2"/>
        <v/>
      </c>
      <c r="D78" s="85"/>
      <c r="E78" s="85"/>
      <c r="H78" s="85"/>
    </row>
    <row r="79" spans="1:8" x14ac:dyDescent="0.25">
      <c r="A79" s="83" t="s">
        <v>670</v>
      </c>
      <c r="B79" s="83" t="str">
        <f t="shared" si="2"/>
        <v/>
      </c>
      <c r="D79" s="85"/>
      <c r="E79" s="85"/>
      <c r="H79" s="85"/>
    </row>
    <row r="80" spans="1:8" x14ac:dyDescent="0.25">
      <c r="A80" s="83" t="s">
        <v>671</v>
      </c>
      <c r="B80" s="83" t="str">
        <f t="shared" si="2"/>
        <v/>
      </c>
      <c r="D80" s="85"/>
      <c r="E80" s="85"/>
      <c r="H80" s="85"/>
    </row>
    <row r="81" spans="1:8" x14ac:dyDescent="0.25">
      <c r="A81" s="83" t="s">
        <v>672</v>
      </c>
      <c r="B81" s="83" t="str">
        <f t="shared" si="2"/>
        <v/>
      </c>
      <c r="D81" s="85"/>
      <c r="E81" s="85"/>
      <c r="H81" s="85"/>
    </row>
    <row r="82" spans="1:8" x14ac:dyDescent="0.25">
      <c r="A82" s="83" t="s">
        <v>636</v>
      </c>
      <c r="B82" s="83" t="str">
        <f t="shared" si="2"/>
        <v>弓</v>
      </c>
      <c r="C82" s="83" t="s">
        <v>268</v>
      </c>
      <c r="D82" s="83" t="s">
        <v>268</v>
      </c>
      <c r="E82" s="83" t="s">
        <v>268</v>
      </c>
      <c r="F82" s="83" t="s">
        <v>268</v>
      </c>
      <c r="G82" s="83" t="s">
        <v>268</v>
      </c>
      <c r="H82" s="83" t="s">
        <v>268</v>
      </c>
    </row>
    <row r="83" spans="1:8" x14ac:dyDescent="0.25">
      <c r="A83" s="83" t="s">
        <v>637</v>
      </c>
      <c r="B83" s="83" t="str">
        <f t="shared" si="2"/>
        <v>手枪</v>
      </c>
      <c r="C83" s="83" t="s">
        <v>54</v>
      </c>
      <c r="D83" s="83" t="s">
        <v>54</v>
      </c>
      <c r="E83" s="83" t="s">
        <v>54</v>
      </c>
      <c r="F83" s="83" t="s">
        <v>642</v>
      </c>
      <c r="G83" s="83" t="s">
        <v>54</v>
      </c>
      <c r="H83" s="83" t="s">
        <v>54</v>
      </c>
    </row>
    <row r="84" spans="1:8" x14ac:dyDescent="0.25">
      <c r="A84" s="83" t="s">
        <v>638</v>
      </c>
      <c r="B84" s="83" t="str">
        <f>IF(ISBLANK(LOOKUP(模板选择,模板名称,C84:AC84)),"",LOOKUP(模板选择,模板名称,C84:AC84))</f>
        <v>重武器</v>
      </c>
      <c r="C84" s="83" t="s">
        <v>53</v>
      </c>
      <c r="D84" s="83" t="s">
        <v>55</v>
      </c>
      <c r="E84" s="83" t="s">
        <v>55</v>
      </c>
      <c r="F84" s="83" t="s">
        <v>643</v>
      </c>
      <c r="G84" s="83" t="s">
        <v>55</v>
      </c>
      <c r="H84" s="83" t="s">
        <v>55</v>
      </c>
    </row>
    <row r="85" spans="1:8" x14ac:dyDescent="0.25">
      <c r="A85" s="83" t="s">
        <v>639</v>
      </c>
      <c r="B85" s="83" t="str">
        <f t="shared" si="2"/>
        <v>火焰喷射器</v>
      </c>
      <c r="C85" s="83" t="s">
        <v>378</v>
      </c>
      <c r="D85" s="83" t="s">
        <v>53</v>
      </c>
      <c r="E85" s="83" t="s">
        <v>53</v>
      </c>
      <c r="F85" s="83" t="s">
        <v>644</v>
      </c>
      <c r="G85" s="83" t="s">
        <v>53</v>
      </c>
      <c r="H85" s="83" t="s">
        <v>53</v>
      </c>
    </row>
    <row r="86" spans="1:8" x14ac:dyDescent="0.25">
      <c r="A86" s="83" t="s">
        <v>640</v>
      </c>
      <c r="B86" s="83" t="str">
        <f t="shared" si="2"/>
        <v>机枪</v>
      </c>
      <c r="C86" s="83" t="s">
        <v>269</v>
      </c>
      <c r="D86" s="83" t="s">
        <v>378</v>
      </c>
      <c r="E86" s="83" t="s">
        <v>378</v>
      </c>
      <c r="G86" s="83" t="s">
        <v>378</v>
      </c>
      <c r="H86" s="83" t="s">
        <v>378</v>
      </c>
    </row>
    <row r="87" spans="1:8" x14ac:dyDescent="0.25">
      <c r="A87" s="83" t="s">
        <v>641</v>
      </c>
      <c r="B87" s="83" t="str">
        <f t="shared" si="2"/>
        <v>步枪/霰弹枪</v>
      </c>
      <c r="C87" s="83" t="s">
        <v>52</v>
      </c>
      <c r="D87" s="83" t="s">
        <v>269</v>
      </c>
      <c r="E87" s="83" t="s">
        <v>269</v>
      </c>
      <c r="G87" s="83" t="s">
        <v>269</v>
      </c>
      <c r="H87" s="83" t="s">
        <v>269</v>
      </c>
    </row>
    <row r="88" spans="1:8" x14ac:dyDescent="0.25">
      <c r="A88" s="83" t="s">
        <v>646</v>
      </c>
      <c r="B88" s="83" t="str">
        <f t="shared" si="2"/>
        <v>冲锋枪</v>
      </c>
      <c r="D88" s="83" t="s">
        <v>52</v>
      </c>
      <c r="E88" s="83" t="s">
        <v>52</v>
      </c>
      <c r="G88" s="83" t="s">
        <v>52</v>
      </c>
      <c r="H88" s="83" t="s">
        <v>52</v>
      </c>
    </row>
    <row r="89" spans="1:8" x14ac:dyDescent="0.25">
      <c r="A89" s="83" t="s">
        <v>647</v>
      </c>
      <c r="B89" s="83" t="str">
        <f t="shared" si="2"/>
        <v/>
      </c>
      <c r="D89" s="85"/>
      <c r="E89" s="85"/>
      <c r="G89" s="83" t="s">
        <v>649</v>
      </c>
      <c r="H89" s="85"/>
    </row>
    <row r="90" spans="1:8" x14ac:dyDescent="0.25">
      <c r="A90" s="83" t="s">
        <v>648</v>
      </c>
      <c r="B90" s="83" t="str">
        <f t="shared" si="2"/>
        <v/>
      </c>
      <c r="D90" s="85"/>
      <c r="E90" s="85"/>
      <c r="G90" s="83" t="s">
        <v>650</v>
      </c>
      <c r="H90" s="85"/>
    </row>
    <row r="91" spans="1:8" x14ac:dyDescent="0.25">
      <c r="A91" s="83" t="s">
        <v>673</v>
      </c>
      <c r="D91" s="85"/>
      <c r="E91" s="85"/>
      <c r="H91" s="85"/>
    </row>
    <row r="92" spans="1:8" x14ac:dyDescent="0.25">
      <c r="A92" s="83" t="s">
        <v>674</v>
      </c>
      <c r="D92" s="85"/>
      <c r="E92" s="85"/>
      <c r="H92" s="85"/>
    </row>
    <row r="93" spans="1:8" x14ac:dyDescent="0.25">
      <c r="A93" s="83" t="s">
        <v>675</v>
      </c>
      <c r="D93" s="85"/>
      <c r="E93" s="85"/>
      <c r="H93" s="85"/>
    </row>
    <row r="94" spans="1:8" x14ac:dyDescent="0.25">
      <c r="A94" s="83" t="s">
        <v>676</v>
      </c>
      <c r="D94" s="85"/>
      <c r="E94" s="85"/>
      <c r="H94" s="85"/>
    </row>
    <row r="95" spans="1:8" x14ac:dyDescent="0.25">
      <c r="A95" s="83" t="s">
        <v>677</v>
      </c>
    </row>
    <row r="96" spans="1:8" x14ac:dyDescent="0.25">
      <c r="A96" s="83" t="s">
        <v>678</v>
      </c>
    </row>
    <row r="98" spans="1:8" x14ac:dyDescent="0.25">
      <c r="B98" s="83" t="s">
        <v>614</v>
      </c>
    </row>
    <row r="99" spans="1:8" x14ac:dyDescent="0.25">
      <c r="A99" s="83" t="s">
        <v>366</v>
      </c>
      <c r="B99" s="83">
        <f t="shared" ref="B99:B129" si="3">IF(ISBLANK(LOOKUP(模板选择,模板名称,C99:AC99)),"",LOOKUP(模板选择,模板名称,C99:AC99))</f>
        <v>1</v>
      </c>
      <c r="C99" s="83">
        <v>1</v>
      </c>
      <c r="D99" s="83">
        <v>1</v>
      </c>
      <c r="E99" s="83">
        <v>1</v>
      </c>
      <c r="F99" s="83" t="s">
        <v>32</v>
      </c>
      <c r="G99" s="83">
        <v>1</v>
      </c>
      <c r="H99" s="83">
        <v>1</v>
      </c>
    </row>
    <row r="100" spans="1:8" x14ac:dyDescent="0.25">
      <c r="A100" s="84" t="s">
        <v>339</v>
      </c>
      <c r="B100" s="83">
        <f t="shared" si="3"/>
        <v>10</v>
      </c>
      <c r="C100" s="83">
        <v>10</v>
      </c>
      <c r="D100" s="83">
        <v>10</v>
      </c>
      <c r="E100" s="83">
        <v>10</v>
      </c>
      <c r="F100" s="83" t="s">
        <v>32</v>
      </c>
      <c r="G100" s="83">
        <v>10</v>
      </c>
      <c r="H100" s="83">
        <v>10</v>
      </c>
    </row>
    <row r="101" spans="1:8" x14ac:dyDescent="0.25">
      <c r="A101" s="83" t="s">
        <v>535</v>
      </c>
      <c r="B101" s="83" t="str">
        <f t="shared" si="3"/>
        <v>——</v>
      </c>
      <c r="C101" s="83" t="s">
        <v>32</v>
      </c>
      <c r="D101" s="83" t="s">
        <v>32</v>
      </c>
      <c r="E101" s="83" t="s">
        <v>32</v>
      </c>
      <c r="F101" s="83">
        <v>1</v>
      </c>
      <c r="G101" s="83" t="s">
        <v>32</v>
      </c>
      <c r="H101" s="83" t="s">
        <v>32</v>
      </c>
    </row>
    <row r="102" spans="1:8" x14ac:dyDescent="0.25">
      <c r="A102" s="83" t="s">
        <v>253</v>
      </c>
      <c r="B102" s="83">
        <f t="shared" si="3"/>
        <v>1</v>
      </c>
      <c r="C102" s="83">
        <v>1</v>
      </c>
      <c r="D102" s="83">
        <v>1</v>
      </c>
      <c r="E102" s="83">
        <v>1</v>
      </c>
      <c r="F102" s="83" t="s">
        <v>32</v>
      </c>
      <c r="G102" s="83">
        <v>1</v>
      </c>
      <c r="H102" s="83">
        <v>1</v>
      </c>
    </row>
    <row r="103" spans="1:8" x14ac:dyDescent="0.25">
      <c r="A103" s="83" t="s">
        <v>536</v>
      </c>
      <c r="B103" s="83" t="str">
        <f t="shared" si="3"/>
        <v>——</v>
      </c>
      <c r="C103" s="83" t="s">
        <v>32</v>
      </c>
      <c r="D103" s="83" t="s">
        <v>32</v>
      </c>
      <c r="E103" s="83" t="s">
        <v>32</v>
      </c>
      <c r="F103" s="83">
        <v>5</v>
      </c>
      <c r="G103" s="83" t="s">
        <v>32</v>
      </c>
      <c r="H103" s="83" t="s">
        <v>32</v>
      </c>
    </row>
    <row r="104" spans="1:8" x14ac:dyDescent="0.25">
      <c r="A104" s="83" t="s">
        <v>523</v>
      </c>
      <c r="B104" s="83">
        <f t="shared" si="3"/>
        <v>10</v>
      </c>
      <c r="C104" s="83">
        <v>10</v>
      </c>
      <c r="D104" s="83">
        <v>10</v>
      </c>
      <c r="E104" s="83">
        <v>10</v>
      </c>
      <c r="F104" s="83">
        <v>10</v>
      </c>
      <c r="G104" s="83">
        <v>10</v>
      </c>
      <c r="H104" s="83">
        <v>10</v>
      </c>
    </row>
    <row r="105" spans="1:8" x14ac:dyDescent="0.25">
      <c r="A105" s="83" t="s">
        <v>242</v>
      </c>
      <c r="B105" s="83">
        <f t="shared" si="3"/>
        <v>10</v>
      </c>
      <c r="C105" s="83">
        <v>1</v>
      </c>
      <c r="D105" s="83">
        <v>10</v>
      </c>
      <c r="E105" s="83">
        <v>10</v>
      </c>
      <c r="F105" s="83" t="s">
        <v>32</v>
      </c>
      <c r="G105" s="83">
        <v>10</v>
      </c>
      <c r="H105" s="83">
        <v>10</v>
      </c>
    </row>
    <row r="106" spans="1:8" x14ac:dyDescent="0.25">
      <c r="A106" s="83" t="s">
        <v>539</v>
      </c>
      <c r="B106" s="83" t="str">
        <f t="shared" si="3"/>
        <v>——</v>
      </c>
      <c r="C106" s="83" t="s">
        <v>32</v>
      </c>
      <c r="D106" s="83" t="s">
        <v>32</v>
      </c>
      <c r="E106" s="83" t="s">
        <v>32</v>
      </c>
      <c r="F106" s="83" t="s">
        <v>32</v>
      </c>
      <c r="G106" s="83">
        <v>1</v>
      </c>
      <c r="H106" s="83">
        <v>1</v>
      </c>
    </row>
    <row r="107" spans="1:8" x14ac:dyDescent="0.25">
      <c r="A107" s="83" t="s">
        <v>538</v>
      </c>
      <c r="B107" s="83">
        <f t="shared" si="3"/>
        <v>5</v>
      </c>
      <c r="C107" s="83">
        <v>5</v>
      </c>
      <c r="D107" s="83">
        <v>5</v>
      </c>
      <c r="E107" s="83">
        <v>5</v>
      </c>
      <c r="F107" s="83">
        <v>5</v>
      </c>
      <c r="G107" s="83">
        <v>5</v>
      </c>
      <c r="H107" s="83">
        <v>5</v>
      </c>
    </row>
    <row r="108" spans="1:8" x14ac:dyDescent="0.25">
      <c r="A108" s="83" t="s">
        <v>343</v>
      </c>
      <c r="B108" s="83">
        <f t="shared" si="3"/>
        <v>1</v>
      </c>
      <c r="C108" s="83">
        <v>1</v>
      </c>
      <c r="D108" s="83">
        <v>1</v>
      </c>
      <c r="E108" s="83">
        <v>1</v>
      </c>
      <c r="F108" s="83" t="s">
        <v>32</v>
      </c>
      <c r="G108" s="83">
        <v>1</v>
      </c>
      <c r="H108" s="83">
        <v>1</v>
      </c>
    </row>
    <row r="109" spans="1:8" x14ac:dyDescent="0.25">
      <c r="A109" s="83" t="s">
        <v>9</v>
      </c>
      <c r="B109" s="83">
        <f t="shared" si="3"/>
        <v>5</v>
      </c>
      <c r="C109" s="83">
        <v>5</v>
      </c>
      <c r="D109" s="83">
        <v>5</v>
      </c>
      <c r="E109" s="83">
        <v>5</v>
      </c>
      <c r="F109" s="83" t="s">
        <v>32</v>
      </c>
      <c r="G109" s="83">
        <v>5</v>
      </c>
      <c r="H109" s="83">
        <v>5</v>
      </c>
    </row>
    <row r="110" spans="1:8" x14ac:dyDescent="0.25">
      <c r="A110" s="83" t="s">
        <v>236</v>
      </c>
      <c r="B110" s="83">
        <f t="shared" si="3"/>
        <v>5</v>
      </c>
      <c r="C110" s="83">
        <v>5</v>
      </c>
      <c r="D110" s="83">
        <v>5</v>
      </c>
      <c r="E110" s="83">
        <v>5</v>
      </c>
      <c r="F110" s="83">
        <v>5</v>
      </c>
      <c r="G110" s="83">
        <v>5</v>
      </c>
      <c r="H110" s="83">
        <v>5</v>
      </c>
    </row>
    <row r="111" spans="1:8" x14ac:dyDescent="0.25">
      <c r="A111" s="83" t="s">
        <v>243</v>
      </c>
      <c r="B111" s="83">
        <f t="shared" si="3"/>
        <v>5</v>
      </c>
      <c r="C111" s="83">
        <v>5</v>
      </c>
      <c r="D111" s="83">
        <v>5</v>
      </c>
      <c r="E111" s="83">
        <v>5</v>
      </c>
      <c r="F111" s="83">
        <v>5</v>
      </c>
      <c r="G111" s="83">
        <v>5</v>
      </c>
      <c r="H111" s="83">
        <v>5</v>
      </c>
    </row>
    <row r="112" spans="1:8" x14ac:dyDescent="0.25">
      <c r="A112" s="83" t="s">
        <v>326</v>
      </c>
      <c r="B112" s="83">
        <f t="shared" si="3"/>
        <v>5</v>
      </c>
      <c r="C112" s="83">
        <v>5</v>
      </c>
      <c r="D112" s="83">
        <v>5</v>
      </c>
      <c r="E112" s="83">
        <v>5</v>
      </c>
      <c r="F112" s="83">
        <v>10</v>
      </c>
      <c r="G112" s="83">
        <v>5</v>
      </c>
      <c r="H112" s="83">
        <v>5</v>
      </c>
    </row>
    <row r="113" spans="1:8" x14ac:dyDescent="0.25">
      <c r="A113" s="83" t="s">
        <v>250</v>
      </c>
      <c r="B113" s="83">
        <f t="shared" si="3"/>
        <v>10</v>
      </c>
      <c r="C113" s="83">
        <v>10</v>
      </c>
      <c r="D113" s="83">
        <v>10</v>
      </c>
      <c r="E113" s="83">
        <v>10</v>
      </c>
      <c r="F113" s="83" t="s">
        <v>32</v>
      </c>
      <c r="G113" s="83">
        <v>10</v>
      </c>
      <c r="H113" s="83">
        <v>10</v>
      </c>
    </row>
    <row r="114" spans="1:8" x14ac:dyDescent="0.25">
      <c r="A114" s="83" t="s">
        <v>244</v>
      </c>
      <c r="B114" s="83">
        <f t="shared" si="3"/>
        <v>30</v>
      </c>
      <c r="C114" s="83">
        <v>30</v>
      </c>
      <c r="D114" s="83">
        <v>30</v>
      </c>
      <c r="E114" s="83">
        <v>30</v>
      </c>
      <c r="F114" s="83">
        <v>30</v>
      </c>
      <c r="G114" s="83">
        <v>30</v>
      </c>
      <c r="H114" s="83">
        <v>30</v>
      </c>
    </row>
    <row r="115" spans="1:8" x14ac:dyDescent="0.25">
      <c r="A115" s="83" t="s">
        <v>542</v>
      </c>
      <c r="B115" s="83" t="str">
        <f t="shared" si="3"/>
        <v>——</v>
      </c>
      <c r="C115" s="83" t="s">
        <v>32</v>
      </c>
      <c r="D115" s="83" t="s">
        <v>32</v>
      </c>
      <c r="E115" s="83">
        <v>5</v>
      </c>
      <c r="F115" s="83" t="s">
        <v>32</v>
      </c>
      <c r="G115" s="83" t="s">
        <v>32</v>
      </c>
      <c r="H115" s="83">
        <v>5</v>
      </c>
    </row>
    <row r="116" spans="1:8" x14ac:dyDescent="0.25">
      <c r="A116" s="83" t="s">
        <v>603</v>
      </c>
      <c r="B116" s="83" t="str">
        <f t="shared" si="3"/>
        <v>——</v>
      </c>
      <c r="C116" s="83" t="s">
        <v>32</v>
      </c>
      <c r="D116" s="83" t="s">
        <v>32</v>
      </c>
      <c r="E116" s="83" t="s">
        <v>32</v>
      </c>
      <c r="F116" s="83" t="s">
        <v>32</v>
      </c>
      <c r="G116" s="83">
        <v>5</v>
      </c>
      <c r="H116" s="83" t="s">
        <v>32</v>
      </c>
    </row>
    <row r="117" spans="1:8" x14ac:dyDescent="0.25">
      <c r="A117" s="83" t="s">
        <v>609</v>
      </c>
      <c r="B117" s="83" t="str">
        <f t="shared" si="3"/>
        <v>——</v>
      </c>
      <c r="C117" s="83" t="s">
        <v>32</v>
      </c>
      <c r="D117" s="83" t="s">
        <v>32</v>
      </c>
      <c r="E117" s="83" t="s">
        <v>32</v>
      </c>
      <c r="F117" s="83" t="s">
        <v>32</v>
      </c>
      <c r="G117" s="83">
        <v>1</v>
      </c>
      <c r="H117" s="83" t="s">
        <v>32</v>
      </c>
    </row>
    <row r="118" spans="1:8" x14ac:dyDescent="0.25">
      <c r="A118" s="83" t="s">
        <v>254</v>
      </c>
      <c r="B118" s="83">
        <f t="shared" si="3"/>
        <v>1</v>
      </c>
      <c r="C118" s="83" t="s">
        <v>32</v>
      </c>
      <c r="D118" s="83">
        <v>1</v>
      </c>
      <c r="E118" s="83">
        <v>1</v>
      </c>
      <c r="F118" s="83" t="s">
        <v>32</v>
      </c>
      <c r="G118" s="83">
        <v>1</v>
      </c>
      <c r="H118" s="83">
        <v>1</v>
      </c>
    </row>
    <row r="119" spans="1:8" x14ac:dyDescent="0.25">
      <c r="A119" s="83" t="s">
        <v>237</v>
      </c>
      <c r="B119" s="83">
        <f t="shared" si="3"/>
        <v>1</v>
      </c>
      <c r="C119" s="83">
        <v>1</v>
      </c>
      <c r="D119" s="83">
        <v>1</v>
      </c>
      <c r="E119" s="83">
        <v>1</v>
      </c>
      <c r="F119" s="83" t="s">
        <v>32</v>
      </c>
      <c r="G119" s="83">
        <v>1</v>
      </c>
      <c r="H119" s="83">
        <v>1</v>
      </c>
    </row>
    <row r="120" spans="1:8" x14ac:dyDescent="0.25">
      <c r="A120" s="83" t="s">
        <v>239</v>
      </c>
      <c r="B120" s="83">
        <f t="shared" si="3"/>
        <v>0</v>
      </c>
      <c r="C120" s="83">
        <v>0</v>
      </c>
      <c r="D120" s="83">
        <v>0</v>
      </c>
      <c r="E120" s="83">
        <v>0</v>
      </c>
      <c r="F120" s="83">
        <v>0</v>
      </c>
      <c r="G120" s="83">
        <v>0</v>
      </c>
      <c r="H120" s="83">
        <v>0</v>
      </c>
    </row>
    <row r="121" spans="1:8" x14ac:dyDescent="0.25">
      <c r="A121" s="83" t="s">
        <v>246</v>
      </c>
      <c r="B121" s="83">
        <f t="shared" si="3"/>
        <v>15</v>
      </c>
      <c r="C121" s="83">
        <v>15</v>
      </c>
      <c r="D121" s="83">
        <v>15</v>
      </c>
      <c r="E121" s="83">
        <v>15</v>
      </c>
      <c r="F121" s="83">
        <v>15</v>
      </c>
      <c r="G121" s="83">
        <v>15</v>
      </c>
      <c r="H121" s="83">
        <v>15</v>
      </c>
    </row>
    <row r="122" spans="1:8" x14ac:dyDescent="0.25">
      <c r="A122" s="83" t="s">
        <v>245</v>
      </c>
      <c r="B122" s="83">
        <f t="shared" si="3"/>
        <v>5</v>
      </c>
      <c r="C122" s="83">
        <v>5</v>
      </c>
      <c r="D122" s="83">
        <v>5</v>
      </c>
      <c r="E122" s="83">
        <v>5</v>
      </c>
      <c r="F122" s="83" t="s">
        <v>32</v>
      </c>
      <c r="G122" s="83">
        <v>5</v>
      </c>
      <c r="H122" s="83">
        <v>5</v>
      </c>
    </row>
    <row r="123" spans="1:8" x14ac:dyDescent="0.25">
      <c r="A123" s="83" t="s">
        <v>248</v>
      </c>
      <c r="B123" s="83">
        <f t="shared" si="3"/>
        <v>20</v>
      </c>
      <c r="C123" s="83">
        <v>20</v>
      </c>
      <c r="D123" s="83">
        <v>20</v>
      </c>
      <c r="E123" s="83">
        <v>20</v>
      </c>
      <c r="F123" s="83">
        <v>25</v>
      </c>
      <c r="G123" s="83">
        <v>20</v>
      </c>
      <c r="H123" s="83">
        <v>20</v>
      </c>
    </row>
    <row r="124" spans="1:8" x14ac:dyDescent="0.25">
      <c r="A124" s="83" t="s">
        <v>610</v>
      </c>
      <c r="B124" s="83" t="str">
        <f t="shared" si="3"/>
        <v>——</v>
      </c>
      <c r="C124" s="83" t="s">
        <v>32</v>
      </c>
      <c r="D124" s="83" t="s">
        <v>32</v>
      </c>
      <c r="E124" s="83" t="s">
        <v>32</v>
      </c>
      <c r="F124" s="83" t="s">
        <v>32</v>
      </c>
      <c r="G124" s="83">
        <v>5</v>
      </c>
      <c r="H124" s="83" t="s">
        <v>32</v>
      </c>
    </row>
    <row r="125" spans="1:8" x14ac:dyDescent="0.25">
      <c r="A125" s="83" t="s">
        <v>543</v>
      </c>
      <c r="B125" s="83" t="str">
        <f t="shared" si="3"/>
        <v>——</v>
      </c>
      <c r="C125" s="83" t="s">
        <v>32</v>
      </c>
      <c r="D125" s="83" t="s">
        <v>32</v>
      </c>
      <c r="E125" s="83" t="s">
        <v>32</v>
      </c>
      <c r="F125" s="83">
        <v>20</v>
      </c>
      <c r="G125" s="83" t="s">
        <v>32</v>
      </c>
      <c r="H125" s="83" t="s">
        <v>32</v>
      </c>
    </row>
    <row r="126" spans="1:8" x14ac:dyDescent="0.25">
      <c r="A126" s="83" t="s">
        <v>595</v>
      </c>
      <c r="B126" s="83" t="str">
        <f t="shared" si="3"/>
        <v>——</v>
      </c>
      <c r="C126" s="83">
        <v>20</v>
      </c>
      <c r="D126" s="83" t="s">
        <v>32</v>
      </c>
      <c r="E126" s="83" t="s">
        <v>32</v>
      </c>
      <c r="F126" s="83" t="s">
        <v>32</v>
      </c>
      <c r="G126" s="83" t="s">
        <v>32</v>
      </c>
      <c r="H126" s="83" t="s">
        <v>32</v>
      </c>
    </row>
    <row r="127" spans="1:8" x14ac:dyDescent="0.25">
      <c r="A127" s="83" t="s">
        <v>258</v>
      </c>
      <c r="B127" s="83">
        <f t="shared" si="3"/>
        <v>10</v>
      </c>
      <c r="C127" s="83">
        <v>10</v>
      </c>
      <c r="D127" s="83">
        <v>10</v>
      </c>
      <c r="E127" s="83">
        <v>10</v>
      </c>
      <c r="F127" s="83">
        <v>25</v>
      </c>
      <c r="G127" s="83">
        <v>10</v>
      </c>
      <c r="H127" s="83">
        <v>10</v>
      </c>
    </row>
    <row r="128" spans="1:8" x14ac:dyDescent="0.25">
      <c r="A128" s="83" t="s">
        <v>238</v>
      </c>
      <c r="B128" s="83">
        <f t="shared" si="3"/>
        <v>20</v>
      </c>
      <c r="C128" s="83">
        <v>20</v>
      </c>
      <c r="D128" s="83">
        <v>20</v>
      </c>
      <c r="E128" s="83">
        <v>20</v>
      </c>
      <c r="F128" s="83">
        <v>20</v>
      </c>
      <c r="G128" s="83">
        <v>20</v>
      </c>
      <c r="H128" s="83">
        <v>20</v>
      </c>
    </row>
    <row r="129" spans="1:8" x14ac:dyDescent="0.25">
      <c r="A129" s="83" t="s">
        <v>256</v>
      </c>
      <c r="B129" s="83">
        <f t="shared" si="3"/>
        <v>5</v>
      </c>
      <c r="C129" s="83">
        <v>5</v>
      </c>
      <c r="D129" s="83">
        <v>5</v>
      </c>
      <c r="E129" s="83">
        <v>5</v>
      </c>
      <c r="F129" s="83">
        <v>5</v>
      </c>
      <c r="G129" s="83">
        <v>5</v>
      </c>
      <c r="H129" s="83">
        <v>5</v>
      </c>
    </row>
    <row r="130" spans="1:8" x14ac:dyDescent="0.25">
      <c r="A130" s="83" t="s">
        <v>479</v>
      </c>
      <c r="B130" s="83">
        <f t="shared" ref="B130:B151" si="4">IF(ISBLANK(LOOKUP(模板选择,模板名称,C130:AC130)),"",LOOKUP(模板选择,模板名称,C130:AC130))</f>
        <v>20</v>
      </c>
      <c r="C130" s="83">
        <v>20</v>
      </c>
      <c r="D130" s="83">
        <v>20</v>
      </c>
      <c r="E130" s="83">
        <v>20</v>
      </c>
      <c r="F130" s="83" t="s">
        <v>32</v>
      </c>
      <c r="G130" s="83">
        <v>20</v>
      </c>
      <c r="H130" s="83">
        <v>20</v>
      </c>
    </row>
    <row r="131" spans="1:8" x14ac:dyDescent="0.25">
      <c r="A131" s="83" t="s">
        <v>368</v>
      </c>
      <c r="B131" s="83">
        <f t="shared" si="4"/>
        <v>1</v>
      </c>
      <c r="C131" s="83">
        <v>1</v>
      </c>
      <c r="D131" s="83">
        <v>1</v>
      </c>
      <c r="E131" s="83">
        <v>1</v>
      </c>
      <c r="F131" s="83" t="s">
        <v>32</v>
      </c>
      <c r="G131" s="83">
        <v>1</v>
      </c>
      <c r="H131" s="83">
        <v>1</v>
      </c>
    </row>
    <row r="132" spans="1:8" x14ac:dyDescent="0.25">
      <c r="A132" s="83" t="s">
        <v>259</v>
      </c>
      <c r="B132" s="83">
        <f t="shared" si="4"/>
        <v>20</v>
      </c>
      <c r="C132" s="83">
        <v>20</v>
      </c>
      <c r="D132" s="83">
        <v>20</v>
      </c>
      <c r="E132" s="83">
        <v>20</v>
      </c>
      <c r="F132" s="83">
        <v>20</v>
      </c>
      <c r="G132" s="83">
        <v>20</v>
      </c>
      <c r="H132" s="83">
        <v>20</v>
      </c>
    </row>
    <row r="133" spans="1:8" x14ac:dyDescent="0.25">
      <c r="A133" s="83" t="s">
        <v>240</v>
      </c>
      <c r="B133" s="83">
        <f t="shared" si="4"/>
        <v>5</v>
      </c>
      <c r="C133" s="83">
        <v>5</v>
      </c>
      <c r="D133" s="83">
        <v>5</v>
      </c>
      <c r="E133" s="83">
        <v>5</v>
      </c>
      <c r="F133" s="83" t="s">
        <v>32</v>
      </c>
      <c r="G133" s="83">
        <v>5</v>
      </c>
      <c r="H133" s="83">
        <v>5</v>
      </c>
    </row>
    <row r="134" spans="1:8" x14ac:dyDescent="0.25">
      <c r="A134" s="83" t="s">
        <v>522</v>
      </c>
      <c r="B134" s="83">
        <f t="shared" si="4"/>
        <v>15</v>
      </c>
      <c r="C134" s="83">
        <v>15</v>
      </c>
      <c r="D134" s="83">
        <v>15</v>
      </c>
      <c r="E134" s="83">
        <v>15</v>
      </c>
      <c r="F134" s="83">
        <v>15</v>
      </c>
      <c r="G134" s="83">
        <v>15</v>
      </c>
      <c r="H134" s="83">
        <v>15</v>
      </c>
    </row>
    <row r="135" spans="1:8" x14ac:dyDescent="0.25">
      <c r="A135" s="83" t="s">
        <v>235</v>
      </c>
      <c r="B135" s="83">
        <f t="shared" si="4"/>
        <v>1</v>
      </c>
      <c r="C135" s="83">
        <v>1</v>
      </c>
      <c r="D135" s="83">
        <v>1</v>
      </c>
      <c r="E135" s="83">
        <v>1</v>
      </c>
      <c r="F135" s="83" t="s">
        <v>32</v>
      </c>
      <c r="G135" s="83">
        <v>1</v>
      </c>
      <c r="H135" s="83">
        <v>1</v>
      </c>
    </row>
    <row r="136" spans="1:8" x14ac:dyDescent="0.25">
      <c r="A136" s="83" t="s">
        <v>241</v>
      </c>
      <c r="B136" s="83">
        <f t="shared" si="4"/>
        <v>0</v>
      </c>
      <c r="C136" s="83">
        <f t="shared" ref="C136:H136" si="5">INT(DEX/2)</f>
        <v>0</v>
      </c>
      <c r="D136" s="83">
        <f t="shared" si="5"/>
        <v>0</v>
      </c>
      <c r="E136" s="83">
        <f t="shared" si="5"/>
        <v>0</v>
      </c>
      <c r="F136" s="83">
        <f t="shared" si="5"/>
        <v>0</v>
      </c>
      <c r="G136" s="83">
        <f t="shared" si="5"/>
        <v>0</v>
      </c>
      <c r="H136" s="83">
        <f t="shared" si="5"/>
        <v>0</v>
      </c>
    </row>
    <row r="137" spans="1:8" x14ac:dyDescent="0.25">
      <c r="A137" s="83" t="s">
        <v>252</v>
      </c>
      <c r="B137" s="83">
        <f t="shared" si="4"/>
        <v>5</v>
      </c>
      <c r="C137" s="83">
        <v>5</v>
      </c>
      <c r="D137" s="83">
        <v>5</v>
      </c>
      <c r="E137" s="83">
        <v>5</v>
      </c>
      <c r="F137" s="83">
        <v>5</v>
      </c>
      <c r="G137" s="83">
        <v>5</v>
      </c>
      <c r="H137" s="83">
        <v>5</v>
      </c>
    </row>
    <row r="138" spans="1:8" x14ac:dyDescent="0.25">
      <c r="A138" s="83" t="s">
        <v>64</v>
      </c>
      <c r="B138" s="83">
        <f t="shared" si="4"/>
        <v>10</v>
      </c>
      <c r="C138" s="83">
        <v>10</v>
      </c>
      <c r="D138" s="83">
        <v>10</v>
      </c>
      <c r="E138" s="83">
        <v>10</v>
      </c>
      <c r="F138" s="83">
        <v>15</v>
      </c>
      <c r="G138" s="83">
        <v>10</v>
      </c>
      <c r="H138" s="83">
        <v>10</v>
      </c>
    </row>
    <row r="139" spans="1:8" x14ac:dyDescent="0.25">
      <c r="A139" s="83" t="s">
        <v>249</v>
      </c>
      <c r="B139" s="83">
        <f t="shared" si="4"/>
        <v>1</v>
      </c>
      <c r="C139" s="83">
        <v>1</v>
      </c>
      <c r="D139" s="83">
        <v>1</v>
      </c>
      <c r="E139" s="83">
        <v>1</v>
      </c>
      <c r="F139" s="83" t="s">
        <v>32</v>
      </c>
      <c r="G139" s="83">
        <v>1</v>
      </c>
      <c r="H139" s="83">
        <v>1</v>
      </c>
    </row>
    <row r="140" spans="1:8" x14ac:dyDescent="0.25">
      <c r="A140" s="83" t="s">
        <v>247</v>
      </c>
      <c r="B140" s="83">
        <f t="shared" si="4"/>
        <v>20</v>
      </c>
      <c r="C140" s="83">
        <v>20</v>
      </c>
      <c r="D140" s="83">
        <v>20</v>
      </c>
      <c r="E140" s="83">
        <v>20</v>
      </c>
      <c r="F140" s="83">
        <v>25</v>
      </c>
      <c r="G140" s="83">
        <v>20</v>
      </c>
      <c r="H140" s="83">
        <v>20</v>
      </c>
    </row>
    <row r="141" spans="1:8" x14ac:dyDescent="0.25">
      <c r="A141" s="83" t="s">
        <v>261</v>
      </c>
      <c r="B141" s="83">
        <f t="shared" si="4"/>
        <v>20</v>
      </c>
      <c r="C141" s="83">
        <v>20</v>
      </c>
      <c r="D141" s="83">
        <v>20</v>
      </c>
      <c r="E141" s="83">
        <v>20</v>
      </c>
      <c r="F141" s="83">
        <v>25</v>
      </c>
      <c r="G141" s="83">
        <v>20</v>
      </c>
      <c r="H141" s="83">
        <v>20</v>
      </c>
    </row>
    <row r="142" spans="1:8" x14ac:dyDescent="0.25">
      <c r="A142" s="83" t="s">
        <v>327</v>
      </c>
      <c r="B142" s="83">
        <f t="shared" si="4"/>
        <v>20</v>
      </c>
      <c r="C142" s="83">
        <v>20</v>
      </c>
      <c r="D142" s="83">
        <v>20</v>
      </c>
      <c r="E142" s="83">
        <v>20</v>
      </c>
      <c r="F142" s="83">
        <v>5</v>
      </c>
      <c r="G142" s="83">
        <v>20</v>
      </c>
      <c r="H142" s="83">
        <v>20</v>
      </c>
    </row>
    <row r="143" spans="1:8" x14ac:dyDescent="0.25">
      <c r="A143" s="83" t="s">
        <v>838</v>
      </c>
      <c r="B143" s="83" t="str">
        <f t="shared" si="4"/>
        <v>——</v>
      </c>
      <c r="C143" s="83" t="s">
        <v>32</v>
      </c>
      <c r="D143" s="83" t="s">
        <v>32</v>
      </c>
      <c r="E143" s="83" t="s">
        <v>32</v>
      </c>
      <c r="F143" s="83">
        <v>20</v>
      </c>
      <c r="G143" s="83" t="s">
        <v>32</v>
      </c>
      <c r="H143" s="83" t="s">
        <v>32</v>
      </c>
    </row>
    <row r="144" spans="1:8" x14ac:dyDescent="0.25">
      <c r="A144" s="83" t="s">
        <v>608</v>
      </c>
      <c r="B144" s="83" t="str">
        <f t="shared" si="4"/>
        <v>——</v>
      </c>
      <c r="C144" s="83" t="s">
        <v>32</v>
      </c>
      <c r="D144" s="83" t="s">
        <v>32</v>
      </c>
      <c r="E144" s="83" t="s">
        <v>32</v>
      </c>
      <c r="F144" s="83" t="s">
        <v>32</v>
      </c>
      <c r="G144" s="83">
        <v>10</v>
      </c>
      <c r="H144" s="83" t="s">
        <v>32</v>
      </c>
    </row>
    <row r="145" spans="1:8" x14ac:dyDescent="0.25">
      <c r="A145" s="83" t="s">
        <v>255</v>
      </c>
      <c r="B145" s="83">
        <f t="shared" si="4"/>
        <v>10</v>
      </c>
      <c r="C145" s="83">
        <v>10</v>
      </c>
      <c r="D145" s="83">
        <v>10</v>
      </c>
      <c r="E145" s="83">
        <v>10</v>
      </c>
      <c r="F145" s="83" t="s">
        <v>32</v>
      </c>
      <c r="G145" s="83">
        <v>10</v>
      </c>
      <c r="H145" s="83">
        <v>10</v>
      </c>
    </row>
    <row r="146" spans="1:8" x14ac:dyDescent="0.25">
      <c r="A146" s="83" t="s">
        <v>325</v>
      </c>
      <c r="B146" s="83">
        <f t="shared" si="4"/>
        <v>0</v>
      </c>
      <c r="C146" s="83">
        <v>0</v>
      </c>
      <c r="D146" s="83">
        <v>0</v>
      </c>
      <c r="E146" s="83">
        <v>0</v>
      </c>
      <c r="F146" s="83" t="s">
        <v>32</v>
      </c>
      <c r="G146" s="83">
        <v>0</v>
      </c>
      <c r="H146" s="83">
        <v>0</v>
      </c>
    </row>
    <row r="147" spans="1:8" x14ac:dyDescent="0.25">
      <c r="A147" s="83" t="s">
        <v>251</v>
      </c>
      <c r="B147" s="83">
        <f t="shared" si="4"/>
        <v>1</v>
      </c>
      <c r="C147" s="83">
        <v>1</v>
      </c>
      <c r="D147" s="83">
        <v>1</v>
      </c>
      <c r="E147" s="83">
        <v>1</v>
      </c>
      <c r="F147" s="83">
        <v>1</v>
      </c>
      <c r="G147" s="83">
        <v>1</v>
      </c>
      <c r="H147" s="83">
        <v>1</v>
      </c>
    </row>
    <row r="148" spans="1:8" x14ac:dyDescent="0.25">
      <c r="A148" s="83" t="s">
        <v>260</v>
      </c>
      <c r="B148" s="83">
        <f t="shared" si="4"/>
        <v>20</v>
      </c>
      <c r="C148" s="83">
        <v>20</v>
      </c>
      <c r="D148" s="83">
        <v>20</v>
      </c>
      <c r="E148" s="83">
        <v>20</v>
      </c>
      <c r="F148" s="83">
        <v>25</v>
      </c>
      <c r="G148" s="83">
        <v>20</v>
      </c>
      <c r="H148" s="83">
        <v>20</v>
      </c>
    </row>
    <row r="149" spans="1:8" x14ac:dyDescent="0.25">
      <c r="A149" s="83" t="s">
        <v>519</v>
      </c>
      <c r="B149" s="83">
        <f t="shared" si="4"/>
        <v>25</v>
      </c>
      <c r="C149" s="83">
        <v>25</v>
      </c>
      <c r="D149" s="83">
        <v>25</v>
      </c>
      <c r="E149" s="83">
        <v>25</v>
      </c>
      <c r="F149" s="83">
        <v>25</v>
      </c>
      <c r="G149" s="83">
        <v>25</v>
      </c>
      <c r="H149" s="83">
        <v>25</v>
      </c>
    </row>
    <row r="150" spans="1:8" x14ac:dyDescent="0.25">
      <c r="A150" s="83" t="s">
        <v>257</v>
      </c>
      <c r="B150" s="83">
        <f t="shared" si="4"/>
        <v>10</v>
      </c>
      <c r="C150" s="83">
        <v>10</v>
      </c>
      <c r="D150" s="83">
        <v>10</v>
      </c>
      <c r="E150" s="83">
        <v>10</v>
      </c>
      <c r="F150" s="83">
        <v>10</v>
      </c>
      <c r="G150" s="83">
        <v>10</v>
      </c>
      <c r="H150" s="83">
        <v>10</v>
      </c>
    </row>
    <row r="151" spans="1:8" x14ac:dyDescent="0.25">
      <c r="B151" s="83" t="str">
        <f t="shared" si="4"/>
        <v/>
      </c>
    </row>
    <row r="153" spans="1:8" x14ac:dyDescent="0.25">
      <c r="B153" s="83" t="s">
        <v>615</v>
      </c>
    </row>
    <row r="154" spans="1:8" x14ac:dyDescent="0.25">
      <c r="A154" s="83" t="s">
        <v>655</v>
      </c>
      <c r="B154" s="83">
        <f t="shared" ref="B154:B166" si="6">IF(ISBLANK(LOOKUP(模板选择,模板名称,C154:AC154)),"",LOOKUP(模板选择,模板名称,C154:AC154))</f>
        <v>5</v>
      </c>
      <c r="C154" s="83">
        <v>5</v>
      </c>
      <c r="D154" s="83">
        <v>5</v>
      </c>
      <c r="E154" s="83">
        <v>5</v>
      </c>
      <c r="F154" s="83" t="s">
        <v>32</v>
      </c>
      <c r="G154" s="83">
        <v>5</v>
      </c>
      <c r="H154" s="83">
        <v>5</v>
      </c>
    </row>
    <row r="155" spans="1:8" x14ac:dyDescent="0.25">
      <c r="A155" s="83" t="s">
        <v>654</v>
      </c>
      <c r="B155" s="83">
        <f t="shared" si="6"/>
        <v>20</v>
      </c>
      <c r="C155" s="83">
        <v>20</v>
      </c>
      <c r="D155" s="83">
        <v>20</v>
      </c>
      <c r="E155" s="83">
        <v>20</v>
      </c>
      <c r="F155" s="83">
        <v>20</v>
      </c>
      <c r="G155" s="83">
        <v>20</v>
      </c>
      <c r="H155" s="83">
        <v>20</v>
      </c>
    </row>
    <row r="156" spans="1:8" x14ac:dyDescent="0.25">
      <c r="A156" s="83" t="s">
        <v>62</v>
      </c>
      <c r="B156" s="83">
        <f t="shared" si="6"/>
        <v>25</v>
      </c>
      <c r="C156" s="83">
        <v>25</v>
      </c>
      <c r="D156" s="83">
        <v>25</v>
      </c>
      <c r="E156" s="83">
        <v>25</v>
      </c>
      <c r="F156" s="83">
        <v>25</v>
      </c>
      <c r="G156" s="83">
        <v>25</v>
      </c>
      <c r="H156" s="83">
        <v>25</v>
      </c>
    </row>
    <row r="157" spans="1:8" x14ac:dyDescent="0.25">
      <c r="A157" s="83" t="s">
        <v>652</v>
      </c>
      <c r="B157" s="83">
        <f t="shared" si="6"/>
        <v>15</v>
      </c>
      <c r="C157" s="83">
        <v>15</v>
      </c>
      <c r="D157" s="83">
        <v>15</v>
      </c>
      <c r="E157" s="83">
        <v>15</v>
      </c>
      <c r="F157" s="83">
        <v>15</v>
      </c>
      <c r="G157" s="83">
        <v>15</v>
      </c>
      <c r="H157" s="83">
        <v>15</v>
      </c>
    </row>
    <row r="158" spans="1:8" x14ac:dyDescent="0.25">
      <c r="A158" s="83" t="s">
        <v>651</v>
      </c>
      <c r="B158" s="83">
        <f t="shared" si="6"/>
        <v>15</v>
      </c>
      <c r="C158" s="83">
        <v>15</v>
      </c>
      <c r="D158" s="83">
        <v>15</v>
      </c>
      <c r="E158" s="83">
        <v>15</v>
      </c>
      <c r="F158" s="83">
        <v>15</v>
      </c>
      <c r="G158" s="83">
        <v>15</v>
      </c>
      <c r="H158" s="83">
        <v>15</v>
      </c>
    </row>
    <row r="159" spans="1:8" x14ac:dyDescent="0.25">
      <c r="A159" s="83" t="s">
        <v>657</v>
      </c>
      <c r="B159" s="83">
        <f t="shared" si="6"/>
        <v>15</v>
      </c>
      <c r="C159" s="83">
        <v>15</v>
      </c>
      <c r="D159" s="83">
        <v>15</v>
      </c>
      <c r="E159" s="83">
        <v>15</v>
      </c>
      <c r="F159" s="83">
        <v>15</v>
      </c>
      <c r="G159" s="83">
        <v>15</v>
      </c>
      <c r="H159" s="83">
        <v>15</v>
      </c>
    </row>
    <row r="160" spans="1:8" x14ac:dyDescent="0.25">
      <c r="A160" s="83" t="s">
        <v>656</v>
      </c>
      <c r="B160" s="83">
        <f t="shared" si="6"/>
        <v>10</v>
      </c>
      <c r="C160" s="83">
        <v>10</v>
      </c>
      <c r="D160" s="83">
        <v>10</v>
      </c>
      <c r="E160" s="83">
        <v>10</v>
      </c>
      <c r="F160" s="83">
        <v>10</v>
      </c>
      <c r="G160" s="83">
        <v>10</v>
      </c>
      <c r="H160" s="83">
        <v>10</v>
      </c>
    </row>
    <row r="161" spans="1:8" x14ac:dyDescent="0.25">
      <c r="A161" s="83" t="s">
        <v>658</v>
      </c>
      <c r="B161" s="83">
        <f t="shared" si="6"/>
        <v>10</v>
      </c>
      <c r="C161" s="83" t="s">
        <v>32</v>
      </c>
      <c r="D161" s="83">
        <v>10</v>
      </c>
      <c r="E161" s="83">
        <v>10</v>
      </c>
      <c r="F161" s="83" t="s">
        <v>32</v>
      </c>
      <c r="G161" s="83">
        <v>10</v>
      </c>
      <c r="H161" s="83">
        <v>10</v>
      </c>
    </row>
    <row r="162" spans="1:8" x14ac:dyDescent="0.25">
      <c r="A162" s="83" t="s">
        <v>653</v>
      </c>
      <c r="B162" s="83">
        <f t="shared" si="6"/>
        <v>20</v>
      </c>
      <c r="C162" s="83">
        <v>20</v>
      </c>
      <c r="D162" s="83">
        <v>20</v>
      </c>
      <c r="E162" s="83">
        <v>20</v>
      </c>
      <c r="F162" s="83">
        <v>15</v>
      </c>
      <c r="G162" s="83">
        <v>20</v>
      </c>
      <c r="H162" s="83">
        <v>20</v>
      </c>
    </row>
    <row r="163" spans="1:8" x14ac:dyDescent="0.25">
      <c r="A163" s="83" t="s">
        <v>659</v>
      </c>
      <c r="B163" s="83" t="str">
        <f t="shared" si="6"/>
        <v>——</v>
      </c>
      <c r="C163" s="83" t="s">
        <v>32</v>
      </c>
      <c r="D163" s="83" t="s">
        <v>32</v>
      </c>
      <c r="E163" s="83" t="s">
        <v>32</v>
      </c>
      <c r="F163" s="83">
        <v>15</v>
      </c>
      <c r="G163" s="83" t="s">
        <v>32</v>
      </c>
      <c r="H163" s="83" t="s">
        <v>32</v>
      </c>
    </row>
    <row r="164" spans="1:8" x14ac:dyDescent="0.25">
      <c r="A164" s="83" t="s">
        <v>660</v>
      </c>
      <c r="B164" s="83" t="str">
        <f t="shared" si="6"/>
        <v>——</v>
      </c>
      <c r="C164" s="83" t="s">
        <v>32</v>
      </c>
      <c r="D164" s="83" t="s">
        <v>32</v>
      </c>
      <c r="E164" s="83" t="s">
        <v>32</v>
      </c>
      <c r="F164" s="83">
        <v>25</v>
      </c>
      <c r="G164" s="83" t="s">
        <v>32</v>
      </c>
      <c r="H164" s="83" t="s">
        <v>32</v>
      </c>
    </row>
    <row r="165" spans="1:8" x14ac:dyDescent="0.25">
      <c r="A165" s="83" t="s">
        <v>661</v>
      </c>
      <c r="B165" s="83" t="str">
        <f t="shared" si="6"/>
        <v>——</v>
      </c>
      <c r="C165" s="83" t="s">
        <v>32</v>
      </c>
      <c r="D165" s="83" t="s">
        <v>32</v>
      </c>
      <c r="E165" s="83" t="s">
        <v>32</v>
      </c>
      <c r="F165" s="83">
        <v>25</v>
      </c>
      <c r="G165" s="83" t="s">
        <v>32</v>
      </c>
      <c r="H165" s="83" t="s">
        <v>32</v>
      </c>
    </row>
    <row r="166" spans="1:8" x14ac:dyDescent="0.25">
      <c r="B166" s="83" t="str">
        <f t="shared" si="6"/>
        <v/>
      </c>
    </row>
    <row r="168" spans="1:8" x14ac:dyDescent="0.25">
      <c r="B168" s="83" t="s">
        <v>620</v>
      </c>
    </row>
    <row r="169" spans="1:8" x14ac:dyDescent="0.25">
      <c r="A169" s="83" t="s">
        <v>269</v>
      </c>
      <c r="B169" s="83">
        <f t="shared" ref="B169:B181" si="7">IF(ISBLANK(LOOKUP(模板选择,模板名称,C169:AC169)),"",LOOKUP(模板选择,模板名称,C169:AC169))</f>
        <v>25</v>
      </c>
      <c r="C169" s="83">
        <v>25</v>
      </c>
      <c r="D169" s="83">
        <v>25</v>
      </c>
      <c r="E169" s="83">
        <v>25</v>
      </c>
      <c r="F169" s="83" t="s">
        <v>32</v>
      </c>
      <c r="G169" s="83">
        <v>25</v>
      </c>
      <c r="H169" s="83">
        <v>25</v>
      </c>
    </row>
    <row r="170" spans="1:8" x14ac:dyDescent="0.25">
      <c r="A170" s="83" t="s">
        <v>52</v>
      </c>
      <c r="B170" s="83">
        <f t="shared" si="7"/>
        <v>15</v>
      </c>
      <c r="C170" s="83">
        <v>15</v>
      </c>
      <c r="D170" s="83">
        <v>15</v>
      </c>
      <c r="E170" s="83">
        <v>15</v>
      </c>
      <c r="F170" s="83" t="s">
        <v>32</v>
      </c>
      <c r="G170" s="83">
        <v>15</v>
      </c>
      <c r="H170" s="83">
        <v>15</v>
      </c>
    </row>
    <row r="171" spans="1:8" x14ac:dyDescent="0.25">
      <c r="A171" s="83" t="s">
        <v>268</v>
      </c>
      <c r="B171" s="83">
        <f t="shared" si="7"/>
        <v>15</v>
      </c>
      <c r="C171" s="83">
        <v>15</v>
      </c>
      <c r="D171" s="83">
        <v>15</v>
      </c>
      <c r="E171" s="83">
        <v>15</v>
      </c>
      <c r="F171" s="83">
        <v>10</v>
      </c>
      <c r="G171" s="83">
        <v>15</v>
      </c>
      <c r="H171" s="83">
        <v>15</v>
      </c>
    </row>
    <row r="172" spans="1:8" x14ac:dyDescent="0.25">
      <c r="A172" s="83" t="s">
        <v>644</v>
      </c>
      <c r="B172" s="83" t="str">
        <f t="shared" si="7"/>
        <v>——</v>
      </c>
      <c r="C172" s="83" t="s">
        <v>32</v>
      </c>
      <c r="D172" s="83" t="s">
        <v>32</v>
      </c>
      <c r="E172" s="83" t="s">
        <v>32</v>
      </c>
      <c r="F172" s="83">
        <v>10</v>
      </c>
      <c r="G172" s="83" t="s">
        <v>32</v>
      </c>
      <c r="H172" s="83" t="s">
        <v>32</v>
      </c>
    </row>
    <row r="173" spans="1:8" x14ac:dyDescent="0.25">
      <c r="A173" s="83" t="s">
        <v>53</v>
      </c>
      <c r="B173" s="83">
        <f t="shared" si="7"/>
        <v>10</v>
      </c>
      <c r="C173" s="83">
        <v>10</v>
      </c>
      <c r="D173" s="83">
        <v>10</v>
      </c>
      <c r="E173" s="83">
        <v>10</v>
      </c>
      <c r="F173" s="83" t="s">
        <v>32</v>
      </c>
      <c r="G173" s="83">
        <v>10</v>
      </c>
      <c r="H173" s="83">
        <v>10</v>
      </c>
    </row>
    <row r="174" spans="1:8" x14ac:dyDescent="0.25">
      <c r="A174" s="83" t="s">
        <v>378</v>
      </c>
      <c r="B174" s="83">
        <f t="shared" si="7"/>
        <v>10</v>
      </c>
      <c r="C174" s="83">
        <v>10</v>
      </c>
      <c r="D174" s="83">
        <v>10</v>
      </c>
      <c r="E174" s="83">
        <v>10</v>
      </c>
      <c r="F174" s="83" t="s">
        <v>32</v>
      </c>
      <c r="G174" s="83">
        <v>10</v>
      </c>
      <c r="H174" s="83">
        <v>10</v>
      </c>
    </row>
    <row r="175" spans="1:8" x14ac:dyDescent="0.25">
      <c r="A175" s="83" t="s">
        <v>642</v>
      </c>
      <c r="B175" s="83">
        <f t="shared" si="7"/>
        <v>15</v>
      </c>
      <c r="C175" s="83">
        <v>15</v>
      </c>
      <c r="D175" s="83">
        <v>15</v>
      </c>
      <c r="E175" s="83">
        <v>15</v>
      </c>
      <c r="F175" s="83">
        <v>10</v>
      </c>
      <c r="G175" s="83">
        <v>15</v>
      </c>
      <c r="H175" s="83">
        <v>15</v>
      </c>
    </row>
    <row r="176" spans="1:8" x14ac:dyDescent="0.25">
      <c r="A176" s="83" t="s">
        <v>54</v>
      </c>
      <c r="B176" s="83">
        <f t="shared" si="7"/>
        <v>20</v>
      </c>
      <c r="C176" s="83">
        <v>20</v>
      </c>
      <c r="D176" s="83">
        <v>20</v>
      </c>
      <c r="E176" s="83">
        <v>20</v>
      </c>
      <c r="F176" s="83" t="s">
        <v>32</v>
      </c>
      <c r="G176" s="83">
        <v>20</v>
      </c>
      <c r="H176" s="83">
        <v>20</v>
      </c>
    </row>
    <row r="177" spans="1:8" x14ac:dyDescent="0.25">
      <c r="A177" s="83" t="s">
        <v>649</v>
      </c>
      <c r="B177" s="83" t="str">
        <f t="shared" si="7"/>
        <v>——</v>
      </c>
      <c r="C177" s="83" t="s">
        <v>32</v>
      </c>
      <c r="D177" s="83" t="s">
        <v>32</v>
      </c>
      <c r="E177" s="83" t="s">
        <v>32</v>
      </c>
      <c r="F177" s="83" t="s">
        <v>32</v>
      </c>
      <c r="G177" s="83">
        <v>25</v>
      </c>
      <c r="H177" s="83" t="s">
        <v>32</v>
      </c>
    </row>
    <row r="178" spans="1:8" x14ac:dyDescent="0.25">
      <c r="A178" s="83" t="s">
        <v>650</v>
      </c>
      <c r="B178" s="83" t="str">
        <f t="shared" si="7"/>
        <v>——</v>
      </c>
      <c r="C178" s="83" t="s">
        <v>32</v>
      </c>
      <c r="D178" s="83" t="s">
        <v>32</v>
      </c>
      <c r="E178" s="83" t="s">
        <v>32</v>
      </c>
      <c r="F178" s="83" t="s">
        <v>32</v>
      </c>
      <c r="G178" s="83">
        <v>25</v>
      </c>
      <c r="H178" s="83" t="s">
        <v>32</v>
      </c>
    </row>
    <row r="179" spans="1:8" x14ac:dyDescent="0.25">
      <c r="A179" s="83" t="s">
        <v>643</v>
      </c>
      <c r="B179" s="83" t="str">
        <f t="shared" si="7"/>
        <v>——</v>
      </c>
      <c r="C179" s="83" t="s">
        <v>32</v>
      </c>
      <c r="D179" s="83" t="s">
        <v>32</v>
      </c>
      <c r="E179" s="83" t="s">
        <v>32</v>
      </c>
      <c r="F179" s="83">
        <v>20</v>
      </c>
      <c r="G179" s="83">
        <v>20</v>
      </c>
      <c r="H179" s="83" t="s">
        <v>32</v>
      </c>
    </row>
    <row r="180" spans="1:8" x14ac:dyDescent="0.25">
      <c r="A180" s="83" t="s">
        <v>55</v>
      </c>
      <c r="B180" s="83">
        <f t="shared" si="7"/>
        <v>10</v>
      </c>
      <c r="C180" s="83" t="s">
        <v>32</v>
      </c>
      <c r="D180" s="83">
        <v>10</v>
      </c>
      <c r="E180" s="83">
        <v>10</v>
      </c>
      <c r="F180" s="83" t="s">
        <v>32</v>
      </c>
      <c r="G180" s="83">
        <v>10</v>
      </c>
      <c r="H180" s="83">
        <v>10</v>
      </c>
    </row>
    <row r="181" spans="1:8" x14ac:dyDescent="0.25">
      <c r="B181" s="83" t="str">
        <f t="shared" si="7"/>
        <v/>
      </c>
    </row>
    <row r="183" spans="1:8" x14ac:dyDescent="0.25">
      <c r="B183" s="83" t="s">
        <v>621</v>
      </c>
    </row>
    <row r="184" spans="1:8" x14ac:dyDescent="0.25">
      <c r="A184" s="83" t="s">
        <v>558</v>
      </c>
      <c r="B184" s="83">
        <f t="shared" ref="B184:B193" si="8">IF(ISBLANK(LOOKUP(模板选择,模板名称,C184:AC184)),"",LOOKUP(模板选择,模板名称,C184:AC184))</f>
        <v>5</v>
      </c>
      <c r="C184" s="83">
        <v>5</v>
      </c>
      <c r="D184" s="83">
        <v>5</v>
      </c>
      <c r="E184" s="83">
        <v>5</v>
      </c>
      <c r="F184" s="83">
        <v>5</v>
      </c>
      <c r="G184" s="83">
        <v>5</v>
      </c>
      <c r="H184" s="83">
        <v>5</v>
      </c>
    </row>
    <row r="185" spans="1:8" x14ac:dyDescent="0.25">
      <c r="A185" s="83" t="s">
        <v>571</v>
      </c>
      <c r="B185" s="83">
        <f t="shared" si="8"/>
        <v>0</v>
      </c>
      <c r="C185" s="83">
        <f t="shared" ref="C185:H185" si="9">EDU</f>
        <v>0</v>
      </c>
      <c r="D185" s="83">
        <f t="shared" si="9"/>
        <v>0</v>
      </c>
      <c r="E185" s="83">
        <f t="shared" si="9"/>
        <v>0</v>
      </c>
      <c r="F185" s="83">
        <f t="shared" si="9"/>
        <v>0</v>
      </c>
      <c r="G185" s="83">
        <f t="shared" si="9"/>
        <v>0</v>
      </c>
      <c r="H185" s="83">
        <f t="shared" si="9"/>
        <v>0</v>
      </c>
    </row>
    <row r="186" spans="1:8" x14ac:dyDescent="0.25">
      <c r="A186" s="83" t="s">
        <v>568</v>
      </c>
      <c r="B186" s="83">
        <f t="shared" si="8"/>
        <v>1</v>
      </c>
      <c r="C186" s="83">
        <v>1</v>
      </c>
      <c r="D186" s="83">
        <v>1</v>
      </c>
      <c r="E186" s="83">
        <v>1</v>
      </c>
      <c r="F186" s="83">
        <v>1</v>
      </c>
      <c r="G186" s="83">
        <v>1</v>
      </c>
      <c r="H186" s="83">
        <v>1</v>
      </c>
    </row>
    <row r="187" spans="1:8" x14ac:dyDescent="0.25">
      <c r="A187" s="83" t="s">
        <v>579</v>
      </c>
      <c r="B187" s="83">
        <f t="shared" si="8"/>
        <v>10</v>
      </c>
      <c r="C187" s="83">
        <v>10</v>
      </c>
      <c r="D187" s="83">
        <v>10</v>
      </c>
      <c r="E187" s="83">
        <v>10</v>
      </c>
      <c r="F187" s="83">
        <v>10</v>
      </c>
      <c r="G187" s="83">
        <v>10</v>
      </c>
      <c r="H187" s="83">
        <v>10</v>
      </c>
    </row>
    <row r="188" spans="1:8" x14ac:dyDescent="0.25">
      <c r="A188" s="83" t="s">
        <v>10</v>
      </c>
      <c r="B188" s="83">
        <f t="shared" si="8"/>
        <v>1</v>
      </c>
      <c r="C188" s="83">
        <v>1</v>
      </c>
      <c r="D188" s="83">
        <v>1</v>
      </c>
      <c r="E188" s="83">
        <v>1</v>
      </c>
      <c r="F188" s="83">
        <v>1</v>
      </c>
      <c r="G188" s="83">
        <v>1</v>
      </c>
      <c r="H188" s="83">
        <v>1</v>
      </c>
    </row>
    <row r="189" spans="1:8" x14ac:dyDescent="0.25">
      <c r="A189" s="83" t="s">
        <v>573</v>
      </c>
      <c r="B189" s="83">
        <f t="shared" si="8"/>
        <v>1</v>
      </c>
      <c r="C189" s="83">
        <v>1</v>
      </c>
      <c r="D189" s="83">
        <v>1</v>
      </c>
      <c r="E189" s="83">
        <v>1</v>
      </c>
      <c r="F189" s="83" t="s">
        <v>32</v>
      </c>
      <c r="G189" s="83">
        <v>1</v>
      </c>
      <c r="H189" s="83">
        <v>1</v>
      </c>
    </row>
    <row r="190" spans="1:8" x14ac:dyDescent="0.25">
      <c r="A190" s="83" t="s">
        <v>587</v>
      </c>
      <c r="B190" s="83" t="str">
        <f t="shared" si="8"/>
        <v>——</v>
      </c>
      <c r="C190" s="83" t="s">
        <v>32</v>
      </c>
      <c r="D190" s="83" t="s">
        <v>32</v>
      </c>
      <c r="E190" s="83" t="s">
        <v>32</v>
      </c>
      <c r="F190" s="83">
        <v>10</v>
      </c>
      <c r="G190" s="83" t="s">
        <v>32</v>
      </c>
      <c r="H190" s="83" t="s">
        <v>32</v>
      </c>
    </row>
    <row r="191" spans="1:8" x14ac:dyDescent="0.25">
      <c r="A191" s="83" t="s">
        <v>586</v>
      </c>
      <c r="B191" s="83" t="str">
        <f t="shared" si="8"/>
        <v>——</v>
      </c>
      <c r="C191" s="83" t="s">
        <v>32</v>
      </c>
      <c r="D191" s="83" t="s">
        <v>32</v>
      </c>
      <c r="E191" s="83" t="s">
        <v>32</v>
      </c>
      <c r="F191" s="83">
        <v>20</v>
      </c>
      <c r="G191" s="83" t="s">
        <v>32</v>
      </c>
      <c r="H191" s="83" t="s">
        <v>32</v>
      </c>
    </row>
    <row r="192" spans="1:8" x14ac:dyDescent="0.25">
      <c r="A192" s="83" t="s">
        <v>339</v>
      </c>
      <c r="B192" s="83" t="str">
        <f t="shared" si="8"/>
        <v>——</v>
      </c>
      <c r="C192" s="83" t="s">
        <v>32</v>
      </c>
      <c r="D192" s="83" t="s">
        <v>32</v>
      </c>
      <c r="E192" s="83" t="s">
        <v>32</v>
      </c>
      <c r="F192" s="83">
        <v>20</v>
      </c>
      <c r="G192" s="83" t="s">
        <v>32</v>
      </c>
      <c r="H192" s="83" t="s">
        <v>32</v>
      </c>
    </row>
    <row r="193" spans="1:8" x14ac:dyDescent="0.25">
      <c r="A193" s="83" t="s">
        <v>574</v>
      </c>
      <c r="B193" s="83" t="str">
        <f t="shared" si="8"/>
        <v>——</v>
      </c>
      <c r="C193" s="83" t="s">
        <v>32</v>
      </c>
      <c r="D193" s="83" t="s">
        <v>32</v>
      </c>
      <c r="E193" s="83" t="s">
        <v>32</v>
      </c>
      <c r="F193" s="83">
        <v>0</v>
      </c>
      <c r="G193" s="83" t="s">
        <v>32</v>
      </c>
      <c r="H193" s="83" t="s">
        <v>32</v>
      </c>
    </row>
    <row r="199" spans="1:8" s="127" customFormat="1" ht="121.8" x14ac:dyDescent="0.25">
      <c r="A199" s="127" t="s">
        <v>926</v>
      </c>
      <c r="C199" s="127" t="s">
        <v>933</v>
      </c>
      <c r="D199" s="127" t="s">
        <v>927</v>
      </c>
      <c r="E199" s="127" t="s">
        <v>929</v>
      </c>
      <c r="F199" s="127" t="s">
        <v>928</v>
      </c>
      <c r="G199" s="127" t="s">
        <v>932</v>
      </c>
      <c r="H199" s="127" t="s">
        <v>927</v>
      </c>
    </row>
    <row r="200" spans="1:8" s="127" customFormat="1" ht="121.8" x14ac:dyDescent="0.25">
      <c r="A200" s="127" t="s">
        <v>931</v>
      </c>
      <c r="C200" s="127" t="s">
        <v>935</v>
      </c>
      <c r="D200" s="127" t="s">
        <v>936</v>
      </c>
      <c r="E200" s="127" t="s">
        <v>937</v>
      </c>
      <c r="F200" s="127" t="s">
        <v>938</v>
      </c>
      <c r="G200" s="127" t="s">
        <v>935</v>
      </c>
      <c r="H200" s="127" t="s">
        <v>936</v>
      </c>
    </row>
    <row r="201" spans="1:8" x14ac:dyDescent="0.25">
      <c r="A201" s="83" t="s">
        <v>1023</v>
      </c>
      <c r="F201" s="83" t="s">
        <v>1024</v>
      </c>
    </row>
  </sheetData>
  <sheetProtection algorithmName="SHA-512" hashValue="XttQNMtHY4XG6MPYoj/l0su/aU9IuZbAVYfbylSokiseWO6ejyIs8qHCa32r5MxddlVh6fuvgo2tZsfNF4tQcQ==" saltValue="dJZB/QjPXIEvQdyThAtWfw==" spinCount="100000" sheet="1" objects="1" scenarios="1" selectLockedCells="1" selectUnlockedCells="1"/>
  <sortState xmlns:xlrd2="http://schemas.microsoft.com/office/spreadsheetml/2017/richdata2" ref="F28:F32">
    <sortCondition ref="F32"/>
  </sortState>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P20"/>
  <sheetViews>
    <sheetView showGridLines="0" workbookViewId="0">
      <selection activeCell="G40" sqref="G40:H40"/>
    </sheetView>
  </sheetViews>
  <sheetFormatPr defaultColWidth="8.21875" defaultRowHeight="15.6" x14ac:dyDescent="0.25"/>
  <cols>
    <col min="1" max="1" width="8.21875" style="1"/>
    <col min="2" max="2" width="13" style="1" customWidth="1"/>
    <col min="3" max="10" width="8.21875" style="1"/>
    <col min="11" max="11" width="11.21875" style="1" bestFit="1" customWidth="1"/>
    <col min="12" max="16384" width="8.21875" style="1"/>
  </cols>
  <sheetData>
    <row r="1" spans="1:16" ht="16.2" thickBot="1" x14ac:dyDescent="0.3">
      <c r="A1" s="607"/>
      <c r="B1" s="607"/>
      <c r="C1" s="607"/>
      <c r="D1" s="607"/>
      <c r="E1" s="607"/>
      <c r="F1" s="607"/>
      <c r="G1" s="607"/>
      <c r="H1" s="607"/>
      <c r="I1" s="607"/>
      <c r="J1" s="607"/>
      <c r="K1" s="607"/>
      <c r="L1" s="607"/>
      <c r="M1" s="607"/>
      <c r="N1" s="607"/>
      <c r="O1" s="607"/>
      <c r="P1" s="607"/>
    </row>
    <row r="2" spans="1:16" s="2" customFormat="1" x14ac:dyDescent="0.25">
      <c r="B2" s="609" t="s">
        <v>363</v>
      </c>
      <c r="C2" s="610"/>
      <c r="E2" s="609" t="s">
        <v>10</v>
      </c>
      <c r="F2" s="610"/>
      <c r="H2" s="609" t="s">
        <v>14</v>
      </c>
      <c r="I2" s="610"/>
      <c r="K2" s="609" t="s">
        <v>61</v>
      </c>
      <c r="L2" s="610"/>
      <c r="N2" s="609" t="s">
        <v>518</v>
      </c>
      <c r="O2" s="610"/>
    </row>
    <row r="3" spans="1:16" x14ac:dyDescent="0.25">
      <c r="B3" s="12" t="s">
        <v>26</v>
      </c>
      <c r="C3" s="13" t="s">
        <v>27</v>
      </c>
      <c r="E3" s="12" t="s">
        <v>26</v>
      </c>
      <c r="F3" s="13" t="s">
        <v>27</v>
      </c>
      <c r="H3" s="12" t="s">
        <v>26</v>
      </c>
      <c r="I3" s="13" t="s">
        <v>27</v>
      </c>
      <c r="K3" s="12" t="s">
        <v>26</v>
      </c>
      <c r="L3" s="13" t="s">
        <v>27</v>
      </c>
      <c r="N3" s="12" t="s">
        <v>26</v>
      </c>
      <c r="O3" s="13" t="s">
        <v>27</v>
      </c>
    </row>
    <row r="4" spans="1:16" x14ac:dyDescent="0.25">
      <c r="B4" s="71" t="s">
        <v>15</v>
      </c>
      <c r="C4" s="75">
        <v>5</v>
      </c>
      <c r="E4" s="71" t="s">
        <v>17</v>
      </c>
      <c r="F4" s="75">
        <v>1</v>
      </c>
      <c r="H4" s="71" t="s">
        <v>226</v>
      </c>
      <c r="I4" s="75">
        <v>5</v>
      </c>
      <c r="K4" s="71" t="s">
        <v>269</v>
      </c>
      <c r="L4" s="75">
        <v>25</v>
      </c>
      <c r="N4" s="5" t="s">
        <v>366</v>
      </c>
      <c r="O4" s="6">
        <v>1</v>
      </c>
    </row>
    <row r="5" spans="1:16" x14ac:dyDescent="0.25">
      <c r="B5" s="72" t="s">
        <v>49</v>
      </c>
      <c r="C5" s="76">
        <v>5</v>
      </c>
      <c r="E5" s="72" t="s">
        <v>56</v>
      </c>
      <c r="F5" s="76">
        <v>1</v>
      </c>
      <c r="H5" s="72" t="s">
        <v>227</v>
      </c>
      <c r="I5" s="76">
        <v>10</v>
      </c>
      <c r="K5" s="72" t="s">
        <v>52</v>
      </c>
      <c r="L5" s="76">
        <v>15</v>
      </c>
      <c r="N5" s="3" t="s">
        <v>376</v>
      </c>
      <c r="O5" s="4">
        <v>1</v>
      </c>
    </row>
    <row r="6" spans="1:16" x14ac:dyDescent="0.25">
      <c r="B6" s="71" t="s">
        <v>16</v>
      </c>
      <c r="C6" s="75">
        <v>5</v>
      </c>
      <c r="E6" s="71" t="s">
        <v>50</v>
      </c>
      <c r="F6" s="75">
        <v>1</v>
      </c>
      <c r="H6" s="71" t="s">
        <v>62</v>
      </c>
      <c r="I6" s="75">
        <v>25</v>
      </c>
      <c r="K6" s="71" t="s">
        <v>268</v>
      </c>
      <c r="L6" s="75">
        <v>15</v>
      </c>
      <c r="N6" s="5" t="s">
        <v>343</v>
      </c>
      <c r="O6" s="6">
        <v>1</v>
      </c>
    </row>
    <row r="7" spans="1:16" x14ac:dyDescent="0.25">
      <c r="B7" s="72" t="s">
        <v>365</v>
      </c>
      <c r="C7" s="76">
        <v>5</v>
      </c>
      <c r="E7" s="72" t="s">
        <v>57</v>
      </c>
      <c r="F7" s="76">
        <v>10</v>
      </c>
      <c r="H7" s="72" t="s">
        <v>228</v>
      </c>
      <c r="I7" s="76">
        <v>15</v>
      </c>
      <c r="K7" s="72" t="s">
        <v>53</v>
      </c>
      <c r="L7" s="76">
        <v>10</v>
      </c>
      <c r="N7" s="3" t="s">
        <v>367</v>
      </c>
      <c r="O7" s="4">
        <v>1</v>
      </c>
    </row>
    <row r="8" spans="1:16" x14ac:dyDescent="0.25">
      <c r="B8" s="71" t="s">
        <v>352</v>
      </c>
      <c r="C8" s="75">
        <v>5</v>
      </c>
      <c r="E8" s="71" t="s">
        <v>51</v>
      </c>
      <c r="F8" s="75">
        <v>1</v>
      </c>
      <c r="H8" s="71" t="s">
        <v>29</v>
      </c>
      <c r="I8" s="75">
        <v>20</v>
      </c>
      <c r="K8" s="71" t="s">
        <v>378</v>
      </c>
      <c r="L8" s="75">
        <v>10</v>
      </c>
      <c r="N8" s="5" t="s">
        <v>368</v>
      </c>
      <c r="O8" s="6">
        <v>1</v>
      </c>
    </row>
    <row r="9" spans="1:16" ht="16.2" thickBot="1" x14ac:dyDescent="0.3">
      <c r="B9" s="72" t="s">
        <v>358</v>
      </c>
      <c r="C9" s="76">
        <v>5</v>
      </c>
      <c r="E9" s="72" t="s">
        <v>58</v>
      </c>
      <c r="F9" s="76">
        <v>1</v>
      </c>
      <c r="H9" s="72" t="s">
        <v>344</v>
      </c>
      <c r="I9" s="76">
        <v>15</v>
      </c>
      <c r="K9" s="72" t="s">
        <v>54</v>
      </c>
      <c r="L9" s="76">
        <v>20</v>
      </c>
      <c r="N9" s="7" t="s">
        <v>662</v>
      </c>
      <c r="O9" s="8">
        <v>5</v>
      </c>
    </row>
    <row r="10" spans="1:16" ht="16.2" thickBot="1" x14ac:dyDescent="0.3">
      <c r="B10" s="71" t="s">
        <v>341</v>
      </c>
      <c r="C10" s="75">
        <v>5</v>
      </c>
      <c r="E10" s="71" t="s">
        <v>346</v>
      </c>
      <c r="F10" s="75">
        <v>1</v>
      </c>
      <c r="H10" s="71" t="s">
        <v>63</v>
      </c>
      <c r="I10" s="75">
        <v>10</v>
      </c>
      <c r="K10" s="73" t="s">
        <v>55</v>
      </c>
      <c r="L10" s="77">
        <v>10</v>
      </c>
    </row>
    <row r="11" spans="1:16" ht="16.2" thickBot="1" x14ac:dyDescent="0.3">
      <c r="B11" s="72" t="s">
        <v>342</v>
      </c>
      <c r="C11" s="76">
        <v>5</v>
      </c>
      <c r="E11" s="72" t="s">
        <v>59</v>
      </c>
      <c r="F11" s="76">
        <v>1</v>
      </c>
      <c r="H11" s="74" t="s">
        <v>28</v>
      </c>
      <c r="I11" s="78">
        <v>20</v>
      </c>
    </row>
    <row r="12" spans="1:16" x14ac:dyDescent="0.25">
      <c r="B12" s="71" t="s">
        <v>353</v>
      </c>
      <c r="C12" s="75">
        <v>5</v>
      </c>
      <c r="E12" s="71" t="s">
        <v>18</v>
      </c>
      <c r="F12" s="75">
        <v>1</v>
      </c>
    </row>
    <row r="13" spans="1:16" x14ac:dyDescent="0.25">
      <c r="B13" s="72" t="s">
        <v>359</v>
      </c>
      <c r="C13" s="76">
        <v>5</v>
      </c>
      <c r="E13" s="72" t="s">
        <v>19</v>
      </c>
      <c r="F13" s="76">
        <v>1</v>
      </c>
    </row>
    <row r="14" spans="1:16" x14ac:dyDescent="0.25">
      <c r="B14" s="71" t="s">
        <v>354</v>
      </c>
      <c r="C14" s="75">
        <v>5</v>
      </c>
      <c r="E14" s="71" t="s">
        <v>20</v>
      </c>
      <c r="F14" s="75">
        <v>1</v>
      </c>
    </row>
    <row r="15" spans="1:16" x14ac:dyDescent="0.25">
      <c r="B15" s="72" t="s">
        <v>360</v>
      </c>
      <c r="C15" s="76">
        <v>5</v>
      </c>
      <c r="E15" s="72" t="s">
        <v>60</v>
      </c>
      <c r="F15" s="76">
        <v>1</v>
      </c>
      <c r="H15" s="607"/>
      <c r="I15" s="607"/>
      <c r="J15" s="607"/>
      <c r="K15" s="607"/>
      <c r="L15" s="607"/>
    </row>
    <row r="16" spans="1:16" ht="16.2" thickBot="1" x14ac:dyDescent="0.3">
      <c r="B16" s="71" t="s">
        <v>355</v>
      </c>
      <c r="C16" s="75">
        <v>5</v>
      </c>
      <c r="E16" s="73" t="s">
        <v>364</v>
      </c>
      <c r="F16" s="77">
        <v>1</v>
      </c>
      <c r="H16" s="608" t="s">
        <v>481</v>
      </c>
      <c r="I16" s="608"/>
      <c r="J16" s="608"/>
      <c r="K16" s="608"/>
      <c r="L16" s="608"/>
    </row>
    <row r="17" spans="2:3" x14ac:dyDescent="0.25">
      <c r="B17" s="72" t="s">
        <v>361</v>
      </c>
      <c r="C17" s="76">
        <v>5</v>
      </c>
    </row>
    <row r="18" spans="2:3" x14ac:dyDescent="0.25">
      <c r="B18" s="71" t="s">
        <v>356</v>
      </c>
      <c r="C18" s="75">
        <v>5</v>
      </c>
    </row>
    <row r="19" spans="2:3" x14ac:dyDescent="0.25">
      <c r="B19" s="72" t="s">
        <v>362</v>
      </c>
      <c r="C19" s="76">
        <v>5</v>
      </c>
    </row>
    <row r="20" spans="2:3" ht="16.2" thickBot="1" x14ac:dyDescent="0.3">
      <c r="B20" s="73" t="s">
        <v>357</v>
      </c>
      <c r="C20" s="77">
        <v>5</v>
      </c>
    </row>
  </sheetData>
  <sortState xmlns:xlrd2="http://schemas.microsoft.com/office/spreadsheetml/2017/richdata2" ref="N5:O9">
    <sortCondition ref="N4"/>
  </sortState>
  <mergeCells count="8">
    <mergeCell ref="H15:L15"/>
    <mergeCell ref="H16:L16"/>
    <mergeCell ref="A1:P1"/>
    <mergeCell ref="B2:C2"/>
    <mergeCell ref="E2:F2"/>
    <mergeCell ref="H2:I2"/>
    <mergeCell ref="K2:L2"/>
    <mergeCell ref="N2:O2"/>
  </mergeCells>
  <phoneticPr fontId="2" type="noConversion"/>
  <dataValidations xWindow="393" yWindow="389" count="38">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xr:uid="{00000000-0002-0000-0100-000001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xr:uid="{00000000-0002-0000-0100-00000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xr:uid="{00000000-0002-0000-0100-000003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xr:uid="{00000000-0002-0000-0100-000004000000}"/>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xr:uid="{00000000-0002-0000-0100-000005000000}"/>
    <dataValidation allowBlank="1" showInputMessage="1" showErrorMessage="1" promptTitle="Diving (01%)" prompt="使用者接受过在深海游泳的使用以及维持潜水设备的训练，水下导航，合适的下潜配重，以及应对紧急情况的方法。" sqref="N8" xr:uid="{00000000-0002-0000-0100-000006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5" xr:uid="{00000000-0002-0000-0100-000007000000}"/>
    <dataValidation allowBlank="1" showInputMessage="1" showErrorMessage="1" promptTitle="Read Lips (01%)" prompt="这个技能允许调查员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6" xr:uid="{00000000-0002-0000-0100-000008000000}"/>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Axe (15%)" prompt="使用长柄斧的技能。如果是短柄小斧则使用打架。如果拿来投掷，使用投掷技能。" sqref="H7" xr:uid="{00000000-0002-0000-0100-00000B000000}"/>
    <dataValidation allowBlank="1" showInputMessage="1" showErrorMessage="1" promptTitle="Chainsaw (10%)" prompt="即电锯_x000a_第一个量产的瓦斯动力的链锯于1927 年面世；早期也有各种版本存在。" sqref="H5" xr:uid="{00000000-0002-0000-0100-00000C000000}"/>
    <dataValidation allowBlank="1" showInputMessage="1" showErrorMessage="1" promptTitle="Flail (10%)" prompt="双节棍、流星锤和其他中世纪武器。" sqref="H10" xr:uid="{00000000-0002-0000-0100-00000D000000}"/>
    <dataValidation allowBlank="1" showInputMessage="1" showErrorMessage="1" promptTitle="Garrote (15%)" prompt="任意长度的用于锁喉的兵器。被锁喉者必须以战技（Fighting Maneuver ）逃脱，否则每回合会受到1D6伤害。" sqref="H9" xr:uid="{00000000-0002-0000-0100-00000E000000}"/>
    <dataValidation allowBlank="1" showInputMessage="1" showErrorMessage="1" promptTitle="Spear (20%)" prompt="长矛和鱼叉。如果拿来投掷，使用投掷技能。" sqref="H11" xr:uid="{00000000-0002-0000-0100-00000F000000}"/>
    <dataValidation allowBlank="1" showInputMessage="1" showErrorMessage="1" promptTitle="Sword (20%)" prompt="所有半米长以上的刃器。" sqref="H8" xr:uid="{00000000-0002-0000-0100-000010000000}"/>
    <dataValidation allowBlank="1" showInputMessage="1" showErrorMessage="1" promptTitle="Whip (05%)" prompt="套牛绳和鞭子。" sqref="H4" xr:uid="{00000000-0002-0000-0100-000011000000}"/>
    <dataValidation allowBlank="1" showInputMessage="1" showErrorMessage="1" promptTitle="Bow (15%)" prompt="用于弓、十字弓、中世纪长弓、强力合成弓。" sqref="K6" xr:uid="{00000000-0002-0000-0100-000012000000}"/>
    <dataValidation allowBlank="1" showInputMessage="1" showErrorMessage="1" promptTitle="Flamethrower (10%)" prompt="喷射可燃性液体或瓦斯的武器。可以由使用者带着或是安装在交通工具上。" sqref="K7" xr:uid="{00000000-0002-0000-0100-000013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4000000}"/>
    <dataValidation allowBlank="1" showInputMessage="1" showErrorMessage="1" promptTitle="Heavy Weapons (10%)" prompt="用于榴弹发射器、反坦克火箭等。" sqref="K10" xr:uid="{00000000-0002-0000-0100-000015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6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17000000}"/>
    <dataValidation allowBlank="1" showInputMessage="1" showErrorMessage="1" promptTitle="Submachine Gun (15%)" prompt="用于发射任何一把机械手枪或是半机枪；也包括使用连发的突击步枪。" sqref="K5" xr:uid="{00000000-0002-0000-0100-000018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9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1A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B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1C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1D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1E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1F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20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21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22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3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4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5000000}"/>
  </dataValidations>
  <hyperlinks>
    <hyperlink ref="H16:L16" location="建卡!O80" display="点击这里返回“建卡”标签。" xr:uid="{52A0CFA5-16FC-4E63-A01D-0D281EB68387}"/>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138"/>
  <sheetViews>
    <sheetView showGridLines="0" showRowColHeaders="0" zoomScaleNormal="100" workbookViewId="0">
      <pane ySplit="1" topLeftCell="A2" activePane="bottomLeft" state="frozen"/>
      <selection pane="bottomLeft" activeCell="E2" sqref="E2"/>
    </sheetView>
  </sheetViews>
  <sheetFormatPr defaultColWidth="9" defaultRowHeight="15.6" x14ac:dyDescent="0.25"/>
  <cols>
    <col min="1" max="1" width="5.44140625" style="56" bestFit="1" customWidth="1"/>
    <col min="2" max="2" width="11.6640625" style="56" bestFit="1" customWidth="1"/>
    <col min="3" max="3" width="28" style="57" bestFit="1" customWidth="1"/>
    <col min="4" max="4" width="9" style="58"/>
    <col min="5" max="5" width="26.109375" style="59" bestFit="1" customWidth="1"/>
    <col min="6" max="6" width="8.109375" style="56" customWidth="1"/>
    <col min="7" max="7" width="157.33203125" style="60" customWidth="1"/>
    <col min="8" max="16384" width="9" style="56"/>
  </cols>
  <sheetData>
    <row r="1" spans="1:7" x14ac:dyDescent="0.25">
      <c r="A1" s="92" t="s">
        <v>25</v>
      </c>
      <c r="B1" s="92" t="s">
        <v>531</v>
      </c>
      <c r="C1" s="92" t="s">
        <v>2</v>
      </c>
      <c r="D1" s="93" t="s">
        <v>702</v>
      </c>
      <c r="E1" s="94" t="s">
        <v>83</v>
      </c>
      <c r="F1" s="92" t="s">
        <v>30</v>
      </c>
      <c r="G1" s="94" t="s">
        <v>24</v>
      </c>
    </row>
    <row r="2" spans="1:7" x14ac:dyDescent="0.25">
      <c r="A2" s="95">
        <v>0</v>
      </c>
      <c r="B2" s="95" t="s">
        <v>681</v>
      </c>
      <c r="C2" s="96" t="s">
        <v>31</v>
      </c>
      <c r="D2" s="97" t="s">
        <v>66</v>
      </c>
      <c r="E2" s="98" t="s">
        <v>1051</v>
      </c>
      <c r="F2" s="95">
        <f>LOOKUP(E2,附表!E26:E31,附表!F26:F31)</f>
        <v>0</v>
      </c>
      <c r="G2" s="99" t="s">
        <v>478</v>
      </c>
    </row>
    <row r="3" spans="1:7" x14ac:dyDescent="0.25">
      <c r="A3" s="100">
        <v>1</v>
      </c>
      <c r="B3" s="100" t="s">
        <v>683</v>
      </c>
      <c r="C3" s="101" t="s">
        <v>65</v>
      </c>
      <c r="D3" s="100" t="s">
        <v>67</v>
      </c>
      <c r="E3" s="102" t="s">
        <v>1051</v>
      </c>
      <c r="F3" s="100">
        <f>EDU*4</f>
        <v>0</v>
      </c>
      <c r="G3" s="103" t="s">
        <v>233</v>
      </c>
    </row>
    <row r="4" spans="1:7" x14ac:dyDescent="0.25">
      <c r="A4" s="95">
        <v>2</v>
      </c>
      <c r="B4" s="95" t="s">
        <v>682</v>
      </c>
      <c r="C4" s="104" t="s">
        <v>105</v>
      </c>
      <c r="D4" s="97" t="s">
        <v>68</v>
      </c>
      <c r="E4" s="105" t="s">
        <v>1058</v>
      </c>
      <c r="F4" s="95">
        <f>EDU*2+DEX*2</f>
        <v>0</v>
      </c>
      <c r="G4" s="99" t="s">
        <v>90</v>
      </c>
    </row>
    <row r="5" spans="1:7" x14ac:dyDescent="0.25">
      <c r="A5" s="100">
        <v>3</v>
      </c>
      <c r="B5" s="100" t="s">
        <v>682</v>
      </c>
      <c r="C5" s="101" t="s">
        <v>69</v>
      </c>
      <c r="D5" s="100" t="s">
        <v>80</v>
      </c>
      <c r="E5" s="102" t="s">
        <v>1061</v>
      </c>
      <c r="F5" s="100">
        <f>EDU*2+APP*2</f>
        <v>0</v>
      </c>
      <c r="G5" s="103" t="s">
        <v>1134</v>
      </c>
    </row>
    <row r="6" spans="1:7" x14ac:dyDescent="0.25">
      <c r="A6" s="95">
        <v>4</v>
      </c>
      <c r="B6" s="95" t="s">
        <v>682</v>
      </c>
      <c r="C6" s="104" t="s">
        <v>75</v>
      </c>
      <c r="D6" s="97" t="s">
        <v>106</v>
      </c>
      <c r="E6" s="105" t="s">
        <v>1061</v>
      </c>
      <c r="F6" s="95">
        <f>EDU*2+APP*2</f>
        <v>0</v>
      </c>
      <c r="G6" s="99" t="s">
        <v>1135</v>
      </c>
    </row>
    <row r="7" spans="1:7" x14ac:dyDescent="0.25">
      <c r="A7" s="100">
        <v>5</v>
      </c>
      <c r="B7" s="100" t="s">
        <v>682</v>
      </c>
      <c r="C7" s="101" t="s">
        <v>107</v>
      </c>
      <c r="D7" s="100" t="s">
        <v>108</v>
      </c>
      <c r="E7" s="102" t="s">
        <v>1059</v>
      </c>
      <c r="F7" s="100">
        <f>EDU*2+MAX(STR,DEX)*2</f>
        <v>0</v>
      </c>
      <c r="G7" s="103" t="s">
        <v>1136</v>
      </c>
    </row>
    <row r="8" spans="1:7" x14ac:dyDescent="0.25">
      <c r="A8" s="95">
        <v>6</v>
      </c>
      <c r="B8" s="95" t="s">
        <v>682</v>
      </c>
      <c r="C8" s="104" t="s">
        <v>109</v>
      </c>
      <c r="D8" s="97" t="s">
        <v>110</v>
      </c>
      <c r="E8" s="105" t="s">
        <v>1051</v>
      </c>
      <c r="F8" s="95">
        <f>EDU*4</f>
        <v>0</v>
      </c>
      <c r="G8" s="99" t="s">
        <v>76</v>
      </c>
    </row>
    <row r="9" spans="1:7" x14ac:dyDescent="0.25">
      <c r="A9" s="100">
        <v>7</v>
      </c>
      <c r="B9" s="100" t="s">
        <v>682</v>
      </c>
      <c r="C9" s="101" t="s">
        <v>111</v>
      </c>
      <c r="D9" s="100" t="s">
        <v>70</v>
      </c>
      <c r="E9" s="102" t="s">
        <v>1064</v>
      </c>
      <c r="F9" s="100">
        <f>EDU*2+MAX(APP,POW)*2</f>
        <v>0</v>
      </c>
      <c r="G9" s="103" t="s">
        <v>1203</v>
      </c>
    </row>
    <row r="10" spans="1:7" x14ac:dyDescent="0.25">
      <c r="A10" s="95">
        <v>8</v>
      </c>
      <c r="B10" s="95" t="s">
        <v>682</v>
      </c>
      <c r="C10" s="104" t="s">
        <v>684</v>
      </c>
      <c r="D10" s="97" t="s">
        <v>67</v>
      </c>
      <c r="E10" s="105" t="s">
        <v>1051</v>
      </c>
      <c r="F10" s="95">
        <f>EDU*4</f>
        <v>0</v>
      </c>
      <c r="G10" s="99" t="s">
        <v>1137</v>
      </c>
    </row>
    <row r="11" spans="1:7" x14ac:dyDescent="0.25">
      <c r="A11" s="100">
        <v>9</v>
      </c>
      <c r="B11" s="100" t="s">
        <v>682</v>
      </c>
      <c r="C11" s="101" t="s">
        <v>71</v>
      </c>
      <c r="D11" s="100" t="s">
        <v>91</v>
      </c>
      <c r="E11" s="102" t="s">
        <v>1051</v>
      </c>
      <c r="F11" s="100">
        <f>EDU*4</f>
        <v>0</v>
      </c>
      <c r="G11" s="103" t="s">
        <v>1138</v>
      </c>
    </row>
    <row r="12" spans="1:7" x14ac:dyDescent="0.25">
      <c r="A12" s="95">
        <v>10</v>
      </c>
      <c r="B12" s="95" t="s">
        <v>682</v>
      </c>
      <c r="C12" s="104" t="s">
        <v>685</v>
      </c>
      <c r="D12" s="97" t="s">
        <v>70</v>
      </c>
      <c r="E12" s="105" t="s">
        <v>1051</v>
      </c>
      <c r="F12" s="95">
        <f>EDU*4</f>
        <v>0</v>
      </c>
      <c r="G12" s="99" t="s">
        <v>77</v>
      </c>
    </row>
    <row r="13" spans="1:7" x14ac:dyDescent="0.25">
      <c r="A13" s="100">
        <v>11</v>
      </c>
      <c r="B13" s="100" t="s">
        <v>682</v>
      </c>
      <c r="C13" s="101" t="s">
        <v>112</v>
      </c>
      <c r="D13" s="100" t="s">
        <v>67</v>
      </c>
      <c r="E13" s="102" t="s">
        <v>1051</v>
      </c>
      <c r="F13" s="100">
        <f>EDU*4</f>
        <v>0</v>
      </c>
      <c r="G13" s="103" t="s">
        <v>482</v>
      </c>
    </row>
    <row r="14" spans="1:7" x14ac:dyDescent="0.25">
      <c r="A14" s="95">
        <v>12</v>
      </c>
      <c r="B14" s="95" t="s">
        <v>682</v>
      </c>
      <c r="C14" s="104" t="s">
        <v>232</v>
      </c>
      <c r="D14" s="97" t="s">
        <v>72</v>
      </c>
      <c r="E14" s="105" t="s">
        <v>1065</v>
      </c>
      <c r="F14" s="95">
        <f>EDU*2+MAX(DEX,POW)*2</f>
        <v>0</v>
      </c>
      <c r="G14" s="99" t="s">
        <v>1139</v>
      </c>
    </row>
    <row r="15" spans="1:7" x14ac:dyDescent="0.25">
      <c r="A15" s="100">
        <v>13</v>
      </c>
      <c r="B15" s="100" t="s">
        <v>682</v>
      </c>
      <c r="C15" s="101" t="s">
        <v>73</v>
      </c>
      <c r="D15" s="100" t="s">
        <v>113</v>
      </c>
      <c r="E15" s="102" t="s">
        <v>1059</v>
      </c>
      <c r="F15" s="100">
        <f>EDU*2+MAX(STR,DEX)*2</f>
        <v>0</v>
      </c>
      <c r="G15" s="103" t="s">
        <v>1140</v>
      </c>
    </row>
    <row r="16" spans="1:7" x14ac:dyDescent="0.25">
      <c r="A16" s="95">
        <v>14</v>
      </c>
      <c r="B16" s="95" t="s">
        <v>682</v>
      </c>
      <c r="C16" s="104" t="s">
        <v>21</v>
      </c>
      <c r="D16" s="97" t="s">
        <v>74</v>
      </c>
      <c r="E16" s="105" t="s">
        <v>1059</v>
      </c>
      <c r="F16" s="95">
        <f>EDU*2+MAX(STR,DEX)*2</f>
        <v>0</v>
      </c>
      <c r="G16" s="99" t="s">
        <v>1141</v>
      </c>
    </row>
    <row r="17" spans="1:7" x14ac:dyDescent="0.25">
      <c r="A17" s="100">
        <v>15</v>
      </c>
      <c r="B17" s="100" t="s">
        <v>682</v>
      </c>
      <c r="C17" s="101" t="s">
        <v>686</v>
      </c>
      <c r="D17" s="100" t="s">
        <v>79</v>
      </c>
      <c r="E17" s="102" t="s">
        <v>1051</v>
      </c>
      <c r="F17" s="100">
        <f>EDU*4</f>
        <v>0</v>
      </c>
      <c r="G17" s="103" t="s">
        <v>483</v>
      </c>
    </row>
    <row r="18" spans="1:7" x14ac:dyDescent="0.25">
      <c r="A18" s="95">
        <v>16</v>
      </c>
      <c r="B18" s="95" t="s">
        <v>682</v>
      </c>
      <c r="C18" s="104" t="s">
        <v>78</v>
      </c>
      <c r="D18" s="97" t="s">
        <v>114</v>
      </c>
      <c r="E18" s="105" t="s">
        <v>1061</v>
      </c>
      <c r="F18" s="95">
        <f>EDU*2+APP*2</f>
        <v>0</v>
      </c>
      <c r="G18" s="99" t="s">
        <v>1142</v>
      </c>
    </row>
    <row r="19" spans="1:7" x14ac:dyDescent="0.25">
      <c r="A19" s="100">
        <v>17</v>
      </c>
      <c r="B19" s="100" t="s">
        <v>682</v>
      </c>
      <c r="C19" s="101" t="s">
        <v>115</v>
      </c>
      <c r="D19" s="100" t="s">
        <v>116</v>
      </c>
      <c r="E19" s="102" t="s">
        <v>1059</v>
      </c>
      <c r="F19" s="100">
        <f>EDU*2+MAX(STR,DEX)*2</f>
        <v>0</v>
      </c>
      <c r="G19" s="103" t="s">
        <v>484</v>
      </c>
    </row>
    <row r="20" spans="1:7" x14ac:dyDescent="0.25">
      <c r="A20" s="95">
        <v>18</v>
      </c>
      <c r="B20" s="95" t="s">
        <v>682</v>
      </c>
      <c r="C20" s="104" t="s">
        <v>22</v>
      </c>
      <c r="D20" s="97" t="s">
        <v>117</v>
      </c>
      <c r="E20" s="105" t="s">
        <v>1051</v>
      </c>
      <c r="F20" s="95">
        <f>EDU*4</f>
        <v>0</v>
      </c>
      <c r="G20" s="99" t="s">
        <v>1143</v>
      </c>
    </row>
    <row r="21" spans="1:7" x14ac:dyDescent="0.25">
      <c r="A21" s="100">
        <v>19</v>
      </c>
      <c r="B21" s="100" t="s">
        <v>682</v>
      </c>
      <c r="C21" s="101" t="s">
        <v>23</v>
      </c>
      <c r="D21" s="100" t="s">
        <v>79</v>
      </c>
      <c r="E21" s="102" t="s">
        <v>1059</v>
      </c>
      <c r="F21" s="100">
        <f>EDU*2+MAX(STR,DEX)*2</f>
        <v>0</v>
      </c>
      <c r="G21" s="103" t="s">
        <v>1144</v>
      </c>
    </row>
    <row r="22" spans="1:7" x14ac:dyDescent="0.25">
      <c r="A22" s="95">
        <v>20</v>
      </c>
      <c r="B22" s="95" t="s">
        <v>682</v>
      </c>
      <c r="C22" s="104" t="s">
        <v>118</v>
      </c>
      <c r="D22" s="97" t="s">
        <v>81</v>
      </c>
      <c r="E22" s="105" t="s">
        <v>1057</v>
      </c>
      <c r="F22" s="95">
        <f>EDU*2+STR*2</f>
        <v>0</v>
      </c>
      <c r="G22" s="99" t="s">
        <v>119</v>
      </c>
    </row>
    <row r="23" spans="1:7" x14ac:dyDescent="0.25">
      <c r="A23" s="100">
        <v>21</v>
      </c>
      <c r="B23" s="100" t="s">
        <v>682</v>
      </c>
      <c r="C23" s="101" t="s">
        <v>120</v>
      </c>
      <c r="D23" s="100" t="s">
        <v>80</v>
      </c>
      <c r="E23" s="102" t="s">
        <v>1051</v>
      </c>
      <c r="F23" s="100">
        <f>EDU*4</f>
        <v>0</v>
      </c>
      <c r="G23" s="103" t="s">
        <v>1204</v>
      </c>
    </row>
    <row r="24" spans="1:7" x14ac:dyDescent="0.25">
      <c r="A24" s="95">
        <v>22</v>
      </c>
      <c r="B24" s="95" t="s">
        <v>682</v>
      </c>
      <c r="C24" s="104" t="s">
        <v>121</v>
      </c>
      <c r="D24" s="97" t="s">
        <v>81</v>
      </c>
      <c r="E24" s="105" t="s">
        <v>1051</v>
      </c>
      <c r="F24" s="95">
        <f>EDU*4</f>
        <v>0</v>
      </c>
      <c r="G24" s="99" t="s">
        <v>1145</v>
      </c>
    </row>
    <row r="25" spans="1:7" x14ac:dyDescent="0.25">
      <c r="A25" s="100">
        <v>23</v>
      </c>
      <c r="B25" s="100" t="s">
        <v>682</v>
      </c>
      <c r="C25" s="101" t="s">
        <v>82</v>
      </c>
      <c r="D25" s="100" t="s">
        <v>92</v>
      </c>
      <c r="E25" s="102" t="s">
        <v>1051</v>
      </c>
      <c r="F25" s="100">
        <f>EDU*4</f>
        <v>0</v>
      </c>
      <c r="G25" s="103" t="s">
        <v>485</v>
      </c>
    </row>
    <row r="26" spans="1:7" x14ac:dyDescent="0.25">
      <c r="A26" s="95">
        <v>24</v>
      </c>
      <c r="B26" s="95" t="s">
        <v>682</v>
      </c>
      <c r="C26" s="104" t="s">
        <v>122</v>
      </c>
      <c r="D26" s="97" t="s">
        <v>92</v>
      </c>
      <c r="E26" s="105" t="s">
        <v>1051</v>
      </c>
      <c r="F26" s="95">
        <f>EDU*4</f>
        <v>0</v>
      </c>
      <c r="G26" s="99" t="s">
        <v>1146</v>
      </c>
    </row>
    <row r="27" spans="1:7" x14ac:dyDescent="0.25">
      <c r="A27" s="100">
        <v>25</v>
      </c>
      <c r="B27" s="100" t="s">
        <v>682</v>
      </c>
      <c r="C27" s="101" t="s">
        <v>45</v>
      </c>
      <c r="D27" s="100" t="s">
        <v>68</v>
      </c>
      <c r="E27" s="102" t="s">
        <v>1059</v>
      </c>
      <c r="F27" s="100">
        <f>EDU*2+MAX(STR,DEX)*2</f>
        <v>0</v>
      </c>
      <c r="G27" s="103" t="s">
        <v>486</v>
      </c>
    </row>
    <row r="28" spans="1:7" x14ac:dyDescent="0.25">
      <c r="A28" s="95">
        <v>26</v>
      </c>
      <c r="B28" s="95" t="s">
        <v>682</v>
      </c>
      <c r="C28" s="104" t="s">
        <v>123</v>
      </c>
      <c r="D28" s="97" t="s">
        <v>70</v>
      </c>
      <c r="E28" s="105" t="s">
        <v>1058</v>
      </c>
      <c r="F28" s="95">
        <f>EDU*2+DEX*2</f>
        <v>0</v>
      </c>
      <c r="G28" s="99" t="s">
        <v>487</v>
      </c>
    </row>
    <row r="29" spans="1:7" x14ac:dyDescent="0.25">
      <c r="A29" s="100">
        <v>27</v>
      </c>
      <c r="B29" s="100" t="s">
        <v>682</v>
      </c>
      <c r="C29" s="101" t="s">
        <v>124</v>
      </c>
      <c r="D29" s="100" t="s">
        <v>89</v>
      </c>
      <c r="E29" s="102" t="s">
        <v>1059</v>
      </c>
      <c r="F29" s="100">
        <f>EDU*2+MAX(STR,DEX)*2</f>
        <v>0</v>
      </c>
      <c r="G29" s="103" t="s">
        <v>488</v>
      </c>
    </row>
    <row r="30" spans="1:7" x14ac:dyDescent="0.25">
      <c r="A30" s="95">
        <v>28</v>
      </c>
      <c r="B30" s="95" t="s">
        <v>682</v>
      </c>
      <c r="C30" s="104" t="s">
        <v>84</v>
      </c>
      <c r="D30" s="97" t="s">
        <v>125</v>
      </c>
      <c r="E30" s="105" t="s">
        <v>1059</v>
      </c>
      <c r="F30" s="95">
        <f>EDU*2+MAX(STR,DEX)*2</f>
        <v>0</v>
      </c>
      <c r="G30" s="99" t="s">
        <v>489</v>
      </c>
    </row>
    <row r="31" spans="1:7" x14ac:dyDescent="0.25">
      <c r="A31" s="100">
        <v>29</v>
      </c>
      <c r="B31" s="100" t="s">
        <v>682</v>
      </c>
      <c r="C31" s="101" t="s">
        <v>126</v>
      </c>
      <c r="D31" s="100" t="s">
        <v>93</v>
      </c>
      <c r="E31" s="102" t="s">
        <v>1057</v>
      </c>
      <c r="F31" s="100">
        <f>EDU*2+STR*2</f>
        <v>0</v>
      </c>
      <c r="G31" s="103" t="s">
        <v>1147</v>
      </c>
    </row>
    <row r="32" spans="1:7" x14ac:dyDescent="0.25">
      <c r="A32" s="95">
        <v>30</v>
      </c>
      <c r="B32" s="95" t="s">
        <v>682</v>
      </c>
      <c r="C32" s="104" t="s">
        <v>127</v>
      </c>
      <c r="D32" s="97" t="s">
        <v>128</v>
      </c>
      <c r="E32" s="105" t="s">
        <v>1058</v>
      </c>
      <c r="F32" s="95">
        <f>EDU*2+DEX*2</f>
        <v>0</v>
      </c>
      <c r="G32" s="99" t="s">
        <v>490</v>
      </c>
    </row>
    <row r="33" spans="1:7" x14ac:dyDescent="0.25">
      <c r="A33" s="100">
        <v>31</v>
      </c>
      <c r="B33" s="100" t="s">
        <v>682</v>
      </c>
      <c r="C33" s="101" t="s">
        <v>85</v>
      </c>
      <c r="D33" s="100" t="s">
        <v>129</v>
      </c>
      <c r="E33" s="102" t="s">
        <v>1061</v>
      </c>
      <c r="F33" s="100">
        <f>EDU*2+APP*2</f>
        <v>0</v>
      </c>
      <c r="G33" s="103" t="s">
        <v>1148</v>
      </c>
    </row>
    <row r="34" spans="1:7" x14ac:dyDescent="0.25">
      <c r="A34" s="95">
        <v>32</v>
      </c>
      <c r="B34" s="95" t="s">
        <v>682</v>
      </c>
      <c r="C34" s="104" t="s">
        <v>130</v>
      </c>
      <c r="D34" s="97" t="s">
        <v>131</v>
      </c>
      <c r="E34" s="105" t="s">
        <v>1062</v>
      </c>
      <c r="F34" s="95">
        <f>EDU*2+MAX(DEX,APP)*2</f>
        <v>0</v>
      </c>
      <c r="G34" s="99" t="s">
        <v>1149</v>
      </c>
    </row>
    <row r="35" spans="1:7" x14ac:dyDescent="0.25">
      <c r="A35" s="100">
        <v>33</v>
      </c>
      <c r="B35" s="100" t="s">
        <v>682</v>
      </c>
      <c r="C35" s="101" t="s">
        <v>132</v>
      </c>
      <c r="D35" s="100" t="s">
        <v>133</v>
      </c>
      <c r="E35" s="102" t="s">
        <v>1061</v>
      </c>
      <c r="F35" s="100">
        <f>EDU*2+APP*2</f>
        <v>0</v>
      </c>
      <c r="G35" s="103" t="s">
        <v>1150</v>
      </c>
    </row>
    <row r="36" spans="1:7" x14ac:dyDescent="0.25">
      <c r="A36" s="95">
        <v>34</v>
      </c>
      <c r="B36" s="95" t="s">
        <v>682</v>
      </c>
      <c r="C36" s="104" t="s">
        <v>134</v>
      </c>
      <c r="D36" s="97" t="s">
        <v>117</v>
      </c>
      <c r="E36" s="105" t="s">
        <v>1061</v>
      </c>
      <c r="F36" s="95">
        <f>EDU*2+APP*2</f>
        <v>0</v>
      </c>
      <c r="G36" s="99" t="s">
        <v>1151</v>
      </c>
    </row>
    <row r="37" spans="1:7" x14ac:dyDescent="0.25">
      <c r="A37" s="100">
        <v>35</v>
      </c>
      <c r="B37" s="100" t="s">
        <v>682</v>
      </c>
      <c r="C37" s="101" t="s">
        <v>225</v>
      </c>
      <c r="D37" s="100" t="s">
        <v>88</v>
      </c>
      <c r="E37" s="102" t="s">
        <v>1051</v>
      </c>
      <c r="F37" s="100">
        <f>EDU*4</f>
        <v>0</v>
      </c>
      <c r="G37" s="103" t="s">
        <v>491</v>
      </c>
    </row>
    <row r="38" spans="1:7" x14ac:dyDescent="0.25">
      <c r="A38" s="95">
        <v>36</v>
      </c>
      <c r="B38" s="95" t="s">
        <v>682</v>
      </c>
      <c r="C38" s="104" t="s">
        <v>135</v>
      </c>
      <c r="D38" s="97" t="s">
        <v>88</v>
      </c>
      <c r="E38" s="105" t="s">
        <v>1062</v>
      </c>
      <c r="F38" s="95">
        <f>EDU*2+MAX(DEX,APP)*2</f>
        <v>0</v>
      </c>
      <c r="G38" s="99" t="s">
        <v>1152</v>
      </c>
    </row>
    <row r="39" spans="1:7" x14ac:dyDescent="0.25">
      <c r="A39" s="100">
        <v>37</v>
      </c>
      <c r="B39" s="100" t="s">
        <v>682</v>
      </c>
      <c r="C39" s="101" t="s">
        <v>86</v>
      </c>
      <c r="D39" s="100" t="s">
        <v>87</v>
      </c>
      <c r="E39" s="102" t="s">
        <v>1059</v>
      </c>
      <c r="F39" s="100">
        <f>EDU*2+MAX(STR,DEX)*2</f>
        <v>0</v>
      </c>
      <c r="G39" s="103" t="s">
        <v>1153</v>
      </c>
    </row>
    <row r="40" spans="1:7" x14ac:dyDescent="0.25">
      <c r="A40" s="95">
        <v>38</v>
      </c>
      <c r="B40" s="95" t="s">
        <v>682</v>
      </c>
      <c r="C40" s="104" t="s">
        <v>136</v>
      </c>
      <c r="D40" s="97" t="s">
        <v>89</v>
      </c>
      <c r="E40" s="105" t="s">
        <v>1051</v>
      </c>
      <c r="F40" s="95">
        <f>EDU*4</f>
        <v>0</v>
      </c>
      <c r="G40" s="99" t="s">
        <v>1154</v>
      </c>
    </row>
    <row r="41" spans="1:7" x14ac:dyDescent="0.25">
      <c r="A41" s="100">
        <v>39</v>
      </c>
      <c r="B41" s="100" t="s">
        <v>682</v>
      </c>
      <c r="C41" s="101" t="s">
        <v>137</v>
      </c>
      <c r="D41" s="100" t="s">
        <v>116</v>
      </c>
      <c r="E41" s="102" t="s">
        <v>1051</v>
      </c>
      <c r="F41" s="100">
        <f>EDU*4</f>
        <v>0</v>
      </c>
      <c r="G41" s="103" t="s">
        <v>1155</v>
      </c>
    </row>
    <row r="42" spans="1:7" x14ac:dyDescent="0.25">
      <c r="A42" s="95">
        <v>40</v>
      </c>
      <c r="B42" s="95" t="s">
        <v>682</v>
      </c>
      <c r="C42" s="104" t="s">
        <v>138</v>
      </c>
      <c r="D42" s="97" t="s">
        <v>88</v>
      </c>
      <c r="E42" s="105" t="s">
        <v>1051</v>
      </c>
      <c r="F42" s="95">
        <f>EDU*4</f>
        <v>0</v>
      </c>
      <c r="G42" s="99" t="s">
        <v>492</v>
      </c>
    </row>
    <row r="43" spans="1:7" x14ac:dyDescent="0.25">
      <c r="A43" s="100">
        <v>41</v>
      </c>
      <c r="B43" s="100" t="s">
        <v>682</v>
      </c>
      <c r="C43" s="101" t="s">
        <v>687</v>
      </c>
      <c r="D43" s="100" t="s">
        <v>139</v>
      </c>
      <c r="E43" s="102" t="s">
        <v>1061</v>
      </c>
      <c r="F43" s="100">
        <f>EDU*2+APP*2</f>
        <v>0</v>
      </c>
      <c r="G43" s="103" t="s">
        <v>1156</v>
      </c>
    </row>
    <row r="44" spans="1:7" x14ac:dyDescent="0.25">
      <c r="A44" s="95">
        <v>42</v>
      </c>
      <c r="B44" s="95" t="s">
        <v>682</v>
      </c>
      <c r="C44" s="104" t="s">
        <v>140</v>
      </c>
      <c r="D44" s="97" t="s">
        <v>79</v>
      </c>
      <c r="E44" s="105" t="s">
        <v>1058</v>
      </c>
      <c r="F44" s="95">
        <f>EDU*2+DEX*2</f>
        <v>0</v>
      </c>
      <c r="G44" s="99" t="s">
        <v>141</v>
      </c>
    </row>
    <row r="45" spans="1:7" x14ac:dyDescent="0.25">
      <c r="A45" s="100">
        <v>43</v>
      </c>
      <c r="B45" s="100" t="s">
        <v>682</v>
      </c>
      <c r="C45" s="101" t="s">
        <v>688</v>
      </c>
      <c r="D45" s="100" t="s">
        <v>94</v>
      </c>
      <c r="E45" s="102" t="s">
        <v>1051</v>
      </c>
      <c r="F45" s="100">
        <f>EDU*4</f>
        <v>0</v>
      </c>
      <c r="G45" s="103" t="s">
        <v>493</v>
      </c>
    </row>
    <row r="46" spans="1:7" x14ac:dyDescent="0.25">
      <c r="A46" s="95">
        <v>44</v>
      </c>
      <c r="B46" s="95" t="s">
        <v>682</v>
      </c>
      <c r="C46" s="104" t="s">
        <v>142</v>
      </c>
      <c r="D46" s="97" t="s">
        <v>102</v>
      </c>
      <c r="E46" s="105" t="s">
        <v>1063</v>
      </c>
      <c r="F46" s="95">
        <f>MAX(APP,DEX,STR)*2+EDU*2</f>
        <v>0</v>
      </c>
      <c r="G46" s="99" t="s">
        <v>1157</v>
      </c>
    </row>
    <row r="47" spans="1:7" x14ac:dyDescent="0.25">
      <c r="A47" s="100">
        <v>45</v>
      </c>
      <c r="B47" s="100" t="s">
        <v>682</v>
      </c>
      <c r="C47" s="101" t="s">
        <v>95</v>
      </c>
      <c r="D47" s="100" t="s">
        <v>70</v>
      </c>
      <c r="E47" s="102" t="s">
        <v>1058</v>
      </c>
      <c r="F47" s="100">
        <f>EDU*2+DEX*2</f>
        <v>0</v>
      </c>
      <c r="G47" s="103" t="s">
        <v>1158</v>
      </c>
    </row>
    <row r="48" spans="1:7" x14ac:dyDescent="0.25">
      <c r="A48" s="95">
        <v>46</v>
      </c>
      <c r="B48" s="95" t="s">
        <v>682</v>
      </c>
      <c r="C48" s="104" t="s">
        <v>96</v>
      </c>
      <c r="D48" s="97" t="s">
        <v>68</v>
      </c>
      <c r="E48" s="105" t="s">
        <v>1059</v>
      </c>
      <c r="F48" s="95">
        <f>EDU*2+MAX(STR,DEX)*2</f>
        <v>0</v>
      </c>
      <c r="G48" s="99" t="s">
        <v>1159</v>
      </c>
    </row>
    <row r="49" spans="1:7" x14ac:dyDescent="0.25">
      <c r="A49" s="100">
        <v>47</v>
      </c>
      <c r="B49" s="100" t="s">
        <v>682</v>
      </c>
      <c r="C49" s="101" t="s">
        <v>143</v>
      </c>
      <c r="D49" s="100" t="s">
        <v>79</v>
      </c>
      <c r="E49" s="102" t="s">
        <v>1058</v>
      </c>
      <c r="F49" s="100">
        <f>EDU*2+DEX*2</f>
        <v>0</v>
      </c>
      <c r="G49" s="103" t="s">
        <v>494</v>
      </c>
    </row>
    <row r="50" spans="1:7" x14ac:dyDescent="0.25">
      <c r="A50" s="95">
        <v>48</v>
      </c>
      <c r="B50" s="95" t="s">
        <v>682</v>
      </c>
      <c r="C50" s="104" t="s">
        <v>144</v>
      </c>
      <c r="D50" s="97" t="s">
        <v>145</v>
      </c>
      <c r="E50" s="105" t="s">
        <v>1051</v>
      </c>
      <c r="F50" s="95">
        <f>EDU*4</f>
        <v>0</v>
      </c>
      <c r="G50" s="99" t="s">
        <v>1160</v>
      </c>
    </row>
    <row r="51" spans="1:7" x14ac:dyDescent="0.25">
      <c r="A51" s="100">
        <v>49</v>
      </c>
      <c r="B51" s="100" t="s">
        <v>682</v>
      </c>
      <c r="C51" s="101" t="s">
        <v>146</v>
      </c>
      <c r="D51" s="100" t="s">
        <v>97</v>
      </c>
      <c r="E51" s="102" t="s">
        <v>1061</v>
      </c>
      <c r="F51" s="100">
        <f>EDU*2+APP*2</f>
        <v>0</v>
      </c>
      <c r="G51" s="103" t="s">
        <v>1161</v>
      </c>
    </row>
    <row r="52" spans="1:7" x14ac:dyDescent="0.25">
      <c r="A52" s="95">
        <v>50</v>
      </c>
      <c r="B52" s="95" t="s">
        <v>682</v>
      </c>
      <c r="C52" s="104" t="s">
        <v>46</v>
      </c>
      <c r="D52" s="97" t="s">
        <v>89</v>
      </c>
      <c r="E52" s="105" t="s">
        <v>1051</v>
      </c>
      <c r="F52" s="95">
        <f>EDU*4</f>
        <v>0</v>
      </c>
      <c r="G52" s="99" t="s">
        <v>495</v>
      </c>
    </row>
    <row r="53" spans="1:7" x14ac:dyDescent="0.25">
      <c r="A53" s="100">
        <v>51</v>
      </c>
      <c r="B53" s="100" t="s">
        <v>682</v>
      </c>
      <c r="C53" s="101" t="s">
        <v>147</v>
      </c>
      <c r="D53" s="100" t="s">
        <v>74</v>
      </c>
      <c r="E53" s="102" t="s">
        <v>1061</v>
      </c>
      <c r="F53" s="100">
        <f>EDU*2+APP*2</f>
        <v>0</v>
      </c>
      <c r="G53" s="103" t="s">
        <v>1162</v>
      </c>
    </row>
    <row r="54" spans="1:7" x14ac:dyDescent="0.25">
      <c r="A54" s="95">
        <v>52</v>
      </c>
      <c r="B54" s="95" t="s">
        <v>682</v>
      </c>
      <c r="C54" s="104" t="s">
        <v>148</v>
      </c>
      <c r="D54" s="97" t="s">
        <v>149</v>
      </c>
      <c r="E54" s="105" t="s">
        <v>1066</v>
      </c>
      <c r="F54" s="95">
        <f>MAX(APP,DEX,STR)*2+EDU*2</f>
        <v>0</v>
      </c>
      <c r="G54" s="99" t="s">
        <v>496</v>
      </c>
    </row>
    <row r="55" spans="1:7" x14ac:dyDescent="0.25">
      <c r="A55" s="100">
        <v>53</v>
      </c>
      <c r="B55" s="100" t="s">
        <v>682</v>
      </c>
      <c r="C55" s="101" t="s">
        <v>150</v>
      </c>
      <c r="D55" s="100" t="s">
        <v>79</v>
      </c>
      <c r="E55" s="102" t="s">
        <v>1059</v>
      </c>
      <c r="F55" s="100">
        <f>EDU*2+MAX(STR,DEX)*2</f>
        <v>0</v>
      </c>
      <c r="G55" s="103" t="s">
        <v>1163</v>
      </c>
    </row>
    <row r="56" spans="1:7" x14ac:dyDescent="0.25">
      <c r="A56" s="95">
        <v>54</v>
      </c>
      <c r="B56" s="95" t="s">
        <v>682</v>
      </c>
      <c r="C56" s="104" t="s">
        <v>151</v>
      </c>
      <c r="D56" s="97" t="s">
        <v>117</v>
      </c>
      <c r="E56" s="105" t="s">
        <v>1051</v>
      </c>
      <c r="F56" s="95">
        <f>EDU*4</f>
        <v>0</v>
      </c>
      <c r="G56" s="99" t="s">
        <v>152</v>
      </c>
    </row>
    <row r="57" spans="1:7" x14ac:dyDescent="0.25">
      <c r="A57" s="100">
        <v>55</v>
      </c>
      <c r="B57" s="100" t="s">
        <v>682</v>
      </c>
      <c r="C57" s="101" t="s">
        <v>98</v>
      </c>
      <c r="D57" s="100" t="s">
        <v>79</v>
      </c>
      <c r="E57" s="102" t="s">
        <v>1059</v>
      </c>
      <c r="F57" s="100">
        <f>EDU*2+MAX(STR,DEX)*2</f>
        <v>0</v>
      </c>
      <c r="G57" s="103" t="s">
        <v>99</v>
      </c>
    </row>
    <row r="58" spans="1:7" x14ac:dyDescent="0.25">
      <c r="A58" s="95">
        <v>56</v>
      </c>
      <c r="B58" s="95" t="s">
        <v>682</v>
      </c>
      <c r="C58" s="104" t="s">
        <v>153</v>
      </c>
      <c r="D58" s="97" t="s">
        <v>70</v>
      </c>
      <c r="E58" s="105" t="s">
        <v>1051</v>
      </c>
      <c r="F58" s="95">
        <f>EDU*4</f>
        <v>0</v>
      </c>
      <c r="G58" s="99" t="s">
        <v>1164</v>
      </c>
    </row>
    <row r="59" spans="1:7" x14ac:dyDescent="0.25">
      <c r="A59" s="100">
        <v>57</v>
      </c>
      <c r="B59" s="100" t="s">
        <v>682</v>
      </c>
      <c r="C59" s="101" t="s">
        <v>47</v>
      </c>
      <c r="D59" s="100" t="s">
        <v>154</v>
      </c>
      <c r="E59" s="102" t="s">
        <v>1051</v>
      </c>
      <c r="F59" s="100">
        <f>EDU*4</f>
        <v>0</v>
      </c>
      <c r="G59" s="103" t="s">
        <v>497</v>
      </c>
    </row>
    <row r="60" spans="1:7" x14ac:dyDescent="0.25">
      <c r="A60" s="95">
        <v>58</v>
      </c>
      <c r="B60" s="95" t="s">
        <v>682</v>
      </c>
      <c r="C60" s="104" t="s">
        <v>48</v>
      </c>
      <c r="D60" s="97" t="s">
        <v>155</v>
      </c>
      <c r="E60" s="105" t="s">
        <v>1062</v>
      </c>
      <c r="F60" s="95">
        <f>EDU*2+MAX(DEX,APP)*2</f>
        <v>0</v>
      </c>
      <c r="G60" s="99" t="s">
        <v>1165</v>
      </c>
    </row>
    <row r="61" spans="1:7" x14ac:dyDescent="0.25">
      <c r="A61" s="100">
        <v>59</v>
      </c>
      <c r="B61" s="100" t="s">
        <v>682</v>
      </c>
      <c r="C61" s="101" t="s">
        <v>100</v>
      </c>
      <c r="D61" s="100" t="s">
        <v>156</v>
      </c>
      <c r="E61" s="102" t="s">
        <v>1061</v>
      </c>
      <c r="F61" s="100">
        <f>EDU*2+APP*2</f>
        <v>0</v>
      </c>
      <c r="G61" s="103" t="s">
        <v>1166</v>
      </c>
    </row>
    <row r="62" spans="1:7" x14ac:dyDescent="0.25">
      <c r="A62" s="95">
        <v>60</v>
      </c>
      <c r="B62" s="95" t="s">
        <v>682</v>
      </c>
      <c r="C62" s="104" t="s">
        <v>101</v>
      </c>
      <c r="D62" s="97" t="s">
        <v>68</v>
      </c>
      <c r="E62" s="105" t="s">
        <v>1059</v>
      </c>
      <c r="F62" s="95">
        <f>EDU*2+MAX(STR,DEX)*2</f>
        <v>0</v>
      </c>
      <c r="G62" s="99" t="s">
        <v>1167</v>
      </c>
    </row>
    <row r="63" spans="1:7" x14ac:dyDescent="0.25">
      <c r="A63" s="100">
        <v>61</v>
      </c>
      <c r="B63" s="100" t="s">
        <v>682</v>
      </c>
      <c r="C63" s="101" t="s">
        <v>157</v>
      </c>
      <c r="D63" s="100" t="s">
        <v>158</v>
      </c>
      <c r="E63" s="102" t="s">
        <v>1061</v>
      </c>
      <c r="F63" s="100">
        <f>EDU*2+APP*2</f>
        <v>0</v>
      </c>
      <c r="G63" s="103" t="s">
        <v>1168</v>
      </c>
    </row>
    <row r="64" spans="1:7" x14ac:dyDescent="0.25">
      <c r="A64" s="95">
        <v>62</v>
      </c>
      <c r="B64" s="95" t="s">
        <v>682</v>
      </c>
      <c r="C64" s="104" t="s">
        <v>103</v>
      </c>
      <c r="D64" s="97" t="s">
        <v>102</v>
      </c>
      <c r="E64" s="105" t="s">
        <v>1062</v>
      </c>
      <c r="F64" s="95">
        <f>EDU*2+MAX(DEX,APP)*2</f>
        <v>0</v>
      </c>
      <c r="G64" s="99" t="s">
        <v>498</v>
      </c>
    </row>
    <row r="65" spans="1:7" x14ac:dyDescent="0.25">
      <c r="A65" s="100">
        <v>63</v>
      </c>
      <c r="B65" s="100" t="s">
        <v>682</v>
      </c>
      <c r="C65" s="101" t="s">
        <v>159</v>
      </c>
      <c r="D65" s="100" t="s">
        <v>160</v>
      </c>
      <c r="E65" s="102" t="s">
        <v>1057</v>
      </c>
      <c r="F65" s="100">
        <f>EDU*2+STR*2</f>
        <v>0</v>
      </c>
      <c r="G65" s="103" t="s">
        <v>1169</v>
      </c>
    </row>
    <row r="66" spans="1:7" x14ac:dyDescent="0.25">
      <c r="A66" s="95">
        <v>64</v>
      </c>
      <c r="B66" s="95" t="s">
        <v>682</v>
      </c>
      <c r="C66" s="104" t="s">
        <v>694</v>
      </c>
      <c r="D66" s="97" t="s">
        <v>79</v>
      </c>
      <c r="E66" s="105" t="s">
        <v>1051</v>
      </c>
      <c r="F66" s="95">
        <f>EDU*4</f>
        <v>0</v>
      </c>
      <c r="G66" s="99" t="s">
        <v>1170</v>
      </c>
    </row>
    <row r="67" spans="1:7" x14ac:dyDescent="0.25">
      <c r="A67" s="100">
        <v>65</v>
      </c>
      <c r="B67" s="100" t="s">
        <v>682</v>
      </c>
      <c r="C67" s="101" t="s">
        <v>689</v>
      </c>
      <c r="D67" s="100" t="s">
        <v>79</v>
      </c>
      <c r="E67" s="102" t="s">
        <v>1051</v>
      </c>
      <c r="F67" s="100">
        <f>EDU*4</f>
        <v>0</v>
      </c>
      <c r="G67" s="103" t="s">
        <v>1171</v>
      </c>
    </row>
    <row r="68" spans="1:7" x14ac:dyDescent="0.25">
      <c r="A68" s="95">
        <v>66</v>
      </c>
      <c r="B68" s="95" t="s">
        <v>682</v>
      </c>
      <c r="C68" s="104" t="s">
        <v>161</v>
      </c>
      <c r="D68" s="97" t="s">
        <v>162</v>
      </c>
      <c r="E68" s="105" t="s">
        <v>1051</v>
      </c>
      <c r="F68" s="95">
        <f>EDU*4</f>
        <v>0</v>
      </c>
      <c r="G68" s="99" t="s">
        <v>163</v>
      </c>
    </row>
    <row r="69" spans="1:7" x14ac:dyDescent="0.25">
      <c r="A69" s="100">
        <v>67</v>
      </c>
      <c r="B69" s="100" t="s">
        <v>682</v>
      </c>
      <c r="C69" s="101" t="s">
        <v>164</v>
      </c>
      <c r="D69" s="100" t="s">
        <v>145</v>
      </c>
      <c r="E69" s="102" t="s">
        <v>1051</v>
      </c>
      <c r="F69" s="100">
        <f>EDU*4</f>
        <v>0</v>
      </c>
      <c r="G69" s="103" t="s">
        <v>499</v>
      </c>
    </row>
    <row r="70" spans="1:7" x14ac:dyDescent="0.25">
      <c r="A70" s="95">
        <v>68</v>
      </c>
      <c r="B70" s="95" t="s">
        <v>682</v>
      </c>
      <c r="C70" s="104" t="s">
        <v>500</v>
      </c>
      <c r="D70" s="97" t="s">
        <v>79</v>
      </c>
      <c r="E70" s="105" t="s">
        <v>1059</v>
      </c>
      <c r="F70" s="95">
        <f>EDU*2+MAX(STR,DEX)*2</f>
        <v>0</v>
      </c>
      <c r="G70" s="99" t="s">
        <v>501</v>
      </c>
    </row>
    <row r="71" spans="1:7" x14ac:dyDescent="0.25">
      <c r="A71" s="100">
        <v>69</v>
      </c>
      <c r="B71" s="100" t="s">
        <v>682</v>
      </c>
      <c r="C71" s="101" t="s">
        <v>165</v>
      </c>
      <c r="D71" s="100" t="s">
        <v>79</v>
      </c>
      <c r="E71" s="102" t="s">
        <v>1059</v>
      </c>
      <c r="F71" s="100">
        <f>EDU*2+MAX(STR,DEX)*2</f>
        <v>0</v>
      </c>
      <c r="G71" s="103" t="s">
        <v>502</v>
      </c>
    </row>
    <row r="72" spans="1:7" x14ac:dyDescent="0.25">
      <c r="A72" s="95">
        <v>70</v>
      </c>
      <c r="B72" s="95" t="s">
        <v>682</v>
      </c>
      <c r="C72" s="104" t="s">
        <v>166</v>
      </c>
      <c r="D72" s="97" t="s">
        <v>79</v>
      </c>
      <c r="E72" s="105" t="s">
        <v>1059</v>
      </c>
      <c r="F72" s="95">
        <f>EDU*2+MAX(STR,DEX)*2</f>
        <v>0</v>
      </c>
      <c r="G72" s="99" t="s">
        <v>503</v>
      </c>
    </row>
    <row r="73" spans="1:7" x14ac:dyDescent="0.25">
      <c r="A73" s="100">
        <v>71</v>
      </c>
      <c r="B73" s="100" t="s">
        <v>682</v>
      </c>
      <c r="C73" s="101" t="s">
        <v>167</v>
      </c>
      <c r="D73" s="100" t="s">
        <v>94</v>
      </c>
      <c r="E73" s="102" t="s">
        <v>1051</v>
      </c>
      <c r="F73" s="100">
        <f>EDU*4</f>
        <v>0</v>
      </c>
      <c r="G73" s="103" t="s">
        <v>1172</v>
      </c>
    </row>
    <row r="74" spans="1:7" x14ac:dyDescent="0.25">
      <c r="A74" s="95">
        <v>72</v>
      </c>
      <c r="B74" s="95" t="s">
        <v>682</v>
      </c>
      <c r="C74" s="104" t="s">
        <v>690</v>
      </c>
      <c r="D74" s="97" t="s">
        <v>168</v>
      </c>
      <c r="E74" s="105" t="s">
        <v>1051</v>
      </c>
      <c r="F74" s="95">
        <f>EDU*4</f>
        <v>0</v>
      </c>
      <c r="G74" s="99" t="s">
        <v>504</v>
      </c>
    </row>
    <row r="75" spans="1:7" x14ac:dyDescent="0.25">
      <c r="A75" s="100">
        <v>73</v>
      </c>
      <c r="B75" s="100" t="s">
        <v>682</v>
      </c>
      <c r="C75" s="101" t="s">
        <v>169</v>
      </c>
      <c r="D75" s="100" t="s">
        <v>80</v>
      </c>
      <c r="E75" s="102" t="s">
        <v>1051</v>
      </c>
      <c r="F75" s="100">
        <f>EDU*4</f>
        <v>0</v>
      </c>
      <c r="G75" s="103" t="s">
        <v>505</v>
      </c>
    </row>
    <row r="76" spans="1:7" x14ac:dyDescent="0.25">
      <c r="A76" s="95">
        <v>74</v>
      </c>
      <c r="B76" s="95" t="s">
        <v>682</v>
      </c>
      <c r="C76" s="104" t="s">
        <v>170</v>
      </c>
      <c r="D76" s="97" t="s">
        <v>171</v>
      </c>
      <c r="E76" s="105" t="s">
        <v>1059</v>
      </c>
      <c r="F76" s="95">
        <f>EDU*2+MAX(STR,DEX)*2</f>
        <v>0</v>
      </c>
      <c r="G76" s="99" t="s">
        <v>1173</v>
      </c>
    </row>
    <row r="77" spans="1:7" x14ac:dyDescent="0.25">
      <c r="A77" s="100">
        <v>75</v>
      </c>
      <c r="B77" s="100" t="s">
        <v>682</v>
      </c>
      <c r="C77" s="101" t="s">
        <v>172</v>
      </c>
      <c r="D77" s="100" t="s">
        <v>173</v>
      </c>
      <c r="E77" s="102" t="s">
        <v>1061</v>
      </c>
      <c r="F77" s="100">
        <f>EDU*2+APP*2</f>
        <v>0</v>
      </c>
      <c r="G77" s="103" t="s">
        <v>1174</v>
      </c>
    </row>
    <row r="78" spans="1:7" x14ac:dyDescent="0.25">
      <c r="A78" s="95">
        <v>76</v>
      </c>
      <c r="B78" s="95" t="s">
        <v>682</v>
      </c>
      <c r="C78" s="104" t="s">
        <v>174</v>
      </c>
      <c r="D78" s="97" t="s">
        <v>89</v>
      </c>
      <c r="E78" s="105" t="s">
        <v>1059</v>
      </c>
      <c r="F78" s="95">
        <f>EDU*2+MAX(STR,DEX)*2</f>
        <v>0</v>
      </c>
      <c r="G78" s="99" t="s">
        <v>506</v>
      </c>
    </row>
    <row r="79" spans="1:7" x14ac:dyDescent="0.25">
      <c r="A79" s="100">
        <v>77</v>
      </c>
      <c r="B79" s="100" t="s">
        <v>682</v>
      </c>
      <c r="C79" s="101" t="s">
        <v>175</v>
      </c>
      <c r="D79" s="100" t="s">
        <v>145</v>
      </c>
      <c r="E79" s="102" t="s">
        <v>1051</v>
      </c>
      <c r="F79" s="100">
        <f>EDU*4</f>
        <v>0</v>
      </c>
      <c r="G79" s="103" t="s">
        <v>176</v>
      </c>
    </row>
    <row r="80" spans="1:7" x14ac:dyDescent="0.25">
      <c r="A80" s="95">
        <v>78</v>
      </c>
      <c r="B80" s="95" t="s">
        <v>682</v>
      </c>
      <c r="C80" s="104" t="s">
        <v>177</v>
      </c>
      <c r="D80" s="97" t="s">
        <v>79</v>
      </c>
      <c r="E80" s="105" t="s">
        <v>1065</v>
      </c>
      <c r="F80" s="95">
        <f>EDU*2+MAX(DEX,POW)*2</f>
        <v>0</v>
      </c>
      <c r="G80" s="99" t="s">
        <v>1175</v>
      </c>
    </row>
    <row r="81" spans="1:7" x14ac:dyDescent="0.25">
      <c r="A81" s="100">
        <v>79</v>
      </c>
      <c r="B81" s="100" t="s">
        <v>682</v>
      </c>
      <c r="C81" s="101" t="s">
        <v>178</v>
      </c>
      <c r="D81" s="100" t="s">
        <v>79</v>
      </c>
      <c r="E81" s="102" t="s">
        <v>1051</v>
      </c>
      <c r="F81" s="100">
        <f>EDU*4</f>
        <v>0</v>
      </c>
      <c r="G81" s="103" t="s">
        <v>1176</v>
      </c>
    </row>
    <row r="82" spans="1:7" x14ac:dyDescent="0.25">
      <c r="A82" s="95">
        <v>80</v>
      </c>
      <c r="B82" s="95" t="s">
        <v>682</v>
      </c>
      <c r="C82" s="104" t="s">
        <v>179</v>
      </c>
      <c r="D82" s="97" t="s">
        <v>180</v>
      </c>
      <c r="E82" s="105" t="s">
        <v>1051</v>
      </c>
      <c r="F82" s="95">
        <f>EDU*4</f>
        <v>0</v>
      </c>
      <c r="G82" s="99" t="s">
        <v>1177</v>
      </c>
    </row>
    <row r="83" spans="1:7" x14ac:dyDescent="0.25">
      <c r="A83" s="100">
        <v>81</v>
      </c>
      <c r="B83" s="100" t="s">
        <v>682</v>
      </c>
      <c r="C83" s="101" t="s">
        <v>181</v>
      </c>
      <c r="D83" s="100" t="s">
        <v>182</v>
      </c>
      <c r="E83" s="102" t="s">
        <v>1059</v>
      </c>
      <c r="F83" s="100">
        <f>EDU*2+MAX(STR,DEX)*2</f>
        <v>0</v>
      </c>
      <c r="G83" s="103" t="s">
        <v>507</v>
      </c>
    </row>
    <row r="84" spans="1:7" x14ac:dyDescent="0.25">
      <c r="A84" s="95">
        <v>82</v>
      </c>
      <c r="B84" s="95" t="s">
        <v>682</v>
      </c>
      <c r="C84" s="104" t="s">
        <v>183</v>
      </c>
      <c r="D84" s="97" t="s">
        <v>79</v>
      </c>
      <c r="E84" s="105" t="s">
        <v>1051</v>
      </c>
      <c r="F84" s="95">
        <f>EDU*4</f>
        <v>0</v>
      </c>
      <c r="G84" s="99" t="s">
        <v>508</v>
      </c>
    </row>
    <row r="85" spans="1:7" x14ac:dyDescent="0.25">
      <c r="A85" s="100">
        <v>83</v>
      </c>
      <c r="B85" s="100" t="s">
        <v>682</v>
      </c>
      <c r="C85" s="101" t="s">
        <v>184</v>
      </c>
      <c r="D85" s="100" t="s">
        <v>185</v>
      </c>
      <c r="E85" s="102" t="s">
        <v>1051</v>
      </c>
      <c r="F85" s="100">
        <f>EDU*4</f>
        <v>0</v>
      </c>
      <c r="G85" s="103" t="s">
        <v>1178</v>
      </c>
    </row>
    <row r="86" spans="1:7" x14ac:dyDescent="0.25">
      <c r="A86" s="95">
        <v>84</v>
      </c>
      <c r="B86" s="95" t="s">
        <v>682</v>
      </c>
      <c r="C86" s="104" t="s">
        <v>186</v>
      </c>
      <c r="D86" s="97" t="s">
        <v>79</v>
      </c>
      <c r="E86" s="105" t="s">
        <v>1051</v>
      </c>
      <c r="F86" s="95">
        <f>EDU*4</f>
        <v>0</v>
      </c>
      <c r="G86" s="99" t="s">
        <v>1179</v>
      </c>
    </row>
    <row r="87" spans="1:7" x14ac:dyDescent="0.25">
      <c r="A87" s="100">
        <v>85</v>
      </c>
      <c r="B87" s="100" t="s">
        <v>682</v>
      </c>
      <c r="C87" s="101" t="s">
        <v>187</v>
      </c>
      <c r="D87" s="100" t="s">
        <v>145</v>
      </c>
      <c r="E87" s="102" t="s">
        <v>1051</v>
      </c>
      <c r="F87" s="100">
        <f>EDU*4</f>
        <v>0</v>
      </c>
      <c r="G87" s="103" t="s">
        <v>1180</v>
      </c>
    </row>
    <row r="88" spans="1:7" x14ac:dyDescent="0.25">
      <c r="A88" s="95">
        <v>86</v>
      </c>
      <c r="B88" s="95" t="s">
        <v>682</v>
      </c>
      <c r="C88" s="104" t="s">
        <v>188</v>
      </c>
      <c r="D88" s="97" t="s">
        <v>171</v>
      </c>
      <c r="E88" s="105" t="s">
        <v>1058</v>
      </c>
      <c r="F88" s="95">
        <f>EDU*2+DEX*2</f>
        <v>0</v>
      </c>
      <c r="G88" s="99" t="s">
        <v>509</v>
      </c>
    </row>
    <row r="89" spans="1:7" x14ac:dyDescent="0.25">
      <c r="A89" s="100">
        <v>87</v>
      </c>
      <c r="B89" s="100" t="s">
        <v>682</v>
      </c>
      <c r="C89" s="101" t="s">
        <v>189</v>
      </c>
      <c r="D89" s="100" t="s">
        <v>89</v>
      </c>
      <c r="E89" s="102" t="s">
        <v>1051</v>
      </c>
      <c r="F89" s="100">
        <f>EDU*4</f>
        <v>0</v>
      </c>
      <c r="G89" s="103" t="s">
        <v>510</v>
      </c>
    </row>
    <row r="90" spans="1:7" x14ac:dyDescent="0.25">
      <c r="A90" s="95">
        <v>88</v>
      </c>
      <c r="B90" s="95" t="s">
        <v>682</v>
      </c>
      <c r="C90" s="104" t="s">
        <v>691</v>
      </c>
      <c r="D90" s="97" t="s">
        <v>116</v>
      </c>
      <c r="E90" s="105" t="s">
        <v>1059</v>
      </c>
      <c r="F90" s="95">
        <f>EDU*2+MAX(STR,DEX)*2</f>
        <v>0</v>
      </c>
      <c r="G90" s="99" t="s">
        <v>1181</v>
      </c>
    </row>
    <row r="91" spans="1:7" x14ac:dyDescent="0.25">
      <c r="A91" s="100">
        <v>89</v>
      </c>
      <c r="B91" s="100" t="s">
        <v>682</v>
      </c>
      <c r="C91" s="101" t="s">
        <v>692</v>
      </c>
      <c r="D91" s="100" t="s">
        <v>79</v>
      </c>
      <c r="E91" s="102" t="s">
        <v>1059</v>
      </c>
      <c r="F91" s="100">
        <f>EDU*2+MAX(STR,DEX)*2</f>
        <v>0</v>
      </c>
      <c r="G91" s="103" t="s">
        <v>1182</v>
      </c>
    </row>
    <row r="92" spans="1:7" x14ac:dyDescent="0.25">
      <c r="A92" s="95">
        <v>90</v>
      </c>
      <c r="B92" s="95" t="s">
        <v>682</v>
      </c>
      <c r="C92" s="104" t="s">
        <v>190</v>
      </c>
      <c r="D92" s="97" t="s">
        <v>79</v>
      </c>
      <c r="E92" s="105" t="s">
        <v>1059</v>
      </c>
      <c r="F92" s="95">
        <f>EDU*2+MAX(STR,DEX)*2</f>
        <v>0</v>
      </c>
      <c r="G92" s="99" t="s">
        <v>1183</v>
      </c>
    </row>
    <row r="93" spans="1:7" x14ac:dyDescent="0.25">
      <c r="A93" s="100">
        <v>91</v>
      </c>
      <c r="B93" s="100" t="s">
        <v>682</v>
      </c>
      <c r="C93" s="101" t="s">
        <v>693</v>
      </c>
      <c r="D93" s="100" t="s">
        <v>171</v>
      </c>
      <c r="E93" s="102" t="s">
        <v>1051</v>
      </c>
      <c r="F93" s="100">
        <f>EDU*4</f>
        <v>0</v>
      </c>
      <c r="G93" s="103" t="s">
        <v>191</v>
      </c>
    </row>
    <row r="94" spans="1:7" x14ac:dyDescent="0.25">
      <c r="A94" s="95">
        <v>92</v>
      </c>
      <c r="B94" s="95" t="s">
        <v>682</v>
      </c>
      <c r="C94" s="104" t="s">
        <v>192</v>
      </c>
      <c r="D94" s="97" t="s">
        <v>193</v>
      </c>
      <c r="E94" s="105" t="s">
        <v>1059</v>
      </c>
      <c r="F94" s="95">
        <f>EDU*2+MAX(STR,DEX)*2</f>
        <v>0</v>
      </c>
      <c r="G94" s="99" t="s">
        <v>511</v>
      </c>
    </row>
    <row r="95" spans="1:7" x14ac:dyDescent="0.25">
      <c r="A95" s="100">
        <v>93</v>
      </c>
      <c r="B95" s="100" t="s">
        <v>682</v>
      </c>
      <c r="C95" s="101" t="s">
        <v>194</v>
      </c>
      <c r="D95" s="100" t="s">
        <v>195</v>
      </c>
      <c r="E95" s="102" t="s">
        <v>1061</v>
      </c>
      <c r="F95" s="100">
        <f>EDU*2+APP*2</f>
        <v>0</v>
      </c>
      <c r="G95" s="103" t="s">
        <v>1184</v>
      </c>
    </row>
    <row r="96" spans="1:7" x14ac:dyDescent="0.25">
      <c r="A96" s="95">
        <v>94</v>
      </c>
      <c r="B96" s="95" t="s">
        <v>682</v>
      </c>
      <c r="C96" s="104" t="s">
        <v>196</v>
      </c>
      <c r="D96" s="97" t="s">
        <v>94</v>
      </c>
      <c r="E96" s="105" t="s">
        <v>1051</v>
      </c>
      <c r="F96" s="95">
        <f>EDU*4</f>
        <v>0</v>
      </c>
      <c r="G96" s="99" t="s">
        <v>104</v>
      </c>
    </row>
    <row r="97" spans="1:7" x14ac:dyDescent="0.25">
      <c r="A97" s="100">
        <v>95</v>
      </c>
      <c r="B97" s="100" t="s">
        <v>682</v>
      </c>
      <c r="C97" s="101" t="s">
        <v>197</v>
      </c>
      <c r="D97" s="100" t="s">
        <v>70</v>
      </c>
      <c r="E97" s="102" t="s">
        <v>1051</v>
      </c>
      <c r="F97" s="100">
        <f>EDU*4</f>
        <v>0</v>
      </c>
      <c r="G97" s="103" t="s">
        <v>198</v>
      </c>
    </row>
    <row r="98" spans="1:7" x14ac:dyDescent="0.25">
      <c r="A98" s="95">
        <v>96</v>
      </c>
      <c r="B98" s="95" t="s">
        <v>682</v>
      </c>
      <c r="C98" s="104" t="s">
        <v>199</v>
      </c>
      <c r="D98" s="97" t="s">
        <v>79</v>
      </c>
      <c r="E98" s="105" t="s">
        <v>1051</v>
      </c>
      <c r="F98" s="95">
        <f>EDU*4</f>
        <v>0</v>
      </c>
      <c r="G98" s="99" t="s">
        <v>1185</v>
      </c>
    </row>
    <row r="99" spans="1:7" x14ac:dyDescent="0.25">
      <c r="A99" s="100">
        <v>97</v>
      </c>
      <c r="B99" s="100" t="s">
        <v>682</v>
      </c>
      <c r="C99" s="101" t="s">
        <v>200</v>
      </c>
      <c r="D99" s="100" t="s">
        <v>79</v>
      </c>
      <c r="E99" s="102" t="s">
        <v>1060</v>
      </c>
      <c r="F99" s="100">
        <f>EDU*2+MAX(STR,DEX)*2</f>
        <v>0</v>
      </c>
      <c r="G99" s="103" t="s">
        <v>201</v>
      </c>
    </row>
    <row r="100" spans="1:7" x14ac:dyDescent="0.25">
      <c r="A100" s="95">
        <v>98</v>
      </c>
      <c r="B100" s="95" t="s">
        <v>682</v>
      </c>
      <c r="C100" s="104" t="s">
        <v>202</v>
      </c>
      <c r="D100" s="97" t="s">
        <v>117</v>
      </c>
      <c r="E100" s="105" t="s">
        <v>1060</v>
      </c>
      <c r="F100" s="95">
        <f>EDU*2+MAX(STR,DEX)*2</f>
        <v>0</v>
      </c>
      <c r="G100" s="99" t="s">
        <v>1186</v>
      </c>
    </row>
    <row r="101" spans="1:7" x14ac:dyDescent="0.25">
      <c r="A101" s="100">
        <v>99</v>
      </c>
      <c r="B101" s="100" t="s">
        <v>682</v>
      </c>
      <c r="C101" s="101" t="s">
        <v>203</v>
      </c>
      <c r="D101" s="100" t="s">
        <v>80</v>
      </c>
      <c r="E101" s="102" t="s">
        <v>1061</v>
      </c>
      <c r="F101" s="100">
        <f>EDU*2+APP*2</f>
        <v>0</v>
      </c>
      <c r="G101" s="103" t="s">
        <v>1187</v>
      </c>
    </row>
    <row r="102" spans="1:7" x14ac:dyDescent="0.25">
      <c r="A102" s="95">
        <v>100</v>
      </c>
      <c r="B102" s="95" t="s">
        <v>682</v>
      </c>
      <c r="C102" s="104" t="s">
        <v>204</v>
      </c>
      <c r="D102" s="97" t="s">
        <v>72</v>
      </c>
      <c r="E102" s="105" t="s">
        <v>1051</v>
      </c>
      <c r="F102" s="95">
        <f>EDU*4</f>
        <v>0</v>
      </c>
      <c r="G102" s="99" t="s">
        <v>1188</v>
      </c>
    </row>
    <row r="103" spans="1:7" x14ac:dyDescent="0.25">
      <c r="A103" s="100">
        <v>101</v>
      </c>
      <c r="B103" s="100" t="s">
        <v>682</v>
      </c>
      <c r="C103" s="101" t="s">
        <v>205</v>
      </c>
      <c r="D103" s="100" t="s">
        <v>79</v>
      </c>
      <c r="E103" s="102" t="s">
        <v>1062</v>
      </c>
      <c r="F103" s="100">
        <f>EDU*2+MAX(DEX,APP)*2</f>
        <v>0</v>
      </c>
      <c r="G103" s="103" t="s">
        <v>1189</v>
      </c>
    </row>
    <row r="104" spans="1:7" x14ac:dyDescent="0.25">
      <c r="A104" s="95">
        <v>102</v>
      </c>
      <c r="B104" s="95" t="s">
        <v>682</v>
      </c>
      <c r="C104" s="104" t="s">
        <v>206</v>
      </c>
      <c r="D104" s="97" t="s">
        <v>117</v>
      </c>
      <c r="E104" s="105" t="s">
        <v>1062</v>
      </c>
      <c r="F104" s="95">
        <f>EDU*2+MAX(DEX,APP)*2</f>
        <v>0</v>
      </c>
      <c r="G104" s="99" t="s">
        <v>1190</v>
      </c>
    </row>
    <row r="105" spans="1:7" x14ac:dyDescent="0.25">
      <c r="A105" s="100">
        <v>103</v>
      </c>
      <c r="B105" s="100" t="s">
        <v>682</v>
      </c>
      <c r="C105" s="101" t="s">
        <v>207</v>
      </c>
      <c r="D105" s="100" t="s">
        <v>79</v>
      </c>
      <c r="E105" s="102" t="s">
        <v>1059</v>
      </c>
      <c r="F105" s="100">
        <f>EDU*2+MAX(STR,DEX)*2</f>
        <v>0</v>
      </c>
      <c r="G105" s="103" t="s">
        <v>208</v>
      </c>
    </row>
    <row r="106" spans="1:7" x14ac:dyDescent="0.25">
      <c r="A106" s="95">
        <v>104</v>
      </c>
      <c r="B106" s="95" t="s">
        <v>682</v>
      </c>
      <c r="C106" s="104" t="s">
        <v>209</v>
      </c>
      <c r="D106" s="97" t="s">
        <v>88</v>
      </c>
      <c r="E106" s="105" t="s">
        <v>1062</v>
      </c>
      <c r="F106" s="95">
        <f>EDU*2+MAX(DEX,APP)*2</f>
        <v>0</v>
      </c>
      <c r="G106" s="99" t="s">
        <v>1191</v>
      </c>
    </row>
    <row r="107" spans="1:7" x14ac:dyDescent="0.25">
      <c r="A107" s="100">
        <v>105</v>
      </c>
      <c r="B107" s="100" t="s">
        <v>682</v>
      </c>
      <c r="C107" s="101" t="s">
        <v>210</v>
      </c>
      <c r="D107" s="100" t="s">
        <v>211</v>
      </c>
      <c r="E107" s="102" t="s">
        <v>1051</v>
      </c>
      <c r="F107" s="100">
        <f>EDU*4</f>
        <v>0</v>
      </c>
      <c r="G107" s="103" t="s">
        <v>212</v>
      </c>
    </row>
    <row r="108" spans="1:7" x14ac:dyDescent="0.25">
      <c r="A108" s="95">
        <v>106</v>
      </c>
      <c r="B108" s="95" t="s">
        <v>682</v>
      </c>
      <c r="C108" s="104" t="s">
        <v>213</v>
      </c>
      <c r="D108" s="97" t="s">
        <v>214</v>
      </c>
      <c r="E108" s="105" t="s">
        <v>1059</v>
      </c>
      <c r="F108" s="95">
        <f>EDU*2+MAX(STR,DEX)*2</f>
        <v>0</v>
      </c>
      <c r="G108" s="99" t="s">
        <v>512</v>
      </c>
    </row>
    <row r="109" spans="1:7" x14ac:dyDescent="0.25">
      <c r="A109" s="100">
        <v>107</v>
      </c>
      <c r="B109" s="100" t="s">
        <v>682</v>
      </c>
      <c r="C109" s="101" t="s">
        <v>215</v>
      </c>
      <c r="D109" s="100" t="s">
        <v>224</v>
      </c>
      <c r="E109" s="102" t="s">
        <v>1059</v>
      </c>
      <c r="F109" s="100">
        <f>EDU*2+MAX(STR,DEX)*2</f>
        <v>0</v>
      </c>
      <c r="G109" s="103" t="s">
        <v>513</v>
      </c>
    </row>
    <row r="110" spans="1:7" x14ac:dyDescent="0.25">
      <c r="A110" s="95">
        <v>108</v>
      </c>
      <c r="B110" s="95" t="s">
        <v>682</v>
      </c>
      <c r="C110" s="104" t="s">
        <v>216</v>
      </c>
      <c r="D110" s="97" t="s">
        <v>117</v>
      </c>
      <c r="E110" s="105" t="s">
        <v>1051</v>
      </c>
      <c r="F110" s="95">
        <f>EDU*4</f>
        <v>0</v>
      </c>
      <c r="G110" s="99" t="s">
        <v>1192</v>
      </c>
    </row>
    <row r="111" spans="1:7" x14ac:dyDescent="0.25">
      <c r="A111" s="100">
        <v>109</v>
      </c>
      <c r="B111" s="100" t="s">
        <v>682</v>
      </c>
      <c r="C111" s="101" t="s">
        <v>217</v>
      </c>
      <c r="D111" s="100" t="s">
        <v>195</v>
      </c>
      <c r="E111" s="102" t="s">
        <v>1051</v>
      </c>
      <c r="F111" s="100">
        <f>EDU*4</f>
        <v>0</v>
      </c>
      <c r="G111" s="103" t="s">
        <v>1193</v>
      </c>
    </row>
    <row r="112" spans="1:7" x14ac:dyDescent="0.25">
      <c r="A112" s="95">
        <v>110</v>
      </c>
      <c r="B112" s="95" t="s">
        <v>682</v>
      </c>
      <c r="C112" s="104" t="s">
        <v>218</v>
      </c>
      <c r="D112" s="97" t="s">
        <v>68</v>
      </c>
      <c r="E112" s="105" t="s">
        <v>1062</v>
      </c>
      <c r="F112" s="95">
        <f>EDU*2+MAX(DEX,APP)*2</f>
        <v>0</v>
      </c>
      <c r="G112" s="99" t="s">
        <v>1194</v>
      </c>
    </row>
    <row r="113" spans="1:7" x14ac:dyDescent="0.25">
      <c r="A113" s="100">
        <v>111</v>
      </c>
      <c r="B113" s="100" t="s">
        <v>682</v>
      </c>
      <c r="C113" s="101" t="s">
        <v>219</v>
      </c>
      <c r="D113" s="100" t="s">
        <v>68</v>
      </c>
      <c r="E113" s="102" t="s">
        <v>1051</v>
      </c>
      <c r="F113" s="100">
        <f>EDU*4</f>
        <v>0</v>
      </c>
      <c r="G113" s="103" t="s">
        <v>1205</v>
      </c>
    </row>
    <row r="114" spans="1:7" x14ac:dyDescent="0.25">
      <c r="A114" s="95">
        <v>112</v>
      </c>
      <c r="B114" s="95" t="s">
        <v>682</v>
      </c>
      <c r="C114" s="104" t="s">
        <v>220</v>
      </c>
      <c r="D114" s="97" t="s">
        <v>221</v>
      </c>
      <c r="E114" s="105" t="s">
        <v>1051</v>
      </c>
      <c r="F114" s="95">
        <f>EDU*4</f>
        <v>0</v>
      </c>
      <c r="G114" s="99" t="s">
        <v>1195</v>
      </c>
    </row>
    <row r="115" spans="1:7" x14ac:dyDescent="0.25">
      <c r="A115" s="100">
        <v>113</v>
      </c>
      <c r="B115" s="100" t="s">
        <v>682</v>
      </c>
      <c r="C115" s="101" t="s">
        <v>222</v>
      </c>
      <c r="D115" s="100" t="s">
        <v>173</v>
      </c>
      <c r="E115" s="102" t="s">
        <v>1064</v>
      </c>
      <c r="F115" s="100">
        <f>EDU*2+MAX(APP,POW)*2</f>
        <v>0</v>
      </c>
      <c r="G115" s="103" t="s">
        <v>1196</v>
      </c>
    </row>
    <row r="116" spans="1:7" x14ac:dyDescent="0.25">
      <c r="A116" s="95">
        <v>114</v>
      </c>
      <c r="B116" s="95" t="s">
        <v>682</v>
      </c>
      <c r="C116" s="104" t="s">
        <v>223</v>
      </c>
      <c r="D116" s="97" t="s">
        <v>80</v>
      </c>
      <c r="E116" s="105" t="s">
        <v>1051</v>
      </c>
      <c r="F116" s="95">
        <f>EDU*4</f>
        <v>0</v>
      </c>
      <c r="G116" s="99" t="s">
        <v>1202</v>
      </c>
    </row>
    <row r="117" spans="1:7" x14ac:dyDescent="0.25">
      <c r="A117" s="100">
        <v>115</v>
      </c>
      <c r="B117" s="100" t="s">
        <v>533</v>
      </c>
      <c r="C117" s="101" t="s">
        <v>696</v>
      </c>
      <c r="D117" s="100" t="s">
        <v>699</v>
      </c>
      <c r="E117" s="102" t="s">
        <v>1051</v>
      </c>
      <c r="F117" s="100">
        <f>EDU*4</f>
        <v>0</v>
      </c>
      <c r="G117" s="103" t="s">
        <v>703</v>
      </c>
    </row>
    <row r="118" spans="1:7" x14ac:dyDescent="0.25">
      <c r="A118" s="95">
        <v>116</v>
      </c>
      <c r="B118" s="95" t="s">
        <v>695</v>
      </c>
      <c r="C118" s="104" t="s">
        <v>697</v>
      </c>
      <c r="D118" s="97" t="s">
        <v>700</v>
      </c>
      <c r="E118" s="105" t="s">
        <v>1059</v>
      </c>
      <c r="F118" s="95">
        <f>EDU*2+MAX(STR,DEX)*2</f>
        <v>0</v>
      </c>
      <c r="G118" s="99" t="s">
        <v>704</v>
      </c>
    </row>
    <row r="119" spans="1:7" x14ac:dyDescent="0.25">
      <c r="A119" s="100">
        <v>117</v>
      </c>
      <c r="B119" s="100" t="s">
        <v>695</v>
      </c>
      <c r="C119" s="101" t="s">
        <v>698</v>
      </c>
      <c r="D119" s="100" t="s">
        <v>701</v>
      </c>
      <c r="E119" s="102" t="s">
        <v>1051</v>
      </c>
      <c r="F119" s="100">
        <f>EDU*4</f>
        <v>0</v>
      </c>
      <c r="G119" s="103" t="s">
        <v>1197</v>
      </c>
    </row>
    <row r="120" spans="1:7" x14ac:dyDescent="0.25">
      <c r="A120" s="95">
        <v>118</v>
      </c>
      <c r="B120" s="95" t="s">
        <v>1067</v>
      </c>
      <c r="C120" s="104" t="s">
        <v>1087</v>
      </c>
      <c r="D120" s="97" t="s">
        <v>700</v>
      </c>
      <c r="E120" s="105" t="s">
        <v>1113</v>
      </c>
      <c r="F120" s="95">
        <f>POW*2+APP*2</f>
        <v>0</v>
      </c>
      <c r="G120" s="99" t="s">
        <v>1123</v>
      </c>
    </row>
    <row r="121" spans="1:7" x14ac:dyDescent="0.25">
      <c r="A121" s="100">
        <v>119</v>
      </c>
      <c r="B121" s="100" t="s">
        <v>1067</v>
      </c>
      <c r="C121" s="101" t="s">
        <v>121</v>
      </c>
      <c r="D121" s="100" t="s">
        <v>1068</v>
      </c>
      <c r="E121" s="102" t="s">
        <v>1114</v>
      </c>
      <c r="F121" s="100">
        <f>EDU*2+MAX(POW,APP)*2</f>
        <v>0</v>
      </c>
      <c r="G121" s="103" t="s">
        <v>1124</v>
      </c>
    </row>
    <row r="122" spans="1:7" x14ac:dyDescent="0.25">
      <c r="A122" s="95">
        <v>120</v>
      </c>
      <c r="B122" s="95" t="s">
        <v>1067</v>
      </c>
      <c r="C122" s="104" t="s">
        <v>1088</v>
      </c>
      <c r="D122" s="97" t="s">
        <v>1069</v>
      </c>
      <c r="E122" s="105" t="s">
        <v>1059</v>
      </c>
      <c r="F122" s="95">
        <f>EDU*2+MAX(STR,DEX)*2</f>
        <v>0</v>
      </c>
      <c r="G122" s="99" t="s">
        <v>1070</v>
      </c>
    </row>
    <row r="123" spans="1:7" x14ac:dyDescent="0.25">
      <c r="A123" s="100">
        <v>121</v>
      </c>
      <c r="B123" s="100" t="s">
        <v>1067</v>
      </c>
      <c r="C123" s="101" t="s">
        <v>1089</v>
      </c>
      <c r="D123" s="100" t="s">
        <v>1071</v>
      </c>
      <c r="E123" s="102" t="s">
        <v>1120</v>
      </c>
      <c r="F123" s="100">
        <f>STR*2+CON*2</f>
        <v>0</v>
      </c>
      <c r="G123" s="103" t="s">
        <v>1090</v>
      </c>
    </row>
    <row r="124" spans="1:7" x14ac:dyDescent="0.25">
      <c r="A124" s="95">
        <v>122</v>
      </c>
      <c r="B124" s="95" t="s">
        <v>1067</v>
      </c>
      <c r="C124" s="104" t="s">
        <v>1091</v>
      </c>
      <c r="D124" s="97" t="s">
        <v>1071</v>
      </c>
      <c r="E124" s="105" t="s">
        <v>1117</v>
      </c>
      <c r="F124" s="95">
        <f>STR*2+DEX*2</f>
        <v>0</v>
      </c>
      <c r="G124" s="99" t="s">
        <v>1072</v>
      </c>
    </row>
    <row r="125" spans="1:7" x14ac:dyDescent="0.25">
      <c r="A125" s="100">
        <v>123</v>
      </c>
      <c r="B125" s="100" t="s">
        <v>1067</v>
      </c>
      <c r="C125" s="101" t="s">
        <v>1092</v>
      </c>
      <c r="D125" s="100" t="s">
        <v>1073</v>
      </c>
      <c r="E125" s="102" t="s">
        <v>1115</v>
      </c>
      <c r="F125" s="100">
        <f>MAX(EDU,POW)*4</f>
        <v>0</v>
      </c>
      <c r="G125" s="103" t="s">
        <v>1093</v>
      </c>
    </row>
    <row r="126" spans="1:7" x14ac:dyDescent="0.25">
      <c r="A126" s="95">
        <v>124</v>
      </c>
      <c r="B126" s="95" t="s">
        <v>1067</v>
      </c>
      <c r="C126" s="104" t="s">
        <v>1094</v>
      </c>
      <c r="D126" s="97" t="s">
        <v>1074</v>
      </c>
      <c r="E126" s="105" t="s">
        <v>1112</v>
      </c>
      <c r="F126" s="95">
        <f>POW*4</f>
        <v>0</v>
      </c>
      <c r="G126" s="99" t="s">
        <v>1075</v>
      </c>
    </row>
    <row r="127" spans="1:7" x14ac:dyDescent="0.25">
      <c r="A127" s="100">
        <v>125</v>
      </c>
      <c r="B127" s="100" t="s">
        <v>1067</v>
      </c>
      <c r="C127" s="101" t="s">
        <v>1095</v>
      </c>
      <c r="D127" s="100" t="s">
        <v>1076</v>
      </c>
      <c r="E127" s="102" t="s">
        <v>1116</v>
      </c>
      <c r="F127" s="100">
        <f>EDU*2+POW*2</f>
        <v>0</v>
      </c>
      <c r="G127" s="103" t="s">
        <v>1096</v>
      </c>
    </row>
    <row r="128" spans="1:7" x14ac:dyDescent="0.25">
      <c r="A128" s="95">
        <v>126</v>
      </c>
      <c r="B128" s="95" t="s">
        <v>1067</v>
      </c>
      <c r="C128" s="104" t="s">
        <v>1097</v>
      </c>
      <c r="D128" s="97" t="s">
        <v>1077</v>
      </c>
      <c r="E128" s="105" t="s">
        <v>1118</v>
      </c>
      <c r="F128" s="95">
        <f>DEX*2+MAX(POW,APP)*2</f>
        <v>0</v>
      </c>
      <c r="G128" s="99" t="s">
        <v>1078</v>
      </c>
    </row>
    <row r="129" spans="1:7" x14ac:dyDescent="0.25">
      <c r="A129" s="100">
        <v>127</v>
      </c>
      <c r="B129" s="100" t="s">
        <v>1067</v>
      </c>
      <c r="C129" s="101" t="s">
        <v>1098</v>
      </c>
      <c r="D129" s="100" t="s">
        <v>1079</v>
      </c>
      <c r="E129" s="102" t="s">
        <v>1120</v>
      </c>
      <c r="F129" s="100">
        <f>STR*2+CON*2</f>
        <v>0</v>
      </c>
      <c r="G129" s="103" t="s">
        <v>1099</v>
      </c>
    </row>
    <row r="130" spans="1:7" x14ac:dyDescent="0.25">
      <c r="A130" s="95">
        <v>128</v>
      </c>
      <c r="B130" s="95" t="s">
        <v>1067</v>
      </c>
      <c r="C130" s="104" t="s">
        <v>1100</v>
      </c>
      <c r="D130" s="97" t="s">
        <v>1076</v>
      </c>
      <c r="E130" s="105" t="s">
        <v>1051</v>
      </c>
      <c r="F130" s="95">
        <f>EDU*4</f>
        <v>0</v>
      </c>
      <c r="G130" s="99" t="s">
        <v>1080</v>
      </c>
    </row>
    <row r="131" spans="1:7" x14ac:dyDescent="0.25">
      <c r="A131" s="100">
        <v>129</v>
      </c>
      <c r="B131" s="100" t="s">
        <v>1067</v>
      </c>
      <c r="C131" s="101" t="s">
        <v>1101</v>
      </c>
      <c r="D131" s="100" t="s">
        <v>1073</v>
      </c>
      <c r="E131" s="102" t="s">
        <v>1051</v>
      </c>
      <c r="F131" s="100">
        <f>EDU*4</f>
        <v>0</v>
      </c>
      <c r="G131" s="103" t="s">
        <v>1102</v>
      </c>
    </row>
    <row r="132" spans="1:7" x14ac:dyDescent="0.25">
      <c r="A132" s="95">
        <v>130</v>
      </c>
      <c r="B132" s="95" t="s">
        <v>1067</v>
      </c>
      <c r="C132" s="104" t="s">
        <v>1103</v>
      </c>
      <c r="D132" s="97" t="s">
        <v>1081</v>
      </c>
      <c r="E132" s="105" t="s">
        <v>1116</v>
      </c>
      <c r="F132" s="95">
        <f>EDU*2+POW*2</f>
        <v>0</v>
      </c>
      <c r="G132" s="99" t="s">
        <v>1082</v>
      </c>
    </row>
    <row r="133" spans="1:7" x14ac:dyDescent="0.25">
      <c r="A133" s="100">
        <v>131</v>
      </c>
      <c r="B133" s="100" t="s">
        <v>1067</v>
      </c>
      <c r="C133" s="101" t="s">
        <v>1104</v>
      </c>
      <c r="D133" s="100" t="s">
        <v>1068</v>
      </c>
      <c r="E133" s="102" t="s">
        <v>1119</v>
      </c>
      <c r="F133" s="100">
        <f>EDU*2+INT*2</f>
        <v>0</v>
      </c>
      <c r="G133" s="103" t="s">
        <v>1105</v>
      </c>
    </row>
    <row r="134" spans="1:7" x14ac:dyDescent="0.25">
      <c r="A134" s="95">
        <v>132</v>
      </c>
      <c r="B134" s="95" t="s">
        <v>1067</v>
      </c>
      <c r="C134" s="104" t="s">
        <v>1106</v>
      </c>
      <c r="D134" s="97" t="s">
        <v>1074</v>
      </c>
      <c r="E134" s="105" t="s">
        <v>1121</v>
      </c>
      <c r="F134" s="95">
        <f>DEX*2+CON*2</f>
        <v>0</v>
      </c>
      <c r="G134" s="99" t="s">
        <v>1083</v>
      </c>
    </row>
    <row r="135" spans="1:7" x14ac:dyDescent="0.25">
      <c r="A135" s="100">
        <v>133</v>
      </c>
      <c r="B135" s="100" t="s">
        <v>1067</v>
      </c>
      <c r="C135" s="101" t="s">
        <v>803</v>
      </c>
      <c r="D135" s="100" t="s">
        <v>1073</v>
      </c>
      <c r="E135" s="102" t="s">
        <v>1051</v>
      </c>
      <c r="F135" s="100">
        <f>EDU*4</f>
        <v>0</v>
      </c>
      <c r="G135" s="103" t="s">
        <v>1107</v>
      </c>
    </row>
    <row r="136" spans="1:7" ht="31.2" x14ac:dyDescent="0.25">
      <c r="A136" s="95">
        <v>134</v>
      </c>
      <c r="B136" s="95" t="s">
        <v>1067</v>
      </c>
      <c r="C136" s="104" t="s">
        <v>1108</v>
      </c>
      <c r="D136" s="97" t="s">
        <v>1073</v>
      </c>
      <c r="E136" s="105" t="s">
        <v>1122</v>
      </c>
      <c r="F136" s="95">
        <f>CON*2+INT*2</f>
        <v>0</v>
      </c>
      <c r="G136" s="99" t="s">
        <v>1084</v>
      </c>
    </row>
    <row r="137" spans="1:7" x14ac:dyDescent="0.25">
      <c r="A137" s="100">
        <v>135</v>
      </c>
      <c r="B137" s="100" t="s">
        <v>1067</v>
      </c>
      <c r="C137" s="101" t="s">
        <v>1109</v>
      </c>
      <c r="D137" s="100" t="s">
        <v>1076</v>
      </c>
      <c r="E137" s="102" t="s">
        <v>1057</v>
      </c>
      <c r="F137" s="100">
        <f>EDU*2+STR*2</f>
        <v>0</v>
      </c>
      <c r="G137" s="103" t="s">
        <v>1110</v>
      </c>
    </row>
    <row r="138" spans="1:7" x14ac:dyDescent="0.25">
      <c r="A138" s="95">
        <v>136</v>
      </c>
      <c r="B138" s="95" t="s">
        <v>1067</v>
      </c>
      <c r="C138" s="104" t="s">
        <v>1111</v>
      </c>
      <c r="D138" s="97" t="s">
        <v>1085</v>
      </c>
      <c r="E138" s="105" t="s">
        <v>1119</v>
      </c>
      <c r="F138" s="95">
        <f>EDU*2+INT*2</f>
        <v>0</v>
      </c>
      <c r="G138" s="99" t="s">
        <v>1086</v>
      </c>
    </row>
  </sheetData>
  <sheetProtection algorithmName="SHA-512" hashValue="PU6yQE2FEm1p5Nlr6tUPM1if7r4WeL4SEmZ4ACPn7mNuDHqRfJKn2ZmroTTQuzT3eNmTDoIO0hVnyLyDcrwQrA==" saltValue="Kz/BhcrRXxAoH6TXCi6btw==" spinCount="100000" sheet="1" objects="1" scenarios="1"/>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C1D58DD-2509-482D-AE39-523038120341}">
          <x14:formula1>
            <xm:f>附表!$E$26:$E$31</xm:f>
          </x14:formula1>
          <xm:sqref>E2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FD54-5A65-4F9D-AB54-DA990CD2D493}">
  <sheetPr codeName="Sheet11"/>
  <dimension ref="A1:I127"/>
  <sheetViews>
    <sheetView showGridLines="0" showRowColHeaders="0" zoomScale="115" zoomScaleNormal="115" workbookViewId="0">
      <selection activeCell="B5" sqref="B5:D5"/>
    </sheetView>
  </sheetViews>
  <sheetFormatPr defaultColWidth="3.21875" defaultRowHeight="15" x14ac:dyDescent="0.25"/>
  <cols>
    <col min="1" max="1" width="3.21875" style="109"/>
    <col min="2" max="6" width="5.44140625" style="109" customWidth="1"/>
    <col min="7" max="7" width="78.6640625" style="117" customWidth="1"/>
    <col min="8" max="8" width="3.21875" style="109"/>
    <col min="9" max="9" width="80.21875" style="109" hidden="1" customWidth="1"/>
    <col min="10" max="16384" width="3.21875" style="109"/>
  </cols>
  <sheetData>
    <row r="1" spans="1:8" x14ac:dyDescent="0.25">
      <c r="A1" s="34"/>
      <c r="B1" s="158"/>
      <c r="C1" s="158"/>
      <c r="D1" s="158"/>
      <c r="E1" s="158"/>
      <c r="F1" s="158"/>
      <c r="G1" s="158"/>
      <c r="H1" s="106"/>
    </row>
    <row r="2" spans="1:8" ht="28.2" thickBot="1" x14ac:dyDescent="0.3">
      <c r="A2" s="34"/>
      <c r="B2" s="191" t="s">
        <v>867</v>
      </c>
      <c r="C2" s="191"/>
      <c r="D2" s="191"/>
      <c r="E2" s="191"/>
      <c r="F2" s="191"/>
      <c r="G2" s="191"/>
      <c r="H2" s="106"/>
    </row>
    <row r="3" spans="1:8" ht="15.6" x14ac:dyDescent="0.25">
      <c r="A3" s="34"/>
      <c r="B3" s="338" t="s">
        <v>706</v>
      </c>
      <c r="C3" s="339"/>
      <c r="D3" s="339"/>
      <c r="E3" s="339"/>
      <c r="F3" s="339"/>
      <c r="G3" s="340"/>
      <c r="H3" s="106"/>
    </row>
    <row r="4" spans="1:8" x14ac:dyDescent="0.25">
      <c r="A4" s="34"/>
      <c r="B4" s="621" t="s">
        <v>706</v>
      </c>
      <c r="C4" s="622"/>
      <c r="D4" s="622"/>
      <c r="E4" s="623" t="s">
        <v>707</v>
      </c>
      <c r="F4" s="622"/>
      <c r="G4" s="118" t="s">
        <v>855</v>
      </c>
      <c r="H4" s="106"/>
    </row>
    <row r="5" spans="1:8" ht="30" x14ac:dyDescent="0.25">
      <c r="A5" s="110"/>
      <c r="B5" s="614" t="s">
        <v>773</v>
      </c>
      <c r="C5" s="615"/>
      <c r="D5" s="616"/>
      <c r="E5" s="617" t="s">
        <v>774</v>
      </c>
      <c r="F5" s="616"/>
      <c r="G5" s="119" t="s">
        <v>1034</v>
      </c>
      <c r="H5" s="106"/>
    </row>
    <row r="6" spans="1:8" x14ac:dyDescent="0.25">
      <c r="A6" s="34"/>
      <c r="B6" s="526" t="s">
        <v>775</v>
      </c>
      <c r="C6" s="504"/>
      <c r="D6" s="505"/>
      <c r="E6" s="618" t="s">
        <v>322</v>
      </c>
      <c r="F6" s="505"/>
      <c r="G6" s="120" t="s">
        <v>1035</v>
      </c>
      <c r="H6" s="106"/>
    </row>
    <row r="7" spans="1:8" x14ac:dyDescent="0.25">
      <c r="A7" s="34"/>
      <c r="B7" s="614" t="s">
        <v>776</v>
      </c>
      <c r="C7" s="615"/>
      <c r="D7" s="616"/>
      <c r="E7" s="617" t="s">
        <v>328</v>
      </c>
      <c r="F7" s="616"/>
      <c r="G7" s="119" t="s">
        <v>1036</v>
      </c>
      <c r="H7" s="106"/>
    </row>
    <row r="8" spans="1:8" ht="30" x14ac:dyDescent="0.25">
      <c r="A8" s="110"/>
      <c r="B8" s="526" t="s">
        <v>777</v>
      </c>
      <c r="C8" s="504"/>
      <c r="D8" s="505"/>
      <c r="E8" s="618" t="s">
        <v>778</v>
      </c>
      <c r="F8" s="505"/>
      <c r="G8" s="120" t="s">
        <v>779</v>
      </c>
      <c r="H8" s="106"/>
    </row>
    <row r="9" spans="1:8" x14ac:dyDescent="0.25">
      <c r="A9" s="34"/>
      <c r="B9" s="614" t="s">
        <v>780</v>
      </c>
      <c r="C9" s="615"/>
      <c r="D9" s="616"/>
      <c r="E9" s="617" t="s">
        <v>781</v>
      </c>
      <c r="F9" s="616"/>
      <c r="G9" s="119" t="s">
        <v>1037</v>
      </c>
      <c r="H9" s="106"/>
    </row>
    <row r="10" spans="1:8" ht="30" x14ac:dyDescent="0.25">
      <c r="A10" s="34"/>
      <c r="B10" s="526" t="s">
        <v>782</v>
      </c>
      <c r="C10" s="504"/>
      <c r="D10" s="505"/>
      <c r="E10" s="618" t="s">
        <v>783</v>
      </c>
      <c r="F10" s="505"/>
      <c r="G10" s="120" t="s">
        <v>784</v>
      </c>
      <c r="H10" s="106"/>
    </row>
    <row r="11" spans="1:8" ht="30" x14ac:dyDescent="0.25">
      <c r="A11" s="110"/>
      <c r="B11" s="614" t="s">
        <v>785</v>
      </c>
      <c r="C11" s="615"/>
      <c r="D11" s="616"/>
      <c r="E11" s="617" t="s">
        <v>786</v>
      </c>
      <c r="F11" s="616"/>
      <c r="G11" s="119" t="s">
        <v>1038</v>
      </c>
      <c r="H11" s="106"/>
    </row>
    <row r="12" spans="1:8" ht="30" x14ac:dyDescent="0.25">
      <c r="A12" s="110"/>
      <c r="B12" s="526" t="s">
        <v>710</v>
      </c>
      <c r="C12" s="504"/>
      <c r="D12" s="505"/>
      <c r="E12" s="618" t="s">
        <v>787</v>
      </c>
      <c r="F12" s="505"/>
      <c r="G12" s="120" t="s">
        <v>1039</v>
      </c>
      <c r="H12" s="106"/>
    </row>
    <row r="13" spans="1:8" ht="30" x14ac:dyDescent="0.25">
      <c r="A13" s="34"/>
      <c r="B13" s="614" t="s">
        <v>788</v>
      </c>
      <c r="C13" s="615"/>
      <c r="D13" s="616"/>
      <c r="E13" s="617" t="s">
        <v>778</v>
      </c>
      <c r="F13" s="616"/>
      <c r="G13" s="119" t="s">
        <v>789</v>
      </c>
      <c r="H13" s="106"/>
    </row>
    <row r="14" spans="1:8" ht="30" x14ac:dyDescent="0.25">
      <c r="A14" s="110"/>
      <c r="B14" s="526" t="s">
        <v>790</v>
      </c>
      <c r="C14" s="504"/>
      <c r="D14" s="505"/>
      <c r="E14" s="618" t="s">
        <v>791</v>
      </c>
      <c r="F14" s="505"/>
      <c r="G14" s="120" t="s">
        <v>792</v>
      </c>
      <c r="H14" s="106"/>
    </row>
    <row r="15" spans="1:8" x14ac:dyDescent="0.25">
      <c r="A15" s="34"/>
      <c r="B15" s="614" t="s">
        <v>793</v>
      </c>
      <c r="C15" s="615"/>
      <c r="D15" s="616"/>
      <c r="E15" s="617" t="s">
        <v>794</v>
      </c>
      <c r="F15" s="616"/>
      <c r="G15" s="119" t="s">
        <v>1040</v>
      </c>
      <c r="H15" s="106"/>
    </row>
    <row r="16" spans="1:8" ht="30" x14ac:dyDescent="0.25">
      <c r="A16" s="110"/>
      <c r="B16" s="526" t="s">
        <v>795</v>
      </c>
      <c r="C16" s="504"/>
      <c r="D16" s="505"/>
      <c r="E16" s="618" t="s">
        <v>796</v>
      </c>
      <c r="F16" s="505"/>
      <c r="G16" s="120" t="s">
        <v>797</v>
      </c>
      <c r="H16" s="106"/>
    </row>
    <row r="17" spans="1:9" ht="30" x14ac:dyDescent="0.25">
      <c r="A17" s="110"/>
      <c r="B17" s="614" t="s">
        <v>798</v>
      </c>
      <c r="C17" s="615"/>
      <c r="D17" s="616"/>
      <c r="E17" s="617" t="s">
        <v>781</v>
      </c>
      <c r="F17" s="616"/>
      <c r="G17" s="119" t="s">
        <v>799</v>
      </c>
      <c r="H17" s="106"/>
    </row>
    <row r="18" spans="1:9" ht="30" x14ac:dyDescent="0.25">
      <c r="A18" s="110"/>
      <c r="B18" s="526" t="s">
        <v>800</v>
      </c>
      <c r="C18" s="504"/>
      <c r="D18" s="505"/>
      <c r="E18" s="618" t="s">
        <v>796</v>
      </c>
      <c r="F18" s="505"/>
      <c r="G18" s="120" t="s">
        <v>801</v>
      </c>
      <c r="H18" s="106"/>
    </row>
    <row r="19" spans="1:9" x14ac:dyDescent="0.25">
      <c r="A19" s="34"/>
      <c r="B19" s="614" t="s">
        <v>802</v>
      </c>
      <c r="C19" s="615"/>
      <c r="D19" s="616"/>
      <c r="E19" s="617" t="s">
        <v>774</v>
      </c>
      <c r="F19" s="616"/>
      <c r="G19" s="119" t="s">
        <v>1041</v>
      </c>
      <c r="H19" s="106"/>
    </row>
    <row r="20" spans="1:9" ht="30" x14ac:dyDescent="0.25">
      <c r="A20" s="34"/>
      <c r="B20" s="526" t="s">
        <v>803</v>
      </c>
      <c r="C20" s="504"/>
      <c r="D20" s="505"/>
      <c r="E20" s="618" t="s">
        <v>804</v>
      </c>
      <c r="F20" s="505"/>
      <c r="G20" s="120" t="s">
        <v>805</v>
      </c>
      <c r="H20" s="106"/>
    </row>
    <row r="21" spans="1:9" ht="30" x14ac:dyDescent="0.25">
      <c r="A21" s="34"/>
      <c r="B21" s="614" t="s">
        <v>806</v>
      </c>
      <c r="C21" s="615"/>
      <c r="D21" s="616"/>
      <c r="E21" s="617" t="s">
        <v>778</v>
      </c>
      <c r="F21" s="616"/>
      <c r="G21" s="119" t="s">
        <v>807</v>
      </c>
      <c r="H21" s="106"/>
    </row>
    <row r="22" spans="1:9" ht="30" x14ac:dyDescent="0.25">
      <c r="A22" s="34"/>
      <c r="B22" s="526" t="s">
        <v>808</v>
      </c>
      <c r="C22" s="504"/>
      <c r="D22" s="505"/>
      <c r="E22" s="618" t="s">
        <v>809</v>
      </c>
      <c r="F22" s="505"/>
      <c r="G22" s="120" t="s">
        <v>1042</v>
      </c>
      <c r="H22" s="106"/>
    </row>
    <row r="23" spans="1:9" ht="30" x14ac:dyDescent="0.25">
      <c r="A23" s="110"/>
      <c r="B23" s="614" t="s">
        <v>810</v>
      </c>
      <c r="C23" s="615"/>
      <c r="D23" s="616"/>
      <c r="E23" s="617" t="s">
        <v>791</v>
      </c>
      <c r="F23" s="616"/>
      <c r="G23" s="119" t="s">
        <v>811</v>
      </c>
      <c r="H23" s="106"/>
    </row>
    <row r="24" spans="1:9" ht="30" x14ac:dyDescent="0.25">
      <c r="A24" s="110"/>
      <c r="B24" s="526" t="s">
        <v>812</v>
      </c>
      <c r="C24" s="504"/>
      <c r="D24" s="505"/>
      <c r="E24" s="618" t="s">
        <v>774</v>
      </c>
      <c r="F24" s="505"/>
      <c r="G24" s="120" t="s">
        <v>1043</v>
      </c>
      <c r="H24" s="106"/>
    </row>
    <row r="25" spans="1:9" ht="30" x14ac:dyDescent="0.25">
      <c r="A25" s="110"/>
      <c r="B25" s="614" t="s">
        <v>813</v>
      </c>
      <c r="C25" s="615"/>
      <c r="D25" s="616"/>
      <c r="E25" s="617" t="s">
        <v>786</v>
      </c>
      <c r="F25" s="616"/>
      <c r="G25" s="119" t="s">
        <v>1044</v>
      </c>
      <c r="H25" s="106"/>
    </row>
    <row r="26" spans="1:9" ht="15.6" thickBot="1" x14ac:dyDescent="0.3">
      <c r="A26" s="34"/>
      <c r="B26" s="527" t="s">
        <v>814</v>
      </c>
      <c r="C26" s="506"/>
      <c r="D26" s="507"/>
      <c r="E26" s="624" t="s">
        <v>815</v>
      </c>
      <c r="F26" s="507"/>
      <c r="G26" s="121" t="s">
        <v>816</v>
      </c>
      <c r="H26" s="106"/>
    </row>
    <row r="27" spans="1:9" ht="15.6" thickBot="1" x14ac:dyDescent="0.3">
      <c r="A27" s="34"/>
      <c r="B27" s="107"/>
      <c r="C27" s="107"/>
      <c r="D27" s="107"/>
      <c r="E27" s="107"/>
      <c r="F27" s="107"/>
      <c r="G27" s="116"/>
      <c r="H27" s="106"/>
    </row>
    <row r="28" spans="1:9" ht="15.6" x14ac:dyDescent="0.25">
      <c r="A28" s="34"/>
      <c r="B28" s="362" t="s">
        <v>856</v>
      </c>
      <c r="C28" s="363"/>
      <c r="D28" s="363"/>
      <c r="E28" s="363"/>
      <c r="F28" s="363"/>
      <c r="G28" s="364"/>
      <c r="H28" s="106"/>
    </row>
    <row r="29" spans="1:9" x14ac:dyDescent="0.25">
      <c r="A29" s="34"/>
      <c r="B29" s="619" t="s">
        <v>857</v>
      </c>
      <c r="C29" s="259"/>
      <c r="D29" s="114" t="s">
        <v>25</v>
      </c>
      <c r="E29" s="620" t="s">
        <v>817</v>
      </c>
      <c r="F29" s="259"/>
      <c r="G29" s="122" t="s">
        <v>818</v>
      </c>
      <c r="H29" s="106"/>
    </row>
    <row r="30" spans="1:9" x14ac:dyDescent="0.25">
      <c r="A30" s="34"/>
      <c r="B30" s="613" t="s">
        <v>859</v>
      </c>
      <c r="C30" s="612"/>
      <c r="D30" s="112">
        <v>1</v>
      </c>
      <c r="E30" s="274" t="s">
        <v>712</v>
      </c>
      <c r="F30" s="612"/>
      <c r="G30" s="123" t="s">
        <v>841</v>
      </c>
      <c r="H30" s="106"/>
      <c r="I30" s="109" t="s">
        <v>977</v>
      </c>
    </row>
    <row r="31" spans="1:9" x14ac:dyDescent="0.25">
      <c r="A31" s="34"/>
      <c r="B31" s="565" t="s">
        <v>858</v>
      </c>
      <c r="C31" s="566"/>
      <c r="D31" s="111">
        <v>2</v>
      </c>
      <c r="E31" s="277" t="s">
        <v>713</v>
      </c>
      <c r="F31" s="566"/>
      <c r="G31" s="124" t="s">
        <v>722</v>
      </c>
      <c r="H31" s="106"/>
      <c r="I31" s="109" t="s">
        <v>979</v>
      </c>
    </row>
    <row r="32" spans="1:9" x14ac:dyDescent="0.25">
      <c r="A32" s="34"/>
      <c r="B32" s="613" t="s">
        <v>858</v>
      </c>
      <c r="C32" s="612"/>
      <c r="D32" s="112">
        <v>3</v>
      </c>
      <c r="E32" s="274" t="s">
        <v>714</v>
      </c>
      <c r="F32" s="612"/>
      <c r="G32" s="123" t="s">
        <v>723</v>
      </c>
      <c r="H32" s="106"/>
      <c r="I32" s="109" t="s">
        <v>987</v>
      </c>
    </row>
    <row r="33" spans="1:9" x14ac:dyDescent="0.25">
      <c r="A33" s="34"/>
      <c r="B33" s="565" t="s">
        <v>858</v>
      </c>
      <c r="C33" s="566"/>
      <c r="D33" s="111">
        <v>4</v>
      </c>
      <c r="E33" s="277" t="s">
        <v>715</v>
      </c>
      <c r="F33" s="566"/>
      <c r="G33" s="124" t="s">
        <v>842</v>
      </c>
      <c r="H33" s="106"/>
      <c r="I33" s="109" t="s">
        <v>980</v>
      </c>
    </row>
    <row r="34" spans="1:9" x14ac:dyDescent="0.25">
      <c r="A34" s="34"/>
      <c r="B34" s="613" t="s">
        <v>858</v>
      </c>
      <c r="C34" s="612"/>
      <c r="D34" s="112">
        <v>5</v>
      </c>
      <c r="E34" s="274" t="s">
        <v>716</v>
      </c>
      <c r="F34" s="612"/>
      <c r="G34" s="123" t="s">
        <v>843</v>
      </c>
      <c r="H34" s="106"/>
      <c r="I34" s="109" t="s">
        <v>981</v>
      </c>
    </row>
    <row r="35" spans="1:9" x14ac:dyDescent="0.25">
      <c r="A35" s="34"/>
      <c r="B35" s="565" t="s">
        <v>858</v>
      </c>
      <c r="C35" s="566"/>
      <c r="D35" s="111">
        <v>6</v>
      </c>
      <c r="E35" s="277" t="s">
        <v>717</v>
      </c>
      <c r="F35" s="566"/>
      <c r="G35" s="124" t="s">
        <v>724</v>
      </c>
      <c r="H35" s="106"/>
      <c r="I35" s="109" t="s">
        <v>988</v>
      </c>
    </row>
    <row r="36" spans="1:9" x14ac:dyDescent="0.25">
      <c r="A36" s="34"/>
      <c r="B36" s="613" t="s">
        <v>858</v>
      </c>
      <c r="C36" s="612"/>
      <c r="D36" s="112">
        <v>7</v>
      </c>
      <c r="E36" s="274" t="s">
        <v>718</v>
      </c>
      <c r="F36" s="612"/>
      <c r="G36" s="123" t="s">
        <v>725</v>
      </c>
      <c r="H36" s="106"/>
      <c r="I36" s="109" t="s">
        <v>962</v>
      </c>
    </row>
    <row r="37" spans="1:9" x14ac:dyDescent="0.25">
      <c r="A37" s="34"/>
      <c r="B37" s="565" t="s">
        <v>858</v>
      </c>
      <c r="C37" s="566"/>
      <c r="D37" s="111">
        <v>8</v>
      </c>
      <c r="E37" s="277" t="s">
        <v>719</v>
      </c>
      <c r="F37" s="566"/>
      <c r="G37" s="124" t="s">
        <v>840</v>
      </c>
      <c r="H37" s="106"/>
      <c r="I37" s="109" t="s">
        <v>963</v>
      </c>
    </row>
    <row r="38" spans="1:9" x14ac:dyDescent="0.25">
      <c r="A38" s="34"/>
      <c r="B38" s="613" t="s">
        <v>858</v>
      </c>
      <c r="C38" s="612"/>
      <c r="D38" s="112">
        <v>9</v>
      </c>
      <c r="E38" s="274" t="s">
        <v>720</v>
      </c>
      <c r="F38" s="612"/>
      <c r="G38" s="123" t="s">
        <v>844</v>
      </c>
      <c r="H38" s="106"/>
      <c r="I38" s="109" t="s">
        <v>982</v>
      </c>
    </row>
    <row r="39" spans="1:9" x14ac:dyDescent="0.25">
      <c r="A39" s="34"/>
      <c r="B39" s="565" t="s">
        <v>858</v>
      </c>
      <c r="C39" s="566"/>
      <c r="D39" s="111">
        <v>10</v>
      </c>
      <c r="E39" s="277" t="s">
        <v>721</v>
      </c>
      <c r="F39" s="566"/>
      <c r="G39" s="124" t="s">
        <v>845</v>
      </c>
      <c r="H39" s="106"/>
      <c r="I39" s="109" t="s">
        <v>989</v>
      </c>
    </row>
    <row r="40" spans="1:9" x14ac:dyDescent="0.25">
      <c r="A40" s="34"/>
      <c r="B40" s="613" t="s">
        <v>860</v>
      </c>
      <c r="C40" s="612"/>
      <c r="D40" s="112">
        <v>11</v>
      </c>
      <c r="E40" s="274" t="s">
        <v>726</v>
      </c>
      <c r="F40" s="612"/>
      <c r="G40" s="123" t="s">
        <v>727</v>
      </c>
      <c r="H40" s="108"/>
      <c r="I40" s="109" t="s">
        <v>964</v>
      </c>
    </row>
    <row r="41" spans="1:9" x14ac:dyDescent="0.25">
      <c r="A41" s="34"/>
      <c r="B41" s="565" t="s">
        <v>860</v>
      </c>
      <c r="C41" s="566"/>
      <c r="D41" s="111">
        <v>12</v>
      </c>
      <c r="E41" s="277" t="s">
        <v>728</v>
      </c>
      <c r="F41" s="566"/>
      <c r="G41" s="124" t="s">
        <v>729</v>
      </c>
      <c r="H41" s="108"/>
      <c r="I41" s="109" t="s">
        <v>965</v>
      </c>
    </row>
    <row r="42" spans="1:9" x14ac:dyDescent="0.25">
      <c r="A42" s="34"/>
      <c r="B42" s="613" t="s">
        <v>860</v>
      </c>
      <c r="C42" s="612"/>
      <c r="D42" s="112">
        <v>13</v>
      </c>
      <c r="E42" s="274" t="s">
        <v>730</v>
      </c>
      <c r="F42" s="612"/>
      <c r="G42" s="123" t="s">
        <v>846</v>
      </c>
      <c r="H42" s="108"/>
      <c r="I42" s="109" t="s">
        <v>983</v>
      </c>
    </row>
    <row r="43" spans="1:9" x14ac:dyDescent="0.25">
      <c r="A43" s="34"/>
      <c r="B43" s="565" t="s">
        <v>860</v>
      </c>
      <c r="C43" s="566"/>
      <c r="D43" s="111">
        <v>14</v>
      </c>
      <c r="E43" s="277" t="s">
        <v>731</v>
      </c>
      <c r="F43" s="566"/>
      <c r="G43" s="124" t="s">
        <v>991</v>
      </c>
      <c r="H43" s="108"/>
      <c r="I43" s="109" t="s">
        <v>990</v>
      </c>
    </row>
    <row r="44" spans="1:9" x14ac:dyDescent="0.25">
      <c r="A44" s="34"/>
      <c r="B44" s="613" t="s">
        <v>860</v>
      </c>
      <c r="C44" s="612"/>
      <c r="D44" s="112">
        <v>15</v>
      </c>
      <c r="E44" s="274" t="s">
        <v>732</v>
      </c>
      <c r="F44" s="612"/>
      <c r="G44" s="123" t="s">
        <v>847</v>
      </c>
      <c r="H44" s="108"/>
      <c r="I44" s="109" t="s">
        <v>992</v>
      </c>
    </row>
    <row r="45" spans="1:9" x14ac:dyDescent="0.25">
      <c r="A45" s="34"/>
      <c r="B45" s="565" t="s">
        <v>860</v>
      </c>
      <c r="C45" s="566"/>
      <c r="D45" s="111">
        <v>16</v>
      </c>
      <c r="E45" s="277" t="s">
        <v>733</v>
      </c>
      <c r="F45" s="566"/>
      <c r="G45" s="124" t="s">
        <v>848</v>
      </c>
      <c r="H45" s="108"/>
      <c r="I45" s="109" t="s">
        <v>978</v>
      </c>
    </row>
    <row r="46" spans="1:9" x14ac:dyDescent="0.25">
      <c r="A46" s="34"/>
      <c r="B46" s="613" t="s">
        <v>860</v>
      </c>
      <c r="C46" s="612"/>
      <c r="D46" s="112">
        <v>17</v>
      </c>
      <c r="E46" s="274" t="s">
        <v>734</v>
      </c>
      <c r="F46" s="612"/>
      <c r="G46" s="123" t="s">
        <v>849</v>
      </c>
      <c r="H46" s="108"/>
      <c r="I46" s="109" t="s">
        <v>984</v>
      </c>
    </row>
    <row r="47" spans="1:9" ht="30" x14ac:dyDescent="0.25">
      <c r="A47" s="34"/>
      <c r="B47" s="565" t="s">
        <v>860</v>
      </c>
      <c r="C47" s="566"/>
      <c r="D47" s="111">
        <v>18</v>
      </c>
      <c r="E47" s="277" t="s">
        <v>735</v>
      </c>
      <c r="F47" s="566"/>
      <c r="G47" s="124" t="s">
        <v>865</v>
      </c>
      <c r="H47" s="108"/>
      <c r="I47" s="109" t="s">
        <v>1006</v>
      </c>
    </row>
    <row r="48" spans="1:9" ht="30" x14ac:dyDescent="0.25">
      <c r="A48" s="34"/>
      <c r="B48" s="613" t="s">
        <v>860</v>
      </c>
      <c r="C48" s="612"/>
      <c r="D48" s="112">
        <v>19</v>
      </c>
      <c r="E48" s="274" t="s">
        <v>736</v>
      </c>
      <c r="F48" s="612"/>
      <c r="G48" s="123" t="s">
        <v>737</v>
      </c>
      <c r="H48" s="108"/>
      <c r="I48" s="109" t="s">
        <v>993</v>
      </c>
    </row>
    <row r="49" spans="1:9" x14ac:dyDescent="0.25">
      <c r="A49" s="34"/>
      <c r="B49" s="565" t="s">
        <v>860</v>
      </c>
      <c r="C49" s="566"/>
      <c r="D49" s="111">
        <v>20</v>
      </c>
      <c r="E49" s="277" t="s">
        <v>738</v>
      </c>
      <c r="F49" s="566"/>
      <c r="G49" s="124" t="s">
        <v>866</v>
      </c>
      <c r="H49" s="108"/>
      <c r="I49" s="109" t="s">
        <v>985</v>
      </c>
    </row>
    <row r="50" spans="1:9" x14ac:dyDescent="0.25">
      <c r="A50" s="34"/>
      <c r="B50" s="613" t="s">
        <v>861</v>
      </c>
      <c r="C50" s="612"/>
      <c r="D50" s="112">
        <v>21</v>
      </c>
      <c r="E50" s="274" t="s">
        <v>739</v>
      </c>
      <c r="F50" s="612"/>
      <c r="G50" s="123" t="s">
        <v>740</v>
      </c>
      <c r="H50" s="108"/>
      <c r="I50" s="109" t="s">
        <v>740</v>
      </c>
    </row>
    <row r="51" spans="1:9" ht="30" x14ac:dyDescent="0.25">
      <c r="A51" s="34"/>
      <c r="B51" s="565" t="s">
        <v>861</v>
      </c>
      <c r="C51" s="566"/>
      <c r="D51" s="111">
        <v>22</v>
      </c>
      <c r="E51" s="277" t="s">
        <v>741</v>
      </c>
      <c r="F51" s="566"/>
      <c r="G51" s="124" t="s">
        <v>742</v>
      </c>
      <c r="H51" s="108"/>
      <c r="I51" s="109" t="s">
        <v>966</v>
      </c>
    </row>
    <row r="52" spans="1:9" x14ac:dyDescent="0.25">
      <c r="A52" s="34"/>
      <c r="B52" s="613" t="s">
        <v>861</v>
      </c>
      <c r="C52" s="612"/>
      <c r="D52" s="112">
        <v>23</v>
      </c>
      <c r="E52" s="274" t="s">
        <v>743</v>
      </c>
      <c r="F52" s="612"/>
      <c r="G52" s="123" t="s">
        <v>744</v>
      </c>
      <c r="H52" s="108"/>
      <c r="I52" s="109" t="s">
        <v>967</v>
      </c>
    </row>
    <row r="53" spans="1:9" x14ac:dyDescent="0.25">
      <c r="A53" s="34"/>
      <c r="B53" s="565" t="s">
        <v>861</v>
      </c>
      <c r="C53" s="566"/>
      <c r="D53" s="111">
        <v>24</v>
      </c>
      <c r="E53" s="277" t="s">
        <v>745</v>
      </c>
      <c r="F53" s="566"/>
      <c r="G53" s="124" t="s">
        <v>994</v>
      </c>
      <c r="H53" s="108"/>
      <c r="I53" s="109" t="s">
        <v>995</v>
      </c>
    </row>
    <row r="54" spans="1:9" x14ac:dyDescent="0.25">
      <c r="A54" s="34"/>
      <c r="B54" s="613" t="s">
        <v>861</v>
      </c>
      <c r="C54" s="612"/>
      <c r="D54" s="112">
        <v>25</v>
      </c>
      <c r="E54" s="274" t="s">
        <v>746</v>
      </c>
      <c r="F54" s="612"/>
      <c r="G54" s="123" t="s">
        <v>747</v>
      </c>
      <c r="H54" s="108"/>
      <c r="I54" s="109" t="s">
        <v>968</v>
      </c>
    </row>
    <row r="55" spans="1:9" x14ac:dyDescent="0.25">
      <c r="A55" s="34"/>
      <c r="B55" s="565" t="s">
        <v>861</v>
      </c>
      <c r="C55" s="566"/>
      <c r="D55" s="111">
        <v>26</v>
      </c>
      <c r="E55" s="277" t="s">
        <v>748</v>
      </c>
      <c r="F55" s="566"/>
      <c r="G55" s="124" t="s">
        <v>749</v>
      </c>
      <c r="H55" s="108"/>
      <c r="I55" s="109" t="s">
        <v>969</v>
      </c>
    </row>
    <row r="56" spans="1:9" x14ac:dyDescent="0.25">
      <c r="A56" s="34"/>
      <c r="B56" s="613" t="s">
        <v>861</v>
      </c>
      <c r="C56" s="612"/>
      <c r="D56" s="112">
        <v>27</v>
      </c>
      <c r="E56" s="274" t="s">
        <v>750</v>
      </c>
      <c r="F56" s="612"/>
      <c r="G56" s="123" t="s">
        <v>751</v>
      </c>
      <c r="H56" s="108"/>
      <c r="I56" s="109" t="s">
        <v>996</v>
      </c>
    </row>
    <row r="57" spans="1:9" x14ac:dyDescent="0.25">
      <c r="A57" s="34"/>
      <c r="B57" s="565" t="s">
        <v>861</v>
      </c>
      <c r="C57" s="566"/>
      <c r="D57" s="111">
        <v>28</v>
      </c>
      <c r="E57" s="277" t="s">
        <v>752</v>
      </c>
      <c r="F57" s="566"/>
      <c r="G57" s="124" t="s">
        <v>753</v>
      </c>
      <c r="H57" s="108"/>
      <c r="I57" s="109" t="s">
        <v>970</v>
      </c>
    </row>
    <row r="58" spans="1:9" x14ac:dyDescent="0.25">
      <c r="A58" s="34"/>
      <c r="B58" s="613" t="s">
        <v>861</v>
      </c>
      <c r="C58" s="612"/>
      <c r="D58" s="112">
        <v>29</v>
      </c>
      <c r="E58" s="274" t="s">
        <v>754</v>
      </c>
      <c r="F58" s="612"/>
      <c r="G58" s="123" t="s">
        <v>755</v>
      </c>
      <c r="H58" s="108"/>
      <c r="I58" s="109" t="s">
        <v>971</v>
      </c>
    </row>
    <row r="59" spans="1:9" x14ac:dyDescent="0.25">
      <c r="A59" s="34"/>
      <c r="B59" s="565" t="s">
        <v>861</v>
      </c>
      <c r="C59" s="566"/>
      <c r="D59" s="111">
        <v>30</v>
      </c>
      <c r="E59" s="277" t="s">
        <v>756</v>
      </c>
      <c r="F59" s="566"/>
      <c r="G59" s="124" t="s">
        <v>757</v>
      </c>
      <c r="H59" s="108"/>
      <c r="I59" s="109" t="s">
        <v>972</v>
      </c>
    </row>
    <row r="60" spans="1:9" x14ac:dyDescent="0.25">
      <c r="A60" s="34"/>
      <c r="B60" s="613" t="s">
        <v>862</v>
      </c>
      <c r="C60" s="612"/>
      <c r="D60" s="112">
        <v>31</v>
      </c>
      <c r="E60" s="274" t="s">
        <v>758</v>
      </c>
      <c r="F60" s="612"/>
      <c r="G60" s="123" t="s">
        <v>850</v>
      </c>
      <c r="H60" s="108"/>
      <c r="I60" s="109" t="s">
        <v>997</v>
      </c>
    </row>
    <row r="61" spans="1:9" x14ac:dyDescent="0.25">
      <c r="A61" s="34"/>
      <c r="B61" s="565" t="s">
        <v>862</v>
      </c>
      <c r="C61" s="566"/>
      <c r="D61" s="111">
        <v>32</v>
      </c>
      <c r="E61" s="277" t="s">
        <v>759</v>
      </c>
      <c r="F61" s="566"/>
      <c r="G61" s="124" t="s">
        <v>760</v>
      </c>
      <c r="H61" s="108"/>
      <c r="I61" s="109" t="s">
        <v>998</v>
      </c>
    </row>
    <row r="62" spans="1:9" x14ac:dyDescent="0.25">
      <c r="A62" s="34"/>
      <c r="B62" s="613" t="s">
        <v>862</v>
      </c>
      <c r="C62" s="612"/>
      <c r="D62" s="112">
        <v>33</v>
      </c>
      <c r="E62" s="274" t="s">
        <v>761</v>
      </c>
      <c r="F62" s="612"/>
      <c r="G62" s="123" t="s">
        <v>762</v>
      </c>
      <c r="H62" s="108"/>
      <c r="I62" s="109" t="s">
        <v>999</v>
      </c>
    </row>
    <row r="63" spans="1:9" x14ac:dyDescent="0.25">
      <c r="A63" s="34"/>
      <c r="B63" s="565" t="s">
        <v>862</v>
      </c>
      <c r="C63" s="566"/>
      <c r="D63" s="111">
        <v>34</v>
      </c>
      <c r="E63" s="277" t="s">
        <v>763</v>
      </c>
      <c r="F63" s="566"/>
      <c r="G63" s="124" t="s">
        <v>764</v>
      </c>
      <c r="H63" s="108"/>
      <c r="I63" s="109" t="s">
        <v>986</v>
      </c>
    </row>
    <row r="64" spans="1:9" x14ac:dyDescent="0.25">
      <c r="A64" s="34"/>
      <c r="B64" s="613" t="s">
        <v>862</v>
      </c>
      <c r="C64" s="612"/>
      <c r="D64" s="112">
        <v>35</v>
      </c>
      <c r="E64" s="274" t="s">
        <v>765</v>
      </c>
      <c r="F64" s="612"/>
      <c r="G64" s="123" t="s">
        <v>766</v>
      </c>
      <c r="H64" s="108"/>
      <c r="I64" s="109" t="s">
        <v>973</v>
      </c>
    </row>
    <row r="65" spans="1:9" ht="30" x14ac:dyDescent="0.25">
      <c r="A65" s="110"/>
      <c r="B65" s="565" t="s">
        <v>862</v>
      </c>
      <c r="C65" s="566"/>
      <c r="D65" s="111">
        <v>36</v>
      </c>
      <c r="E65" s="277" t="s">
        <v>767</v>
      </c>
      <c r="F65" s="566"/>
      <c r="G65" s="124" t="s">
        <v>851</v>
      </c>
      <c r="H65" s="108"/>
      <c r="I65" s="109" t="s">
        <v>1000</v>
      </c>
    </row>
    <row r="66" spans="1:9" ht="30" x14ac:dyDescent="0.25">
      <c r="A66" s="34"/>
      <c r="B66" s="613" t="s">
        <v>862</v>
      </c>
      <c r="C66" s="612"/>
      <c r="D66" s="112">
        <v>37</v>
      </c>
      <c r="E66" s="274" t="s">
        <v>768</v>
      </c>
      <c r="F66" s="612"/>
      <c r="G66" s="123" t="s">
        <v>852</v>
      </c>
      <c r="H66" s="108"/>
      <c r="I66" s="109" t="s">
        <v>1001</v>
      </c>
    </row>
    <row r="67" spans="1:9" x14ac:dyDescent="0.25">
      <c r="A67" s="34"/>
      <c r="B67" s="565" t="s">
        <v>862</v>
      </c>
      <c r="C67" s="566"/>
      <c r="D67" s="111">
        <v>38</v>
      </c>
      <c r="E67" s="277" t="s">
        <v>769</v>
      </c>
      <c r="F67" s="566"/>
      <c r="G67" s="124" t="s">
        <v>853</v>
      </c>
      <c r="H67" s="108"/>
      <c r="I67" s="109" t="s">
        <v>974</v>
      </c>
    </row>
    <row r="68" spans="1:9" ht="30" x14ac:dyDescent="0.25">
      <c r="A68" s="110"/>
      <c r="B68" s="613" t="s">
        <v>862</v>
      </c>
      <c r="C68" s="612"/>
      <c r="D68" s="112">
        <v>39</v>
      </c>
      <c r="E68" s="274" t="s">
        <v>770</v>
      </c>
      <c r="F68" s="612"/>
      <c r="G68" s="123" t="s">
        <v>854</v>
      </c>
      <c r="H68" s="108"/>
      <c r="I68" s="109" t="s">
        <v>1002</v>
      </c>
    </row>
    <row r="69" spans="1:9" ht="30" x14ac:dyDescent="0.25">
      <c r="A69" s="34"/>
      <c r="B69" s="565" t="s">
        <v>862</v>
      </c>
      <c r="C69" s="566"/>
      <c r="D69" s="111">
        <v>40</v>
      </c>
      <c r="E69" s="277" t="s">
        <v>771</v>
      </c>
      <c r="F69" s="566"/>
      <c r="G69" s="124" t="s">
        <v>772</v>
      </c>
      <c r="H69" s="108"/>
      <c r="I69" s="109" t="s">
        <v>975</v>
      </c>
    </row>
    <row r="70" spans="1:9" x14ac:dyDescent="0.25">
      <c r="A70" s="34"/>
      <c r="B70" s="613" t="s">
        <v>864</v>
      </c>
      <c r="C70" s="612"/>
      <c r="D70" s="112">
        <v>41</v>
      </c>
      <c r="E70" s="274" t="s">
        <v>819</v>
      </c>
      <c r="F70" s="612"/>
      <c r="G70" s="123" t="s">
        <v>976</v>
      </c>
      <c r="H70" s="113"/>
      <c r="I70" s="109" t="s">
        <v>1003</v>
      </c>
    </row>
    <row r="71" spans="1:9" x14ac:dyDescent="0.25">
      <c r="A71" s="34"/>
      <c r="B71" s="565" t="s">
        <v>863</v>
      </c>
      <c r="C71" s="566"/>
      <c r="D71" s="111">
        <v>42</v>
      </c>
      <c r="E71" s="277" t="s">
        <v>820</v>
      </c>
      <c r="F71" s="566"/>
      <c r="G71" s="124" t="s">
        <v>835</v>
      </c>
      <c r="H71" s="113"/>
      <c r="I71" s="109" t="s">
        <v>1004</v>
      </c>
    </row>
    <row r="72" spans="1:9" x14ac:dyDescent="0.25">
      <c r="A72" s="34"/>
      <c r="B72" s="613" t="s">
        <v>863</v>
      </c>
      <c r="C72" s="612"/>
      <c r="D72" s="112">
        <v>43</v>
      </c>
      <c r="E72" s="274" t="s">
        <v>821</v>
      </c>
      <c r="F72" s="612"/>
      <c r="G72" s="123" t="s">
        <v>834</v>
      </c>
      <c r="H72" s="113"/>
      <c r="I72" s="109" t="s">
        <v>1005</v>
      </c>
    </row>
    <row r="73" spans="1:9" ht="30" x14ac:dyDescent="0.25">
      <c r="A73" s="34"/>
      <c r="B73" s="565" t="s">
        <v>863</v>
      </c>
      <c r="C73" s="566"/>
      <c r="D73" s="111">
        <v>44</v>
      </c>
      <c r="E73" s="277" t="s">
        <v>836</v>
      </c>
      <c r="F73" s="566"/>
      <c r="G73" s="124" t="s">
        <v>837</v>
      </c>
      <c r="H73" s="113"/>
      <c r="I73" s="109" t="s">
        <v>1007</v>
      </c>
    </row>
    <row r="74" spans="1:9" x14ac:dyDescent="0.25">
      <c r="A74" s="34"/>
      <c r="B74" s="613" t="s">
        <v>863</v>
      </c>
      <c r="C74" s="612"/>
      <c r="D74" s="112">
        <v>45</v>
      </c>
      <c r="E74" s="274" t="s">
        <v>822</v>
      </c>
      <c r="F74" s="612"/>
      <c r="G74" s="123" t="s">
        <v>833</v>
      </c>
      <c r="H74" s="113"/>
      <c r="I74" s="109" t="s">
        <v>1008</v>
      </c>
    </row>
    <row r="75" spans="1:9" x14ac:dyDescent="0.25">
      <c r="A75" s="34"/>
      <c r="B75" s="565" t="s">
        <v>863</v>
      </c>
      <c r="C75" s="566"/>
      <c r="D75" s="111">
        <v>46</v>
      </c>
      <c r="E75" s="277" t="s">
        <v>823</v>
      </c>
      <c r="F75" s="566"/>
      <c r="G75" s="124" t="s">
        <v>832</v>
      </c>
      <c r="H75" s="113"/>
      <c r="I75" s="109" t="s">
        <v>1009</v>
      </c>
    </row>
    <row r="76" spans="1:9" ht="30" x14ac:dyDescent="0.25">
      <c r="A76" s="34"/>
      <c r="B76" s="613" t="s">
        <v>863</v>
      </c>
      <c r="C76" s="612"/>
      <c r="D76" s="112">
        <v>47</v>
      </c>
      <c r="E76" s="274" t="s">
        <v>824</v>
      </c>
      <c r="F76" s="612"/>
      <c r="G76" s="123" t="s">
        <v>831</v>
      </c>
      <c r="H76" s="113"/>
      <c r="I76" s="109" t="s">
        <v>1010</v>
      </c>
    </row>
    <row r="77" spans="1:9" x14ac:dyDescent="0.25">
      <c r="A77" s="34"/>
      <c r="B77" s="565" t="s">
        <v>863</v>
      </c>
      <c r="C77" s="566"/>
      <c r="D77" s="111">
        <v>48</v>
      </c>
      <c r="E77" s="277" t="s">
        <v>825</v>
      </c>
      <c r="F77" s="566"/>
      <c r="G77" s="124" t="s">
        <v>830</v>
      </c>
      <c r="H77" s="113"/>
      <c r="I77" s="109" t="s">
        <v>1011</v>
      </c>
    </row>
    <row r="78" spans="1:9" x14ac:dyDescent="0.25">
      <c r="A78" s="34"/>
      <c r="B78" s="613" t="s">
        <v>863</v>
      </c>
      <c r="C78" s="612"/>
      <c r="D78" s="112">
        <v>49</v>
      </c>
      <c r="E78" s="274" t="s">
        <v>826</v>
      </c>
      <c r="F78" s="612"/>
      <c r="G78" s="123" t="s">
        <v>829</v>
      </c>
      <c r="H78" s="113"/>
      <c r="I78" s="109" t="s">
        <v>1012</v>
      </c>
    </row>
    <row r="79" spans="1:9" ht="15.6" thickBot="1" x14ac:dyDescent="0.3">
      <c r="A79" s="34"/>
      <c r="B79" s="567" t="s">
        <v>863</v>
      </c>
      <c r="C79" s="568"/>
      <c r="D79" s="115">
        <v>50</v>
      </c>
      <c r="E79" s="280" t="s">
        <v>827</v>
      </c>
      <c r="F79" s="568"/>
      <c r="G79" s="125" t="s">
        <v>828</v>
      </c>
      <c r="H79" s="106"/>
      <c r="I79" s="109" t="s">
        <v>1013</v>
      </c>
    </row>
    <row r="80" spans="1:9" x14ac:dyDescent="0.25">
      <c r="A80" s="34"/>
      <c r="B80" s="611" t="s">
        <v>869</v>
      </c>
      <c r="C80" s="611"/>
      <c r="D80" s="611"/>
      <c r="E80" s="611"/>
      <c r="F80" s="611"/>
      <c r="G80" s="611"/>
      <c r="H80" s="106"/>
    </row>
    <row r="81" spans="1:8" x14ac:dyDescent="0.25">
      <c r="A81" s="34"/>
      <c r="B81" s="611" t="s">
        <v>868</v>
      </c>
      <c r="C81" s="611"/>
      <c r="D81" s="611"/>
      <c r="E81" s="611"/>
      <c r="F81" s="611"/>
      <c r="G81" s="611"/>
      <c r="H81" s="106"/>
    </row>
    <row r="82" spans="1:8" x14ac:dyDescent="0.25">
      <c r="A82" s="34"/>
      <c r="B82" s="107"/>
      <c r="C82" s="107"/>
      <c r="D82" s="107"/>
      <c r="E82" s="107"/>
      <c r="F82" s="107"/>
      <c r="G82" s="116"/>
      <c r="H82" s="106"/>
    </row>
    <row r="83" spans="1:8" ht="28.2" thickBot="1" x14ac:dyDescent="0.3">
      <c r="A83" s="34"/>
      <c r="B83" s="191" t="s">
        <v>870</v>
      </c>
      <c r="C83" s="191"/>
      <c r="D83" s="191"/>
      <c r="E83" s="191"/>
      <c r="F83" s="191"/>
      <c r="G83" s="191"/>
      <c r="H83" s="106"/>
    </row>
    <row r="84" spans="1:8" ht="15.6" x14ac:dyDescent="0.25">
      <c r="A84" s="34"/>
      <c r="B84" s="362" t="s">
        <v>876</v>
      </c>
      <c r="C84" s="363"/>
      <c r="D84" s="363"/>
      <c r="E84" s="363"/>
      <c r="F84" s="363"/>
      <c r="G84" s="364"/>
      <c r="H84" s="106"/>
    </row>
    <row r="85" spans="1:8" x14ac:dyDescent="0.25">
      <c r="A85" s="34"/>
      <c r="B85" s="619" t="s">
        <v>877</v>
      </c>
      <c r="C85" s="259"/>
      <c r="D85" s="625" t="s">
        <v>878</v>
      </c>
      <c r="E85" s="626"/>
      <c r="F85" s="626"/>
      <c r="G85" s="627"/>
      <c r="H85" s="106"/>
    </row>
    <row r="86" spans="1:8" ht="15.6" x14ac:dyDescent="0.25">
      <c r="A86" s="34"/>
      <c r="B86" s="613">
        <v>2</v>
      </c>
      <c r="C86" s="612"/>
      <c r="D86" s="268" t="s">
        <v>904</v>
      </c>
      <c r="E86" s="269"/>
      <c r="F86" s="269"/>
      <c r="G86" s="270"/>
      <c r="H86" s="106"/>
    </row>
    <row r="87" spans="1:8" ht="15.6" x14ac:dyDescent="0.25">
      <c r="A87" s="34"/>
      <c r="B87" s="565">
        <v>3</v>
      </c>
      <c r="C87" s="566"/>
      <c r="D87" s="265" t="s">
        <v>905</v>
      </c>
      <c r="E87" s="266"/>
      <c r="F87" s="266"/>
      <c r="G87" s="267"/>
      <c r="H87" s="106"/>
    </row>
    <row r="88" spans="1:8" ht="15.6" x14ac:dyDescent="0.25">
      <c r="A88" s="34"/>
      <c r="B88" s="613">
        <v>4</v>
      </c>
      <c r="C88" s="612"/>
      <c r="D88" s="268" t="s">
        <v>906</v>
      </c>
      <c r="E88" s="269"/>
      <c r="F88" s="269"/>
      <c r="G88" s="270"/>
      <c r="H88" s="106"/>
    </row>
    <row r="89" spans="1:8" ht="15.6" x14ac:dyDescent="0.25">
      <c r="A89" s="34"/>
      <c r="B89" s="565">
        <v>5</v>
      </c>
      <c r="C89" s="566"/>
      <c r="D89" s="265" t="s">
        <v>907</v>
      </c>
      <c r="E89" s="266"/>
      <c r="F89" s="266"/>
      <c r="G89" s="267"/>
      <c r="H89" s="106"/>
    </row>
    <row r="90" spans="1:8" ht="15.6" x14ac:dyDescent="0.25">
      <c r="A90" s="34"/>
      <c r="B90" s="613">
        <v>6</v>
      </c>
      <c r="C90" s="612"/>
      <c r="D90" s="268" t="s">
        <v>908</v>
      </c>
      <c r="E90" s="269"/>
      <c r="F90" s="269"/>
      <c r="G90" s="270"/>
      <c r="H90" s="106"/>
    </row>
    <row r="91" spans="1:8" ht="15.6" x14ac:dyDescent="0.25">
      <c r="A91" s="34"/>
      <c r="B91" s="565">
        <v>7</v>
      </c>
      <c r="C91" s="566"/>
      <c r="D91" s="265" t="s">
        <v>909</v>
      </c>
      <c r="E91" s="266"/>
      <c r="F91" s="266"/>
      <c r="G91" s="267"/>
      <c r="H91" s="106"/>
    </row>
    <row r="92" spans="1:8" ht="15.6" x14ac:dyDescent="0.25">
      <c r="A92" s="34"/>
      <c r="B92" s="613">
        <v>8</v>
      </c>
      <c r="C92" s="612"/>
      <c r="D92" s="268" t="s">
        <v>910</v>
      </c>
      <c r="E92" s="269"/>
      <c r="F92" s="269"/>
      <c r="G92" s="270"/>
      <c r="H92" s="106"/>
    </row>
    <row r="93" spans="1:8" ht="15.6" x14ac:dyDescent="0.25">
      <c r="A93" s="34"/>
      <c r="B93" s="565">
        <v>9</v>
      </c>
      <c r="C93" s="566"/>
      <c r="D93" s="265" t="s">
        <v>911</v>
      </c>
      <c r="E93" s="266"/>
      <c r="F93" s="266"/>
      <c r="G93" s="267"/>
      <c r="H93" s="106"/>
    </row>
    <row r="94" spans="1:8" ht="15.6" x14ac:dyDescent="0.25">
      <c r="A94" s="34"/>
      <c r="B94" s="613">
        <v>10</v>
      </c>
      <c r="C94" s="612"/>
      <c r="D94" s="268" t="s">
        <v>912</v>
      </c>
      <c r="E94" s="269"/>
      <c r="F94" s="269"/>
      <c r="G94" s="270"/>
      <c r="H94" s="106"/>
    </row>
    <row r="95" spans="1:8" ht="15.6" x14ac:dyDescent="0.25">
      <c r="A95" s="34"/>
      <c r="B95" s="565">
        <v>11</v>
      </c>
      <c r="C95" s="566"/>
      <c r="D95" s="265" t="s">
        <v>917</v>
      </c>
      <c r="E95" s="266"/>
      <c r="F95" s="266"/>
      <c r="G95" s="267"/>
      <c r="H95" s="106"/>
    </row>
    <row r="96" spans="1:8" ht="15.6" x14ac:dyDescent="0.25">
      <c r="A96" s="34"/>
      <c r="B96" s="613">
        <v>12</v>
      </c>
      <c r="C96" s="612"/>
      <c r="D96" s="268" t="s">
        <v>913</v>
      </c>
      <c r="E96" s="269"/>
      <c r="F96" s="269"/>
      <c r="G96" s="270"/>
      <c r="H96" s="106"/>
    </row>
    <row r="97" spans="1:8" ht="15.6" x14ac:dyDescent="0.25">
      <c r="A97" s="34"/>
      <c r="B97" s="565">
        <v>13</v>
      </c>
      <c r="C97" s="566"/>
      <c r="D97" s="265" t="s">
        <v>916</v>
      </c>
      <c r="E97" s="266"/>
      <c r="F97" s="266"/>
      <c r="G97" s="267"/>
      <c r="H97" s="106"/>
    </row>
    <row r="98" spans="1:8" ht="15.6" x14ac:dyDescent="0.25">
      <c r="A98" s="34"/>
      <c r="B98" s="613">
        <v>14</v>
      </c>
      <c r="C98" s="612"/>
      <c r="D98" s="268" t="s">
        <v>915</v>
      </c>
      <c r="E98" s="269"/>
      <c r="F98" s="269"/>
      <c r="G98" s="270"/>
      <c r="H98" s="106"/>
    </row>
    <row r="99" spans="1:8" ht="15.6" x14ac:dyDescent="0.25">
      <c r="A99" s="34"/>
      <c r="B99" s="565">
        <v>15</v>
      </c>
      <c r="C99" s="566"/>
      <c r="D99" s="265" t="s">
        <v>914</v>
      </c>
      <c r="E99" s="266"/>
      <c r="F99" s="266"/>
      <c r="G99" s="267"/>
      <c r="H99" s="106"/>
    </row>
    <row r="100" spans="1:8" ht="15.6" x14ac:dyDescent="0.25">
      <c r="A100" s="34"/>
      <c r="B100" s="613">
        <v>16</v>
      </c>
      <c r="C100" s="612"/>
      <c r="D100" s="268" t="s">
        <v>903</v>
      </c>
      <c r="E100" s="269"/>
      <c r="F100" s="269"/>
      <c r="G100" s="270"/>
      <c r="H100" s="106"/>
    </row>
    <row r="101" spans="1:8" ht="15.6" x14ac:dyDescent="0.25">
      <c r="A101" s="34"/>
      <c r="B101" s="565">
        <v>17</v>
      </c>
      <c r="C101" s="566"/>
      <c r="D101" s="265" t="s">
        <v>902</v>
      </c>
      <c r="E101" s="266"/>
      <c r="F101" s="266"/>
      <c r="G101" s="267"/>
      <c r="H101" s="106"/>
    </row>
    <row r="102" spans="1:8" ht="15.6" x14ac:dyDescent="0.25">
      <c r="A102" s="34"/>
      <c r="B102" s="613">
        <v>18</v>
      </c>
      <c r="C102" s="612"/>
      <c r="D102" s="268" t="s">
        <v>901</v>
      </c>
      <c r="E102" s="269"/>
      <c r="F102" s="269"/>
      <c r="G102" s="270"/>
      <c r="H102" s="106"/>
    </row>
    <row r="103" spans="1:8" ht="15.6" x14ac:dyDescent="0.25">
      <c r="A103" s="34"/>
      <c r="B103" s="565">
        <v>19</v>
      </c>
      <c r="C103" s="566"/>
      <c r="D103" s="265" t="s">
        <v>900</v>
      </c>
      <c r="E103" s="266"/>
      <c r="F103" s="266"/>
      <c r="G103" s="267"/>
      <c r="H103" s="106"/>
    </row>
    <row r="104" spans="1:8" ht="15.6" x14ac:dyDescent="0.25">
      <c r="A104" s="34"/>
      <c r="B104" s="613">
        <v>20</v>
      </c>
      <c r="C104" s="612"/>
      <c r="D104" s="268" t="s">
        <v>899</v>
      </c>
      <c r="E104" s="269"/>
      <c r="F104" s="269"/>
      <c r="G104" s="270"/>
      <c r="H104" s="106"/>
    </row>
    <row r="105" spans="1:8" ht="15.6" x14ac:dyDescent="0.25">
      <c r="A105" s="34"/>
      <c r="B105" s="565">
        <v>21</v>
      </c>
      <c r="C105" s="566"/>
      <c r="D105" s="265" t="s">
        <v>898</v>
      </c>
      <c r="E105" s="266"/>
      <c r="F105" s="266"/>
      <c r="G105" s="267"/>
      <c r="H105" s="106"/>
    </row>
    <row r="106" spans="1:8" ht="15.6" x14ac:dyDescent="0.25">
      <c r="A106" s="34"/>
      <c r="B106" s="613">
        <v>22</v>
      </c>
      <c r="C106" s="612"/>
      <c r="D106" s="268" t="s">
        <v>897</v>
      </c>
      <c r="E106" s="269"/>
      <c r="F106" s="269"/>
      <c r="G106" s="270"/>
      <c r="H106" s="106"/>
    </row>
    <row r="107" spans="1:8" ht="15.6" x14ac:dyDescent="0.25">
      <c r="A107" s="34"/>
      <c r="B107" s="565">
        <v>23</v>
      </c>
      <c r="C107" s="566"/>
      <c r="D107" s="265" t="s">
        <v>896</v>
      </c>
      <c r="E107" s="266"/>
      <c r="F107" s="266"/>
      <c r="G107" s="267"/>
      <c r="H107" s="106"/>
    </row>
    <row r="108" spans="1:8" ht="15.6" x14ac:dyDescent="0.25">
      <c r="A108" s="34"/>
      <c r="B108" s="613">
        <v>24</v>
      </c>
      <c r="C108" s="612"/>
      <c r="D108" s="268" t="s">
        <v>895</v>
      </c>
      <c r="E108" s="269"/>
      <c r="F108" s="269"/>
      <c r="G108" s="270"/>
      <c r="H108" s="106"/>
    </row>
    <row r="109" spans="1:8" ht="15.6" x14ac:dyDescent="0.25">
      <c r="A109" s="34"/>
      <c r="B109" s="565">
        <v>25</v>
      </c>
      <c r="C109" s="566"/>
      <c r="D109" s="265" t="s">
        <v>894</v>
      </c>
      <c r="E109" s="266"/>
      <c r="F109" s="266"/>
      <c r="G109" s="267"/>
      <c r="H109" s="106"/>
    </row>
    <row r="110" spans="1:8" ht="15.6" x14ac:dyDescent="0.25">
      <c r="A110" s="34"/>
      <c r="B110" s="613">
        <v>26</v>
      </c>
      <c r="C110" s="612"/>
      <c r="D110" s="268" t="s">
        <v>893</v>
      </c>
      <c r="E110" s="269"/>
      <c r="F110" s="269"/>
      <c r="G110" s="270"/>
      <c r="H110" s="106"/>
    </row>
    <row r="111" spans="1:8" ht="15.6" x14ac:dyDescent="0.25">
      <c r="A111" s="34"/>
      <c r="B111" s="565">
        <v>27</v>
      </c>
      <c r="C111" s="566"/>
      <c r="D111" s="265" t="s">
        <v>892</v>
      </c>
      <c r="E111" s="266"/>
      <c r="F111" s="266"/>
      <c r="G111" s="267"/>
      <c r="H111" s="106"/>
    </row>
    <row r="112" spans="1:8" ht="15.6" x14ac:dyDescent="0.25">
      <c r="A112" s="34"/>
      <c r="B112" s="613">
        <v>28</v>
      </c>
      <c r="C112" s="612"/>
      <c r="D112" s="268" t="s">
        <v>891</v>
      </c>
      <c r="E112" s="269"/>
      <c r="F112" s="269"/>
      <c r="G112" s="270"/>
      <c r="H112" s="106"/>
    </row>
    <row r="113" spans="1:8" ht="15.6" x14ac:dyDescent="0.25">
      <c r="A113" s="34"/>
      <c r="B113" s="565">
        <v>29</v>
      </c>
      <c r="C113" s="566"/>
      <c r="D113" s="265" t="s">
        <v>890</v>
      </c>
      <c r="E113" s="266"/>
      <c r="F113" s="266"/>
      <c r="G113" s="267"/>
      <c r="H113" s="106"/>
    </row>
    <row r="114" spans="1:8" ht="15.6" x14ac:dyDescent="0.25">
      <c r="A114" s="34"/>
      <c r="B114" s="613">
        <v>30</v>
      </c>
      <c r="C114" s="612"/>
      <c r="D114" s="268" t="s">
        <v>889</v>
      </c>
      <c r="E114" s="269"/>
      <c r="F114" s="269"/>
      <c r="G114" s="270"/>
      <c r="H114" s="106"/>
    </row>
    <row r="115" spans="1:8" ht="15.6" x14ac:dyDescent="0.25">
      <c r="A115" s="34"/>
      <c r="B115" s="565">
        <v>31</v>
      </c>
      <c r="C115" s="566"/>
      <c r="D115" s="265" t="s">
        <v>888</v>
      </c>
      <c r="E115" s="266"/>
      <c r="F115" s="266"/>
      <c r="G115" s="267"/>
      <c r="H115" s="106"/>
    </row>
    <row r="116" spans="1:8" ht="15.6" x14ac:dyDescent="0.25">
      <c r="A116" s="34"/>
      <c r="B116" s="613">
        <v>32</v>
      </c>
      <c r="C116" s="612"/>
      <c r="D116" s="268" t="s">
        <v>887</v>
      </c>
      <c r="E116" s="269"/>
      <c r="F116" s="269"/>
      <c r="G116" s="270"/>
      <c r="H116" s="106"/>
    </row>
    <row r="117" spans="1:8" ht="15.6" x14ac:dyDescent="0.25">
      <c r="A117" s="34"/>
      <c r="B117" s="565">
        <v>33</v>
      </c>
      <c r="C117" s="566"/>
      <c r="D117" s="265" t="s">
        <v>886</v>
      </c>
      <c r="E117" s="266"/>
      <c r="F117" s="266"/>
      <c r="G117" s="267"/>
      <c r="H117" s="106"/>
    </row>
    <row r="118" spans="1:8" ht="15.6" x14ac:dyDescent="0.25">
      <c r="A118" s="34"/>
      <c r="B118" s="613">
        <v>34</v>
      </c>
      <c r="C118" s="612"/>
      <c r="D118" s="268" t="s">
        <v>885</v>
      </c>
      <c r="E118" s="269"/>
      <c r="F118" s="269"/>
      <c r="G118" s="270"/>
      <c r="H118" s="106"/>
    </row>
    <row r="119" spans="1:8" ht="15.6" x14ac:dyDescent="0.25">
      <c r="A119" s="34"/>
      <c r="B119" s="565">
        <v>35</v>
      </c>
      <c r="C119" s="566"/>
      <c r="D119" s="265" t="s">
        <v>884</v>
      </c>
      <c r="E119" s="266"/>
      <c r="F119" s="266"/>
      <c r="G119" s="267"/>
      <c r="H119" s="106"/>
    </row>
    <row r="120" spans="1:8" ht="15.6" x14ac:dyDescent="0.25">
      <c r="A120" s="34"/>
      <c r="B120" s="613">
        <v>36</v>
      </c>
      <c r="C120" s="612"/>
      <c r="D120" s="268" t="s">
        <v>883</v>
      </c>
      <c r="E120" s="269"/>
      <c r="F120" s="269"/>
      <c r="G120" s="270"/>
      <c r="H120" s="106"/>
    </row>
    <row r="121" spans="1:8" ht="15.6" x14ac:dyDescent="0.25">
      <c r="A121" s="34"/>
      <c r="B121" s="565">
        <v>37</v>
      </c>
      <c r="C121" s="566"/>
      <c r="D121" s="265" t="s">
        <v>882</v>
      </c>
      <c r="E121" s="266"/>
      <c r="F121" s="266"/>
      <c r="G121" s="267"/>
      <c r="H121" s="106"/>
    </row>
    <row r="122" spans="1:8" ht="15.6" x14ac:dyDescent="0.25">
      <c r="A122" s="34"/>
      <c r="B122" s="613">
        <v>38</v>
      </c>
      <c r="C122" s="612"/>
      <c r="D122" s="268" t="s">
        <v>881</v>
      </c>
      <c r="E122" s="269"/>
      <c r="F122" s="269"/>
      <c r="G122" s="270"/>
      <c r="H122" s="106"/>
    </row>
    <row r="123" spans="1:8" ht="15.6" x14ac:dyDescent="0.25">
      <c r="A123" s="34"/>
      <c r="B123" s="565">
        <v>39</v>
      </c>
      <c r="C123" s="566"/>
      <c r="D123" s="265" t="s">
        <v>880</v>
      </c>
      <c r="E123" s="266"/>
      <c r="F123" s="266"/>
      <c r="G123" s="267"/>
      <c r="H123" s="106"/>
    </row>
    <row r="124" spans="1:8" ht="15.6" thickBot="1" x14ac:dyDescent="0.3">
      <c r="A124" s="34"/>
      <c r="B124" s="628">
        <v>40</v>
      </c>
      <c r="C124" s="168"/>
      <c r="D124" s="271" t="s">
        <v>879</v>
      </c>
      <c r="E124" s="272"/>
      <c r="F124" s="272"/>
      <c r="G124" s="273"/>
      <c r="H124" s="106"/>
    </row>
    <row r="125" spans="1:8" x14ac:dyDescent="0.25">
      <c r="A125" s="34"/>
      <c r="B125" s="611" t="s">
        <v>918</v>
      </c>
      <c r="C125" s="611"/>
      <c r="D125" s="611"/>
      <c r="E125" s="611"/>
      <c r="F125" s="611"/>
      <c r="G125" s="611"/>
      <c r="H125" s="106"/>
    </row>
    <row r="126" spans="1:8" x14ac:dyDescent="0.25">
      <c r="A126" s="34"/>
      <c r="B126" s="107"/>
      <c r="C126" s="107"/>
      <c r="D126" s="107"/>
      <c r="E126" s="107"/>
      <c r="F126" s="107"/>
      <c r="G126" s="116"/>
      <c r="H126" s="106"/>
    </row>
    <row r="127" spans="1:8" x14ac:dyDescent="0.25">
      <c r="A127" s="34"/>
      <c r="B127" s="107"/>
      <c r="C127" s="107"/>
      <c r="D127" s="107"/>
      <c r="E127" s="107"/>
      <c r="F127" s="107"/>
      <c r="G127" s="116"/>
      <c r="H127" s="106"/>
    </row>
  </sheetData>
  <sheetProtection algorithmName="SHA-512" hashValue="e+Mt4++8m85ITKplOpqkB8Q+HuuDvxatQfLp1eeW5oBMsJLbhSfKlrIk8RkVYw0kxbNNjHxucchWr3FIcvm/DA==" saltValue="x79TpKbBCAAezFwAeKgLWQ==" spinCount="100000" sheet="1" objects="1" scenarios="1"/>
  <mergeCells count="237">
    <mergeCell ref="B125:G125"/>
    <mergeCell ref="B120:C120"/>
    <mergeCell ref="D120:G120"/>
    <mergeCell ref="B121:C121"/>
    <mergeCell ref="D121:G121"/>
    <mergeCell ref="B122:C122"/>
    <mergeCell ref="D122:G122"/>
    <mergeCell ref="B123:C123"/>
    <mergeCell ref="D123:G123"/>
    <mergeCell ref="B124:C124"/>
    <mergeCell ref="D124:G124"/>
    <mergeCell ref="B115:C115"/>
    <mergeCell ref="D115:G115"/>
    <mergeCell ref="B116:C116"/>
    <mergeCell ref="D116:G116"/>
    <mergeCell ref="B117:C117"/>
    <mergeCell ref="D117:G117"/>
    <mergeCell ref="B118:C118"/>
    <mergeCell ref="D118:G118"/>
    <mergeCell ref="B119:C119"/>
    <mergeCell ref="D119:G119"/>
    <mergeCell ref="B110:C110"/>
    <mergeCell ref="D110:G110"/>
    <mergeCell ref="B111:C111"/>
    <mergeCell ref="D111:G111"/>
    <mergeCell ref="B112:C112"/>
    <mergeCell ref="D112:G112"/>
    <mergeCell ref="B113:C113"/>
    <mergeCell ref="D113:G113"/>
    <mergeCell ref="B114:C114"/>
    <mergeCell ref="D114:G114"/>
    <mergeCell ref="B105:C105"/>
    <mergeCell ref="D105:G105"/>
    <mergeCell ref="B106:C106"/>
    <mergeCell ref="D106:G106"/>
    <mergeCell ref="B107:C107"/>
    <mergeCell ref="D107:G107"/>
    <mergeCell ref="B108:C108"/>
    <mergeCell ref="D108:G108"/>
    <mergeCell ref="B109:C109"/>
    <mergeCell ref="D109:G109"/>
    <mergeCell ref="B100:C100"/>
    <mergeCell ref="D100:G100"/>
    <mergeCell ref="B101:C101"/>
    <mergeCell ref="D101:G101"/>
    <mergeCell ref="B102:C102"/>
    <mergeCell ref="D102:G102"/>
    <mergeCell ref="B103:C103"/>
    <mergeCell ref="D103:G103"/>
    <mergeCell ref="B104:C104"/>
    <mergeCell ref="D104:G104"/>
    <mergeCell ref="B99:C99"/>
    <mergeCell ref="D85:G85"/>
    <mergeCell ref="D86:G86"/>
    <mergeCell ref="D87:G87"/>
    <mergeCell ref="D88:G88"/>
    <mergeCell ref="D89:G89"/>
    <mergeCell ref="D90:G90"/>
    <mergeCell ref="D91:G91"/>
    <mergeCell ref="D92:G92"/>
    <mergeCell ref="D93:G93"/>
    <mergeCell ref="D94:G94"/>
    <mergeCell ref="D95:G95"/>
    <mergeCell ref="D96:G96"/>
    <mergeCell ref="D97:G97"/>
    <mergeCell ref="D98:G98"/>
    <mergeCell ref="D99:G99"/>
    <mergeCell ref="B94:C94"/>
    <mergeCell ref="B95:C95"/>
    <mergeCell ref="B96:C96"/>
    <mergeCell ref="B97:C97"/>
    <mergeCell ref="B98:C98"/>
    <mergeCell ref="B89:C89"/>
    <mergeCell ref="B90:C90"/>
    <mergeCell ref="B91:C91"/>
    <mergeCell ref="B92:C92"/>
    <mergeCell ref="B93:C93"/>
    <mergeCell ref="B84:G84"/>
    <mergeCell ref="B85:C85"/>
    <mergeCell ref="B86:C86"/>
    <mergeCell ref="B87:C87"/>
    <mergeCell ref="B88:C88"/>
    <mergeCell ref="B1:G1"/>
    <mergeCell ref="B34:C34"/>
    <mergeCell ref="B35:C35"/>
    <mergeCell ref="B32:C32"/>
    <mergeCell ref="B33:C33"/>
    <mergeCell ref="E32:F32"/>
    <mergeCell ref="E33:F33"/>
    <mergeCell ref="E34:F34"/>
    <mergeCell ref="E35:F35"/>
    <mergeCell ref="B30:C30"/>
    <mergeCell ref="B31:C31"/>
    <mergeCell ref="E24:F24"/>
    <mergeCell ref="E25:F25"/>
    <mergeCell ref="E26:F26"/>
    <mergeCell ref="E6:F6"/>
    <mergeCell ref="E7:F7"/>
    <mergeCell ref="E8:F8"/>
    <mergeCell ref="E9:F9"/>
    <mergeCell ref="E10:F10"/>
    <mergeCell ref="E11:F11"/>
    <mergeCell ref="E12:F12"/>
    <mergeCell ref="B4:D4"/>
    <mergeCell ref="E4:F4"/>
    <mergeCell ref="B3:G3"/>
    <mergeCell ref="B80:G80"/>
    <mergeCell ref="E63:F63"/>
    <mergeCell ref="E64:F64"/>
    <mergeCell ref="E65:F65"/>
    <mergeCell ref="E66:F66"/>
    <mergeCell ref="E67:F67"/>
    <mergeCell ref="E68:F68"/>
    <mergeCell ref="B69:C69"/>
    <mergeCell ref="B67:C67"/>
    <mergeCell ref="B68:C68"/>
    <mergeCell ref="B65:C65"/>
    <mergeCell ref="B63:C63"/>
    <mergeCell ref="B64:C64"/>
    <mergeCell ref="B75:C75"/>
    <mergeCell ref="B76:C76"/>
    <mergeCell ref="B77:C77"/>
    <mergeCell ref="B78:C78"/>
    <mergeCell ref="E78:F78"/>
    <mergeCell ref="E79:F79"/>
    <mergeCell ref="B79:C79"/>
    <mergeCell ref="B70:C70"/>
    <mergeCell ref="B71:C71"/>
    <mergeCell ref="E58:F58"/>
    <mergeCell ref="E59:F59"/>
    <mergeCell ref="E60:F60"/>
    <mergeCell ref="B40:C40"/>
    <mergeCell ref="B72:C72"/>
    <mergeCell ref="B73:C73"/>
    <mergeCell ref="B74:C74"/>
    <mergeCell ref="B49:C49"/>
    <mergeCell ref="B47:C47"/>
    <mergeCell ref="B48:C48"/>
    <mergeCell ref="B45:C45"/>
    <mergeCell ref="B46:C46"/>
    <mergeCell ref="B43:C43"/>
    <mergeCell ref="B44:C44"/>
    <mergeCell ref="B61:C61"/>
    <mergeCell ref="B62:C62"/>
    <mergeCell ref="B60:C60"/>
    <mergeCell ref="B58:C58"/>
    <mergeCell ref="B59:C59"/>
    <mergeCell ref="B38:C38"/>
    <mergeCell ref="B39:C39"/>
    <mergeCell ref="B36:C36"/>
    <mergeCell ref="E61:F61"/>
    <mergeCell ref="E62:F62"/>
    <mergeCell ref="B56:C56"/>
    <mergeCell ref="B57:C57"/>
    <mergeCell ref="B54:C54"/>
    <mergeCell ref="E15:F15"/>
    <mergeCell ref="E16:F16"/>
    <mergeCell ref="E17:F17"/>
    <mergeCell ref="E18:F18"/>
    <mergeCell ref="E19:F19"/>
    <mergeCell ref="E20:F20"/>
    <mergeCell ref="E21:F21"/>
    <mergeCell ref="E22:F22"/>
    <mergeCell ref="E23:F23"/>
    <mergeCell ref="B41:C41"/>
    <mergeCell ref="B42:C42"/>
    <mergeCell ref="B55:C55"/>
    <mergeCell ref="B52:C52"/>
    <mergeCell ref="B53:C53"/>
    <mergeCell ref="B50:C50"/>
    <mergeCell ref="B51:C51"/>
    <mergeCell ref="B12:D12"/>
    <mergeCell ref="B29:C29"/>
    <mergeCell ref="B28:G28"/>
    <mergeCell ref="E30:F30"/>
    <mergeCell ref="E29:F29"/>
    <mergeCell ref="B14:D14"/>
    <mergeCell ref="B15:D15"/>
    <mergeCell ref="B16:D16"/>
    <mergeCell ref="B17:D17"/>
    <mergeCell ref="B18:D18"/>
    <mergeCell ref="B19:D19"/>
    <mergeCell ref="B20:D20"/>
    <mergeCell ref="B21:D21"/>
    <mergeCell ref="B22:D22"/>
    <mergeCell ref="B23:D23"/>
    <mergeCell ref="B24:D24"/>
    <mergeCell ref="B25:D25"/>
    <mergeCell ref="B26:D26"/>
    <mergeCell ref="E51:F51"/>
    <mergeCell ref="E52:F52"/>
    <mergeCell ref="E53:F53"/>
    <mergeCell ref="E54:F54"/>
    <mergeCell ref="E55:F55"/>
    <mergeCell ref="E56:F56"/>
    <mergeCell ref="E57:F57"/>
    <mergeCell ref="B13:D13"/>
    <mergeCell ref="E5:F5"/>
    <mergeCell ref="E13:F13"/>
    <mergeCell ref="E14:F14"/>
    <mergeCell ref="B37:C37"/>
    <mergeCell ref="E36:F36"/>
    <mergeCell ref="E37:F37"/>
    <mergeCell ref="E38:F38"/>
    <mergeCell ref="E39:F39"/>
    <mergeCell ref="E31:F31"/>
    <mergeCell ref="B5:D5"/>
    <mergeCell ref="B6:D6"/>
    <mergeCell ref="B7:D7"/>
    <mergeCell ref="B8:D8"/>
    <mergeCell ref="B9:D9"/>
    <mergeCell ref="B10:D10"/>
    <mergeCell ref="B11:D11"/>
    <mergeCell ref="B2:G2"/>
    <mergeCell ref="B81:G81"/>
    <mergeCell ref="B83:G83"/>
    <mergeCell ref="E69:F69"/>
    <mergeCell ref="E70:F70"/>
    <mergeCell ref="E71:F71"/>
    <mergeCell ref="E72:F72"/>
    <mergeCell ref="E73:F73"/>
    <mergeCell ref="E74:F74"/>
    <mergeCell ref="E75:F75"/>
    <mergeCell ref="E76:F76"/>
    <mergeCell ref="E77:F77"/>
    <mergeCell ref="B66:C66"/>
    <mergeCell ref="E40:F40"/>
    <mergeCell ref="E41:F41"/>
    <mergeCell ref="E42:F42"/>
    <mergeCell ref="E43:F43"/>
    <mergeCell ref="E44:F44"/>
    <mergeCell ref="E45:F45"/>
    <mergeCell ref="E46:F46"/>
    <mergeCell ref="E47:F47"/>
    <mergeCell ref="E48:F48"/>
    <mergeCell ref="E49:F49"/>
    <mergeCell ref="E50:F50"/>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1:L33"/>
  <sheetViews>
    <sheetView showGridLines="0" showRowColHeaders="0" workbookViewId="0">
      <selection activeCell="B20" sqref="B20:F21"/>
    </sheetView>
  </sheetViews>
  <sheetFormatPr defaultColWidth="9" defaultRowHeight="15.6" x14ac:dyDescent="0.25"/>
  <cols>
    <col min="1" max="1" width="3.44140625" style="20" customWidth="1"/>
    <col min="2" max="3" width="9.21875" style="20" bestFit="1" customWidth="1"/>
    <col min="4" max="5" width="11.21875" style="20" bestFit="1" customWidth="1"/>
    <col min="6" max="6" width="10.77734375" style="20" bestFit="1" customWidth="1"/>
    <col min="7" max="7" width="3.44140625" style="20" customWidth="1"/>
    <col min="8" max="9" width="9.21875" style="20" bestFit="1" customWidth="1"/>
    <col min="10" max="10" width="10.109375" style="20" bestFit="1" customWidth="1"/>
    <col min="11" max="11" width="12.6640625" style="20" customWidth="1"/>
    <col min="12" max="12" width="9.21875" style="20" bestFit="1" customWidth="1"/>
    <col min="13" max="16384" width="9" style="20"/>
  </cols>
  <sheetData>
    <row r="1" spans="2:12" ht="16.2" thickBot="1" x14ac:dyDescent="0.3"/>
    <row r="2" spans="2:12" x14ac:dyDescent="0.25">
      <c r="B2" s="629" t="s">
        <v>409</v>
      </c>
      <c r="C2" s="630"/>
      <c r="D2" s="630"/>
      <c r="E2" s="630"/>
      <c r="F2" s="631"/>
      <c r="H2" s="629" t="s">
        <v>475</v>
      </c>
      <c r="I2" s="630"/>
      <c r="J2" s="630"/>
      <c r="K2" s="630"/>
      <c r="L2" s="631"/>
    </row>
    <row r="3" spans="2:12" x14ac:dyDescent="0.25">
      <c r="B3" s="22" t="s">
        <v>380</v>
      </c>
      <c r="C3" s="21" t="s">
        <v>325</v>
      </c>
      <c r="D3" s="21" t="s">
        <v>381</v>
      </c>
      <c r="E3" s="21" t="s">
        <v>382</v>
      </c>
      <c r="F3" s="23" t="s">
        <v>383</v>
      </c>
      <c r="H3" s="22" t="s">
        <v>380</v>
      </c>
      <c r="I3" s="21" t="s">
        <v>325</v>
      </c>
      <c r="J3" s="21" t="s">
        <v>381</v>
      </c>
      <c r="K3" s="21" t="s">
        <v>382</v>
      </c>
      <c r="L3" s="23" t="s">
        <v>383</v>
      </c>
    </row>
    <row r="4" spans="2:12" x14ac:dyDescent="0.25">
      <c r="B4" s="15" t="s">
        <v>521</v>
      </c>
      <c r="C4" s="18" t="s">
        <v>390</v>
      </c>
      <c r="D4" s="18" t="s">
        <v>396</v>
      </c>
      <c r="E4" s="18" t="s">
        <v>32</v>
      </c>
      <c r="F4" s="24" t="s">
        <v>396</v>
      </c>
      <c r="H4" s="15" t="s">
        <v>521</v>
      </c>
      <c r="I4" s="18" t="s">
        <v>390</v>
      </c>
      <c r="J4" s="18" t="s">
        <v>405</v>
      </c>
      <c r="K4" s="18" t="s">
        <v>32</v>
      </c>
      <c r="L4" s="24" t="s">
        <v>405</v>
      </c>
    </row>
    <row r="5" spans="2:12" x14ac:dyDescent="0.25">
      <c r="B5" s="16" t="s">
        <v>384</v>
      </c>
      <c r="C5" s="14" t="s">
        <v>388</v>
      </c>
      <c r="D5" s="17" t="s">
        <v>394</v>
      </c>
      <c r="E5" s="17" t="s">
        <v>395</v>
      </c>
      <c r="F5" s="25" t="s">
        <v>379</v>
      </c>
      <c r="H5" s="16" t="s">
        <v>384</v>
      </c>
      <c r="I5" s="14" t="s">
        <v>388</v>
      </c>
      <c r="J5" s="17" t="s">
        <v>399</v>
      </c>
      <c r="K5" s="17" t="s">
        <v>412</v>
      </c>
      <c r="L5" s="25" t="s">
        <v>418</v>
      </c>
    </row>
    <row r="6" spans="2:12" x14ac:dyDescent="0.25">
      <c r="B6" s="15" t="s">
        <v>385</v>
      </c>
      <c r="C6" s="18" t="s">
        <v>389</v>
      </c>
      <c r="D6" s="18" t="s">
        <v>397</v>
      </c>
      <c r="E6" s="19" t="s">
        <v>401</v>
      </c>
      <c r="F6" s="26" t="s">
        <v>405</v>
      </c>
      <c r="H6" s="15" t="s">
        <v>385</v>
      </c>
      <c r="I6" s="18" t="s">
        <v>389</v>
      </c>
      <c r="J6" s="18" t="s">
        <v>410</v>
      </c>
      <c r="K6" s="19" t="s">
        <v>414</v>
      </c>
      <c r="L6" s="26" t="s">
        <v>419</v>
      </c>
    </row>
    <row r="7" spans="2:12" x14ac:dyDescent="0.25">
      <c r="B7" s="16" t="s">
        <v>386</v>
      </c>
      <c r="C7" s="14" t="s">
        <v>391</v>
      </c>
      <c r="D7" s="14" t="s">
        <v>398</v>
      </c>
      <c r="E7" s="17" t="s">
        <v>402</v>
      </c>
      <c r="F7" s="25" t="s">
        <v>406</v>
      </c>
      <c r="H7" s="16" t="s">
        <v>386</v>
      </c>
      <c r="I7" s="14" t="s">
        <v>391</v>
      </c>
      <c r="J7" s="14" t="s">
        <v>411</v>
      </c>
      <c r="K7" s="17" t="s">
        <v>415</v>
      </c>
      <c r="L7" s="25" t="s">
        <v>420</v>
      </c>
    </row>
    <row r="8" spans="2:12" x14ac:dyDescent="0.25">
      <c r="B8" s="15" t="s">
        <v>387</v>
      </c>
      <c r="C8" s="18" t="s">
        <v>392</v>
      </c>
      <c r="D8" s="18" t="s">
        <v>399</v>
      </c>
      <c r="E8" s="19" t="s">
        <v>403</v>
      </c>
      <c r="F8" s="26" t="s">
        <v>407</v>
      </c>
      <c r="H8" s="15" t="s">
        <v>387</v>
      </c>
      <c r="I8" s="18" t="s">
        <v>392</v>
      </c>
      <c r="J8" s="18" t="s">
        <v>412</v>
      </c>
      <c r="K8" s="19" t="s">
        <v>416</v>
      </c>
      <c r="L8" s="26" t="s">
        <v>408</v>
      </c>
    </row>
    <row r="9" spans="2:12" x14ac:dyDescent="0.25">
      <c r="B9" s="16" t="s">
        <v>520</v>
      </c>
      <c r="C9" s="14" t="s">
        <v>393</v>
      </c>
      <c r="D9" s="14" t="s">
        <v>400</v>
      </c>
      <c r="E9" s="17" t="s">
        <v>404</v>
      </c>
      <c r="F9" s="25" t="s">
        <v>408</v>
      </c>
      <c r="H9" s="16" t="s">
        <v>520</v>
      </c>
      <c r="I9" s="14" t="s">
        <v>393</v>
      </c>
      <c r="J9" s="14" t="s">
        <v>413</v>
      </c>
      <c r="K9" s="17" t="s">
        <v>417</v>
      </c>
      <c r="L9" s="25" t="s">
        <v>421</v>
      </c>
    </row>
    <row r="10" spans="2:12" ht="16.2" thickBot="1" x14ac:dyDescent="0.3">
      <c r="B10" s="632" t="s">
        <v>456</v>
      </c>
      <c r="C10" s="633"/>
      <c r="D10" s="633"/>
      <c r="E10" s="633"/>
      <c r="F10" s="634"/>
      <c r="H10" s="632" t="s">
        <v>456</v>
      </c>
      <c r="I10" s="633"/>
      <c r="J10" s="633"/>
      <c r="K10" s="633"/>
      <c r="L10" s="634"/>
    </row>
    <row r="11" spans="2:12" ht="16.2" thickBot="1" x14ac:dyDescent="0.3"/>
    <row r="12" spans="2:12" x14ac:dyDescent="0.25">
      <c r="B12" s="629" t="s">
        <v>422</v>
      </c>
      <c r="C12" s="630"/>
      <c r="D12" s="630"/>
      <c r="E12" s="630"/>
      <c r="F12" s="631"/>
    </row>
    <row r="13" spans="2:12" x14ac:dyDescent="0.25">
      <c r="B13" s="22" t="s">
        <v>380</v>
      </c>
      <c r="C13" s="21" t="s">
        <v>325</v>
      </c>
      <c r="D13" s="21" t="s">
        <v>381</v>
      </c>
      <c r="E13" s="21" t="s">
        <v>382</v>
      </c>
      <c r="F13" s="23" t="s">
        <v>383</v>
      </c>
    </row>
    <row r="14" spans="2:12" x14ac:dyDescent="0.25">
      <c r="B14" s="15" t="s">
        <v>521</v>
      </c>
      <c r="C14" s="18" t="s">
        <v>390</v>
      </c>
      <c r="D14" s="18" t="s">
        <v>423</v>
      </c>
      <c r="E14" s="18" t="s">
        <v>32</v>
      </c>
      <c r="F14" s="24" t="s">
        <v>424</v>
      </c>
      <c r="H14" s="608" t="s">
        <v>481</v>
      </c>
      <c r="I14" s="608"/>
      <c r="J14" s="608"/>
      <c r="K14" s="608"/>
      <c r="L14" s="608"/>
    </row>
    <row r="15" spans="2:12" x14ac:dyDescent="0.25">
      <c r="B15" s="16" t="s">
        <v>384</v>
      </c>
      <c r="C15" s="14" t="s">
        <v>388</v>
      </c>
      <c r="D15" s="17" t="s">
        <v>394</v>
      </c>
      <c r="E15" s="17" t="s">
        <v>395</v>
      </c>
      <c r="F15" s="25" t="s">
        <v>428</v>
      </c>
    </row>
    <row r="16" spans="2:12" x14ac:dyDescent="0.25">
      <c r="B16" s="15" t="s">
        <v>385</v>
      </c>
      <c r="C16" s="18" t="s">
        <v>389</v>
      </c>
      <c r="D16" s="18" t="s">
        <v>395</v>
      </c>
      <c r="E16" s="19" t="s">
        <v>399</v>
      </c>
      <c r="F16" s="26" t="s">
        <v>458</v>
      </c>
    </row>
    <row r="17" spans="2:12" x14ac:dyDescent="0.25">
      <c r="B17" s="16" t="s">
        <v>386</v>
      </c>
      <c r="C17" s="14" t="s">
        <v>391</v>
      </c>
      <c r="D17" s="14" t="s">
        <v>425</v>
      </c>
      <c r="E17" s="17" t="s">
        <v>412</v>
      </c>
      <c r="F17" s="25" t="s">
        <v>429</v>
      </c>
    </row>
    <row r="18" spans="2:12" x14ac:dyDescent="0.25">
      <c r="B18" s="15" t="s">
        <v>387</v>
      </c>
      <c r="C18" s="18" t="s">
        <v>392</v>
      </c>
      <c r="D18" s="18" t="s">
        <v>401</v>
      </c>
      <c r="E18" s="19" t="s">
        <v>402</v>
      </c>
      <c r="F18" s="26" t="s">
        <v>406</v>
      </c>
    </row>
    <row r="19" spans="2:12" x14ac:dyDescent="0.25">
      <c r="B19" s="16" t="s">
        <v>520</v>
      </c>
      <c r="C19" s="14" t="s">
        <v>393</v>
      </c>
      <c r="D19" s="14" t="s">
        <v>426</v>
      </c>
      <c r="E19" s="17" t="s">
        <v>427</v>
      </c>
      <c r="F19" s="25" t="s">
        <v>407</v>
      </c>
    </row>
    <row r="20" spans="2:12" x14ac:dyDescent="0.25">
      <c r="B20" s="635" t="s">
        <v>457</v>
      </c>
      <c r="C20" s="636"/>
      <c r="D20" s="636"/>
      <c r="E20" s="636"/>
      <c r="F20" s="637"/>
    </row>
    <row r="21" spans="2:12" ht="16.2" thickBot="1" x14ac:dyDescent="0.3">
      <c r="B21" s="638"/>
      <c r="C21" s="639"/>
      <c r="D21" s="639"/>
      <c r="E21" s="639"/>
      <c r="F21" s="640"/>
    </row>
    <row r="24" spans="2:12" ht="16.2" thickBot="1" x14ac:dyDescent="0.3"/>
    <row r="25" spans="2:12" x14ac:dyDescent="0.25">
      <c r="B25" s="629" t="s">
        <v>477</v>
      </c>
      <c r="C25" s="630"/>
      <c r="D25" s="630"/>
      <c r="E25" s="630"/>
      <c r="F25" s="631"/>
      <c r="H25" s="629" t="s">
        <v>476</v>
      </c>
      <c r="I25" s="630"/>
      <c r="J25" s="630"/>
      <c r="K25" s="630"/>
      <c r="L25" s="631"/>
    </row>
    <row r="26" spans="2:12" x14ac:dyDescent="0.25">
      <c r="B26" s="22" t="s">
        <v>380</v>
      </c>
      <c r="C26" s="21" t="s">
        <v>325</v>
      </c>
      <c r="D26" s="21" t="s">
        <v>381</v>
      </c>
      <c r="E26" s="21" t="s">
        <v>382</v>
      </c>
      <c r="F26" s="23" t="s">
        <v>383</v>
      </c>
      <c r="H26" s="22" t="s">
        <v>380</v>
      </c>
      <c r="I26" s="21" t="s">
        <v>325</v>
      </c>
      <c r="J26" s="21" t="s">
        <v>381</v>
      </c>
      <c r="K26" s="21" t="s">
        <v>382</v>
      </c>
      <c r="L26" s="23" t="s">
        <v>383</v>
      </c>
    </row>
    <row r="27" spans="2:12" x14ac:dyDescent="0.25">
      <c r="B27" s="15" t="s">
        <v>521</v>
      </c>
      <c r="C27" s="18" t="s">
        <v>390</v>
      </c>
      <c r="D27" s="18" t="s">
        <v>431</v>
      </c>
      <c r="E27" s="18" t="s">
        <v>32</v>
      </c>
      <c r="F27" s="24" t="s">
        <v>406</v>
      </c>
      <c r="H27" s="15" t="s">
        <v>521</v>
      </c>
      <c r="I27" s="18" t="s">
        <v>390</v>
      </c>
      <c r="J27" s="18" t="s">
        <v>420</v>
      </c>
      <c r="K27" s="18" t="s">
        <v>32</v>
      </c>
      <c r="L27" s="24" t="s">
        <v>450</v>
      </c>
    </row>
    <row r="28" spans="2:12" x14ac:dyDescent="0.25">
      <c r="B28" s="16" t="s">
        <v>384</v>
      </c>
      <c r="C28" s="14" t="s">
        <v>388</v>
      </c>
      <c r="D28" s="17" t="s">
        <v>411</v>
      </c>
      <c r="E28" s="17" t="s">
        <v>414</v>
      </c>
      <c r="F28" s="25" t="s">
        <v>431</v>
      </c>
      <c r="H28" s="16" t="s">
        <v>384</v>
      </c>
      <c r="I28" s="14" t="s">
        <v>388</v>
      </c>
      <c r="J28" s="17" t="s">
        <v>441</v>
      </c>
      <c r="K28" s="17" t="s">
        <v>445</v>
      </c>
      <c r="L28" s="25" t="s">
        <v>451</v>
      </c>
    </row>
    <row r="29" spans="2:12" x14ac:dyDescent="0.25">
      <c r="B29" s="15" t="s">
        <v>385</v>
      </c>
      <c r="C29" s="18" t="s">
        <v>389</v>
      </c>
      <c r="D29" s="18" t="s">
        <v>412</v>
      </c>
      <c r="E29" s="19" t="s">
        <v>434</v>
      </c>
      <c r="F29" s="26" t="s">
        <v>420</v>
      </c>
      <c r="H29" s="15" t="s">
        <v>385</v>
      </c>
      <c r="I29" s="18" t="s">
        <v>389</v>
      </c>
      <c r="J29" s="18" t="s">
        <v>442</v>
      </c>
      <c r="K29" s="19" t="s">
        <v>446</v>
      </c>
      <c r="L29" s="26" t="s">
        <v>452</v>
      </c>
    </row>
    <row r="30" spans="2:12" x14ac:dyDescent="0.25">
      <c r="B30" s="16" t="s">
        <v>386</v>
      </c>
      <c r="C30" s="14" t="s">
        <v>391</v>
      </c>
      <c r="D30" s="14" t="s">
        <v>402</v>
      </c>
      <c r="E30" s="17" t="s">
        <v>435</v>
      </c>
      <c r="F30" s="25" t="s">
        <v>408</v>
      </c>
      <c r="H30" s="16" t="s">
        <v>386</v>
      </c>
      <c r="I30" s="14" t="s">
        <v>391</v>
      </c>
      <c r="J30" s="14" t="s">
        <v>443</v>
      </c>
      <c r="K30" s="17" t="s">
        <v>447</v>
      </c>
      <c r="L30" s="25" t="s">
        <v>453</v>
      </c>
    </row>
    <row r="31" spans="2:12" x14ac:dyDescent="0.25">
      <c r="B31" s="15" t="s">
        <v>387</v>
      </c>
      <c r="C31" s="18" t="s">
        <v>392</v>
      </c>
      <c r="D31" s="18" t="s">
        <v>432</v>
      </c>
      <c r="E31" s="19" t="s">
        <v>436</v>
      </c>
      <c r="F31" s="26" t="s">
        <v>438</v>
      </c>
      <c r="H31" s="15" t="s">
        <v>387</v>
      </c>
      <c r="I31" s="18" t="s">
        <v>392</v>
      </c>
      <c r="J31" s="18" t="s">
        <v>444</v>
      </c>
      <c r="K31" s="19" t="s">
        <v>448</v>
      </c>
      <c r="L31" s="26" t="s">
        <v>454</v>
      </c>
    </row>
    <row r="32" spans="2:12" x14ac:dyDescent="0.25">
      <c r="B32" s="16" t="s">
        <v>520</v>
      </c>
      <c r="C32" s="14" t="s">
        <v>393</v>
      </c>
      <c r="D32" s="14" t="s">
        <v>433</v>
      </c>
      <c r="E32" s="17" t="s">
        <v>437</v>
      </c>
      <c r="F32" s="25" t="s">
        <v>439</v>
      </c>
      <c r="H32" s="16" t="s">
        <v>520</v>
      </c>
      <c r="I32" s="14" t="s">
        <v>393</v>
      </c>
      <c r="J32" s="14" t="s">
        <v>440</v>
      </c>
      <c r="K32" s="17" t="s">
        <v>449</v>
      </c>
      <c r="L32" s="25" t="s">
        <v>455</v>
      </c>
    </row>
    <row r="33" spans="2:12" ht="16.8" thickBot="1" x14ac:dyDescent="0.3">
      <c r="B33" s="632" t="s">
        <v>430</v>
      </c>
      <c r="C33" s="633"/>
      <c r="D33" s="633"/>
      <c r="E33" s="633"/>
      <c r="F33" s="634"/>
      <c r="H33" s="632" t="s">
        <v>430</v>
      </c>
      <c r="I33" s="633"/>
      <c r="J33" s="633"/>
      <c r="K33" s="633"/>
      <c r="L33" s="634"/>
    </row>
  </sheetData>
  <sheetProtection algorithmName="SHA-512" hashValue="Od0R6Tf089WTDf9DpPJGYxG42MgBLqlx0NmSZJrtk4PwTGkQGdckxsLxqB38I4RcSxL8y0swfivwPLxFtV1prQ==" saltValue="BHh8pazpvhF+/eCCL5d/QA==" spinCount="100000" sheet="1" objects="1" scenarios="1"/>
  <mergeCells count="11">
    <mergeCell ref="B2:F2"/>
    <mergeCell ref="B10:F10"/>
    <mergeCell ref="H2:L2"/>
    <mergeCell ref="H25:L25"/>
    <mergeCell ref="H33:L33"/>
    <mergeCell ref="H10:L10"/>
    <mergeCell ref="B12:F12"/>
    <mergeCell ref="B20:F21"/>
    <mergeCell ref="B25:F25"/>
    <mergeCell ref="B33:F33"/>
    <mergeCell ref="H14:L14"/>
  </mergeCells>
  <phoneticPr fontId="2" type="noConversion"/>
  <hyperlinks>
    <hyperlink ref="H14:L14" location="建卡!O88" display="点击这里返回“建卡”标签。" xr:uid="{A33BAB3E-D893-4905-A5AE-DACAAFC08DB2}"/>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BA7A-4CA8-425C-B310-2A3B8F73DBE6}">
  <sheetPr codeName="Sheet7"/>
  <dimension ref="A1:V5"/>
  <sheetViews>
    <sheetView showGridLines="0" showRowColHeaders="0" workbookViewId="0">
      <selection activeCell="B4" sqref="B4:D5"/>
    </sheetView>
  </sheetViews>
  <sheetFormatPr defaultColWidth="4" defaultRowHeight="17.399999999999999" x14ac:dyDescent="0.25"/>
  <cols>
    <col min="1" max="1" width="4" style="9"/>
    <col min="2" max="16384" width="4" style="10"/>
  </cols>
  <sheetData>
    <row r="1" spans="2:22" ht="18" thickBot="1" x14ac:dyDescent="0.3"/>
    <row r="2" spans="2:22" x14ac:dyDescent="0.25">
      <c r="B2" s="641" t="s">
        <v>290</v>
      </c>
      <c r="C2" s="642"/>
      <c r="D2" s="642"/>
      <c r="E2" s="642"/>
      <c r="F2" s="642"/>
      <c r="G2" s="642"/>
      <c r="H2" s="642"/>
      <c r="I2" s="642"/>
      <c r="J2" s="642"/>
      <c r="K2" s="642"/>
      <c r="L2" s="642"/>
      <c r="M2" s="642"/>
      <c r="N2" s="642"/>
      <c r="O2" s="642"/>
      <c r="P2" s="642"/>
      <c r="Q2" s="642"/>
      <c r="R2" s="642"/>
      <c r="S2" s="642"/>
      <c r="T2" s="642"/>
      <c r="U2" s="642"/>
      <c r="V2" s="643"/>
    </row>
    <row r="3" spans="2:22" x14ac:dyDescent="0.25">
      <c r="B3" s="644" t="s">
        <v>291</v>
      </c>
      <c r="C3" s="645"/>
      <c r="D3" s="645"/>
      <c r="E3" s="645" t="s">
        <v>285</v>
      </c>
      <c r="F3" s="645"/>
      <c r="G3" s="645"/>
      <c r="H3" s="645" t="s">
        <v>286</v>
      </c>
      <c r="I3" s="645"/>
      <c r="J3" s="645"/>
      <c r="K3" s="645" t="s">
        <v>292</v>
      </c>
      <c r="L3" s="645"/>
      <c r="M3" s="645"/>
      <c r="N3" s="645" t="s">
        <v>287</v>
      </c>
      <c r="O3" s="645"/>
      <c r="P3" s="645"/>
      <c r="Q3" s="645" t="s">
        <v>289</v>
      </c>
      <c r="R3" s="645"/>
      <c r="S3" s="645"/>
      <c r="T3" s="645" t="s">
        <v>288</v>
      </c>
      <c r="U3" s="645"/>
      <c r="V3" s="646"/>
    </row>
    <row r="4" spans="2:22" x14ac:dyDescent="0.25">
      <c r="B4" s="651">
        <f ca="1">RANDBETWEEN(1,2)</f>
        <v>2</v>
      </c>
      <c r="C4" s="647"/>
      <c r="D4" s="647"/>
      <c r="E4" s="647">
        <f ca="1">RANDBETWEEN(1,4)</f>
        <v>3</v>
      </c>
      <c r="F4" s="647"/>
      <c r="G4" s="647"/>
      <c r="H4" s="647">
        <f ca="1">RANDBETWEEN(1,6)</f>
        <v>2</v>
      </c>
      <c r="I4" s="647"/>
      <c r="J4" s="647"/>
      <c r="K4" s="647">
        <f ca="1">RANDBETWEEN(1,8)</f>
        <v>8</v>
      </c>
      <c r="L4" s="647"/>
      <c r="M4" s="647"/>
      <c r="N4" s="647">
        <f ca="1">RANDBETWEEN(1,10)</f>
        <v>9</v>
      </c>
      <c r="O4" s="647"/>
      <c r="P4" s="647"/>
      <c r="Q4" s="647">
        <f ca="1">RANDBETWEEN(1,20)</f>
        <v>11</v>
      </c>
      <c r="R4" s="647"/>
      <c r="S4" s="647"/>
      <c r="T4" s="647">
        <f ca="1">RANDBETWEEN(0,99)</f>
        <v>47</v>
      </c>
      <c r="U4" s="647"/>
      <c r="V4" s="648"/>
    </row>
    <row r="5" spans="2:22" ht="18" thickBot="1" x14ac:dyDescent="0.3">
      <c r="B5" s="652"/>
      <c r="C5" s="649"/>
      <c r="D5" s="649"/>
      <c r="E5" s="649"/>
      <c r="F5" s="649"/>
      <c r="G5" s="649"/>
      <c r="H5" s="649"/>
      <c r="I5" s="649"/>
      <c r="J5" s="649"/>
      <c r="K5" s="649"/>
      <c r="L5" s="649"/>
      <c r="M5" s="649"/>
      <c r="N5" s="649"/>
      <c r="O5" s="649"/>
      <c r="P5" s="649"/>
      <c r="Q5" s="649"/>
      <c r="R5" s="649"/>
      <c r="S5" s="649"/>
      <c r="T5" s="649"/>
      <c r="U5" s="649"/>
      <c r="V5" s="650"/>
    </row>
  </sheetData>
  <mergeCells count="15">
    <mergeCell ref="T4:V5"/>
    <mergeCell ref="B4:D5"/>
    <mergeCell ref="E4:G5"/>
    <mergeCell ref="H4:J5"/>
    <mergeCell ref="K4:M5"/>
    <mergeCell ref="N4:P5"/>
    <mergeCell ref="Q4:S5"/>
    <mergeCell ref="B2:V2"/>
    <mergeCell ref="B3:D3"/>
    <mergeCell ref="E3:G3"/>
    <mergeCell ref="H3:J3"/>
    <mergeCell ref="K3:M3"/>
    <mergeCell ref="N3:P3"/>
    <mergeCell ref="Q3:S3"/>
    <mergeCell ref="T3:V3"/>
  </mergeCells>
  <phoneticPr fontId="2" type="noConversion"/>
  <pageMargins left="0.7" right="0.7" top="0.75" bottom="0.75" header="0.3" footer="0.3"/>
  <pageSetup paperSize="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Button 1">
              <controlPr defaultSize="0" print="0" autoFill="0" autoPict="0" macro="[0]!F5F5F5">
                <anchor moveWithCells="1" sizeWithCells="1">
                  <from>
                    <xdr:col>9</xdr:col>
                    <xdr:colOff>228600</xdr:colOff>
                    <xdr:row>6</xdr:row>
                    <xdr:rowOff>0</xdr:rowOff>
                  </from>
                  <to>
                    <xdr:col>13</xdr:col>
                    <xdr:colOff>83820</xdr:colOff>
                    <xdr:row>8</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1:D107"/>
  <sheetViews>
    <sheetView showGridLines="0" workbookViewId="0">
      <selection activeCell="B1" sqref="B1"/>
    </sheetView>
  </sheetViews>
  <sheetFormatPr defaultColWidth="9" defaultRowHeight="17.399999999999999" x14ac:dyDescent="0.25"/>
  <cols>
    <col min="1" max="1" width="6.6640625" style="11" customWidth="1"/>
    <col min="2" max="2" width="54.33203125" style="82" bestFit="1" customWidth="1"/>
    <col min="3" max="3" width="9" style="11"/>
    <col min="4" max="4" width="16" style="11" customWidth="1"/>
    <col min="5" max="5" width="16.109375" style="11" customWidth="1"/>
    <col min="6" max="16384" width="9" style="11"/>
  </cols>
  <sheetData>
    <row r="1" spans="2:4" x14ac:dyDescent="0.25">
      <c r="B1" s="79" t="str">
        <f>角色卡!D3&amp;"，"&amp;角色卡!D5&amp;"，"&amp;角色卡!K6&amp;"，"&amp;角色卡!D6&amp;"岁"</f>
        <v>，，，岁</v>
      </c>
      <c r="C1" s="11" t="s">
        <v>514</v>
      </c>
    </row>
    <row r="2" spans="2:4" x14ac:dyDescent="0.25">
      <c r="B2" s="80" t="str">
        <f>"出身"&amp;角色卡!D8&amp;"，现居"&amp;角色卡!D7</f>
        <v>出身，现居</v>
      </c>
      <c r="D2" s="11" t="s">
        <v>515</v>
      </c>
    </row>
    <row r="3" spans="2:4" x14ac:dyDescent="0.25">
      <c r="B3" s="80" t="str">
        <f>"时代: "&amp;模板选择&amp;IF(Pulp_Switch="启用","   英雄类型:"&amp;创建调查员!H9,"")&amp;"   玩家: "&amp;角色卡!D4</f>
        <v xml:space="preserve">时代: 1920s   玩家: </v>
      </c>
    </row>
    <row r="4" spans="2:4" x14ac:dyDescent="0.25">
      <c r="B4" s="80" t="str">
        <f>"STR "&amp;STR&amp;"  CON "&amp;CON&amp;"  SIZ "&amp;SIZ&amp;"  DEX "&amp;DEX</f>
        <v>STR 0  CON 0  SIZ 0  DEX 0</v>
      </c>
      <c r="D4" s="11" t="s">
        <v>1209</v>
      </c>
    </row>
    <row r="5" spans="2:4" x14ac:dyDescent="0.25">
      <c r="B5" s="80" t="str">
        <f>"APP "&amp;APP&amp;"  INT "&amp;INT&amp;"  POW "&amp;POW&amp;"  EDU "&amp;EDU</f>
        <v>APP 0  INT 0  POW 0  EDU 0</v>
      </c>
    </row>
    <row r="6" spans="2:4" x14ac:dyDescent="0.25">
      <c r="B6" s="80" t="str">
        <f>"DB:"&amp;DB&amp;"  Build:"&amp;Build&amp;"  MOV:"&amp;MOV&amp;"  Luck:"&amp;Luck</f>
        <v>DB:错误  Build:错误  MOV:0  Luck:0</v>
      </c>
    </row>
    <row r="7" spans="2:4" x14ac:dyDescent="0.25">
      <c r="B7" s="80" t="str">
        <f>"HP:"&amp;HP&amp;"/"&amp;HPmax&amp;"   SAN:"&amp;SAN&amp;"/"&amp;SANmax&amp;"   MP:"&amp;MP&amp;"/"&amp;MPmax</f>
        <v>HP:0/0   SAN:0/99   MP:0/0</v>
      </c>
    </row>
    <row r="8" spans="2:4" x14ac:dyDescent="0.25">
      <c r="B8" s="80" t="str">
        <f>IF(AND(NOT(ISBLANK(角色卡!B69)),Pulp_Switch="启用"),"英雄天赋："&amp;角色卡!B69&amp;角色卡!B70&amp;角色卡!B71&amp;角色卡!B72&amp;角色卡!B73,"")</f>
        <v/>
      </c>
    </row>
    <row r="9" spans="2:4" x14ac:dyDescent="0.25">
      <c r="B9" s="80" t="s">
        <v>348</v>
      </c>
    </row>
    <row r="10" spans="2:4" x14ac:dyDescent="0.25">
      <c r="B10" s="80" t="str">
        <f>"斗殴 "&amp;角色卡!K40&amp;"% ("&amp;角色卡!M40&amp;"/"&amp;角色卡!O40&amp;"), 伤害"&amp;角色卡!R40</f>
        <v>斗殴 25% (12/5), 伤害1D3+DB</v>
      </c>
    </row>
    <row r="11" spans="2:4" x14ac:dyDescent="0.25">
      <c r="B11" s="80" t="str">
        <f>IF(ISBLANK(weapon),"",weapon&amp;" "&amp;角色卡!K41&amp;"% ("&amp;角色卡!M41&amp;"/"&amp;角色卡!O41&amp;"), 伤害"&amp;角色卡!R41)</f>
        <v/>
      </c>
    </row>
    <row r="12" spans="2:4" x14ac:dyDescent="0.25">
      <c r="B12" s="80" t="str">
        <f>IF(ISBLANK(角色卡!B42),"",角色卡!B42&amp;" "&amp;角色卡!K42&amp;"% ("&amp;角色卡!M42&amp;"/"&amp;角色卡!O42&amp;"), 伤害"&amp;角色卡!R42)</f>
        <v/>
      </c>
    </row>
    <row r="13" spans="2:4" x14ac:dyDescent="0.25">
      <c r="B13" s="80" t="str">
        <f>IF(ISBLANK(角色卡!B45),"",角色卡!B45&amp;" "&amp;角色卡!K45&amp;"% ("&amp;角色卡!M45&amp;"/"&amp;角色卡!O45&amp;"), 伤害"&amp;角色卡!R45)</f>
        <v/>
      </c>
    </row>
    <row r="14" spans="2:4" x14ac:dyDescent="0.25">
      <c r="B14" s="80" t="str">
        <f>IF(ISBLANK(角色卡!B46),"",角色卡!B46&amp;" "&amp;角色卡!K46&amp;"% ("&amp;角色卡!M46&amp;"/"&amp;角色卡!O46&amp;"), 伤害"&amp;角色卡!R46)</f>
        <v/>
      </c>
    </row>
    <row r="15" spans="2:4" x14ac:dyDescent="0.25">
      <c r="B15" s="80" t="str">
        <f>"闪避 "&amp;Dodge&amp;"% ("&amp;INT(Dodge/2)&amp;"/"&amp;INT(Dodge/2)&amp;")"</f>
        <v>闪避 0% (0/0)</v>
      </c>
    </row>
    <row r="16" spans="2:4" x14ac:dyDescent="0.25">
      <c r="B16" s="80" t="str">
        <f>IF(ISBLANK(角色卡!AN45),"","护甲： "&amp;角色卡!AN45)</f>
        <v/>
      </c>
    </row>
    <row r="17" spans="2:2" x14ac:dyDescent="0.25">
      <c r="B17" s="80" t="s">
        <v>349</v>
      </c>
    </row>
    <row r="18" spans="2:2" x14ac:dyDescent="0.25">
      <c r="B18" s="80" t="str">
        <f>IF(AND(IF(创建调查员!H57=创建调查员!P57,1),ISBLANK(角色卡!J16)),"",角色卡!C16&amp;" "&amp;角色卡!L16)</f>
        <v/>
      </c>
    </row>
    <row r="19" spans="2:2" x14ac:dyDescent="0.25">
      <c r="B19" s="80" t="str">
        <f>IF(AND(IF(创建调查员!H58=创建调查员!P58,1),ISBLANK(角色卡!J17)),"",角色卡!C17&amp;" "&amp;角色卡!L17)</f>
        <v/>
      </c>
    </row>
    <row r="20" spans="2:2" x14ac:dyDescent="0.25">
      <c r="B20" s="80" t="str">
        <f>IF(AND(IF(创建调查员!H59=创建调查员!P59,1),ISBLANK(角色卡!J18)),"",角色卡!C18&amp;" "&amp;角色卡!L18)</f>
        <v/>
      </c>
    </row>
    <row r="21" spans="2:2" x14ac:dyDescent="0.25">
      <c r="B21" s="80" t="str">
        <f>IF(AND(IF(创建调查员!H60=创建调查员!P60,1),ISBLANK(角色卡!J19)),"",角色卡!C19&amp;" "&amp;角色卡!L19)</f>
        <v/>
      </c>
    </row>
    <row r="22" spans="2:2" x14ac:dyDescent="0.25">
      <c r="B22" s="80" t="str">
        <f>IF(AND(IF(创建调查员!H61=创建调查员!P61,1),ISBLANK(角色卡!J20)),"",角色卡!C20&amp;" "&amp;角色卡!L20)</f>
        <v/>
      </c>
    </row>
    <row r="23" spans="2:2" x14ac:dyDescent="0.25">
      <c r="B23" s="80" t="str">
        <f>IF(AND(IF(创建调查员!H62=创建调查员!P62,1),ISBLANK(角色卡!J21)),"",角色卡!C21&amp;" "&amp;角色卡!L21)</f>
        <v/>
      </c>
    </row>
    <row r="24" spans="2:2" x14ac:dyDescent="0.25">
      <c r="B24" s="80" t="str">
        <f>IF(AND(IF(创建调查员!H63=创建调查员!P63,1),ISBLANK(角色卡!J22)),"",角色卡!C22&amp;" "&amp;角色卡!L22)</f>
        <v/>
      </c>
    </row>
    <row r="25" spans="2:2" x14ac:dyDescent="0.25">
      <c r="B25" s="80" t="str">
        <f>IF(AND(IF(创建调查员!H64=创建调查员!P64,1),ISBLANK(角色卡!J23)),"",角色卡!C23&amp;" "&amp;角色卡!L23)</f>
        <v/>
      </c>
    </row>
    <row r="26" spans="2:2" x14ac:dyDescent="0.25">
      <c r="B26" s="80" t="str">
        <f>IF(AND(IF(创建调查员!H65=创建调查员!P65,1),ISBLANK(角色卡!J24)),"",角色卡!C24&amp;" "&amp;角色卡!L24)</f>
        <v/>
      </c>
    </row>
    <row r="27" spans="2:2" x14ac:dyDescent="0.25">
      <c r="B27" s="80" t="str">
        <f>IF(AND(IF(创建调查员!H66=创建调查员!P66,1),ISBLANK(角色卡!J25)),"",角色卡!C25&amp;" "&amp;角色卡!L25)</f>
        <v/>
      </c>
    </row>
    <row r="28" spans="2:2" x14ac:dyDescent="0.25">
      <c r="B28" s="80" t="str">
        <f>IF(AND(IF(创建调查员!H67=创建调查员!P67,1),ISBLANK(角色卡!J26)),"",角色卡!C26&amp;" "&amp;角色卡!L26)</f>
        <v/>
      </c>
    </row>
    <row r="29" spans="2:2" x14ac:dyDescent="0.25">
      <c r="B29" s="80" t="str">
        <f>IF(AND(IF(创建调查员!H68=创建调查员!P68,1),ISBLANK(角色卡!J27)),"",角色卡!C27&amp;" "&amp;角色卡!L27)</f>
        <v/>
      </c>
    </row>
    <row r="30" spans="2:2" x14ac:dyDescent="0.25">
      <c r="B30" s="80" t="str">
        <f>IF(AND(IF(创建调查员!H69=创建调查员!P69,1),ISBLANK(角色卡!J28)),"",角色卡!C28&amp;" "&amp;角色卡!L28)</f>
        <v/>
      </c>
    </row>
    <row r="31" spans="2:2" x14ac:dyDescent="0.25">
      <c r="B31" s="80" t="str">
        <f>IF(AND(IF(创建调查员!H70=创建调查员!P70,1),ISBLANK(角色卡!J29)),"",角色卡!C29&amp;" "&amp;角色卡!L29)</f>
        <v/>
      </c>
    </row>
    <row r="32" spans="2:2" x14ac:dyDescent="0.25">
      <c r="B32" s="80" t="str">
        <f>IF(AND(IF(创建调查员!H71=创建调查员!P71,1),ISBLANK(角色卡!J30)),"",角色卡!C30&amp;" "&amp;角色卡!L30)</f>
        <v/>
      </c>
    </row>
    <row r="33" spans="2:2" x14ac:dyDescent="0.25">
      <c r="B33" s="80" t="str">
        <f>IF(AND(IF(创建调查员!H72=创建调查员!P72,1),ISBLANK(角色卡!J31)),"",角色卡!C31&amp;" "&amp;角色卡!L31)</f>
        <v/>
      </c>
    </row>
    <row r="34" spans="2:2" x14ac:dyDescent="0.25">
      <c r="B34" s="80" t="str">
        <f>IF(AND(IF(创建调查员!H73=创建调查员!P73,1),ISBLANK(角色卡!J32)),"",角色卡!C32&amp;" "&amp;角色卡!L32)</f>
        <v/>
      </c>
    </row>
    <row r="35" spans="2:2" x14ac:dyDescent="0.25">
      <c r="B35" s="80" t="str">
        <f>IF(AND(IF(创建调查员!H74=创建调查员!P74,1),ISBLANK(角色卡!J33)),"",角色卡!C33&amp;" "&amp;角色卡!L33)</f>
        <v/>
      </c>
    </row>
    <row r="36" spans="2:2" x14ac:dyDescent="0.25">
      <c r="B36" s="80" t="str">
        <f>IF(AND(IF(创建调查员!H75=创建调查员!P75,1),ISBLANK(角色卡!J34)),"",角色卡!C34&amp;" "&amp;角色卡!L34)</f>
        <v/>
      </c>
    </row>
    <row r="37" spans="2:2" x14ac:dyDescent="0.25">
      <c r="B37" s="80" t="str">
        <f>IF(AND(IF(创建调查员!H76=创建调查员!P76,1),ISBLANK(角色卡!J35)),"",角色卡!C35&amp;" "&amp;角色卡!L35)</f>
        <v/>
      </c>
    </row>
    <row r="38" spans="2:2" x14ac:dyDescent="0.25">
      <c r="B38" s="80" t="str">
        <f>IF(AND(IF(创建调查员!H77=创建调查员!P77,1),ISBLANK(角色卡!J36)),"",角色卡!C36&amp;" "&amp;角色卡!L36)</f>
        <v/>
      </c>
    </row>
    <row r="39" spans="2:2" x14ac:dyDescent="0.25">
      <c r="B39" s="80" t="str">
        <f>IF(AND(IF(创建调查员!H78=创建调查员!P78,1),ISBLANK(角色卡!X16)),"",角色卡!Q16&amp;" "&amp;角色卡!Z16)</f>
        <v/>
      </c>
    </row>
    <row r="40" spans="2:2" x14ac:dyDescent="0.25">
      <c r="B40" s="80" t="str">
        <f>IF(AND(IF(创建调查员!H79=创建调查员!P79,1),ISBLANK(角色卡!X17)),"",角色卡!Q17&amp;" "&amp;角色卡!Z17)</f>
        <v/>
      </c>
    </row>
    <row r="41" spans="2:2" x14ac:dyDescent="0.25">
      <c r="B41" s="80" t="str">
        <f>IF(AND(IF(创建调查员!H80=创建调查员!P80,1),ISBLANK(角色卡!X18)),"",角色卡!Q18&amp;" "&amp;角色卡!Z18)</f>
        <v/>
      </c>
    </row>
    <row r="42" spans="2:2" x14ac:dyDescent="0.25">
      <c r="B42" s="80" t="str">
        <f>IF(AND(IF(创建调查员!H81=创建调查员!P81,1),ISBLANK(角色卡!X19)),"",角色卡!Q19&amp;" "&amp;角色卡!Z19)</f>
        <v/>
      </c>
    </row>
    <row r="43" spans="2:2" x14ac:dyDescent="0.25">
      <c r="B43" s="80" t="str">
        <f>IF(AND(IF(创建调查员!H82=创建调查员!P82,1),ISBLANK(角色卡!X20)),"",角色卡!Q20&amp;" "&amp;角色卡!Z20)</f>
        <v/>
      </c>
    </row>
    <row r="44" spans="2:2" x14ac:dyDescent="0.25">
      <c r="B44" s="80" t="str">
        <f>IF(AND(IF(创建调查员!H83=创建调查员!P83,1),ISBLANK(角色卡!X21)),"",角色卡!Q21&amp;" "&amp;角色卡!Z21)</f>
        <v/>
      </c>
    </row>
    <row r="45" spans="2:2" x14ac:dyDescent="0.25">
      <c r="B45" s="80" t="str">
        <f>IF(AND(IF(创建调查员!H84=创建调查员!P84,1),ISBLANK(角色卡!X22)),"",角色卡!Q22&amp;" "&amp;角色卡!Z22)</f>
        <v/>
      </c>
    </row>
    <row r="46" spans="2:2" x14ac:dyDescent="0.25">
      <c r="B46" s="80" t="str">
        <f>IF(AND(IF(创建调查员!H85=创建调查员!P85,1),ISBLANK(角色卡!X23)),"",角色卡!Q23&amp;" "&amp;角色卡!Z23)</f>
        <v/>
      </c>
    </row>
    <row r="47" spans="2:2" x14ac:dyDescent="0.25">
      <c r="B47" s="80" t="str">
        <f>IF(AND(IF(创建调查员!H86=创建调查员!P86,1),ISBLANK(角色卡!X24)),"",角色卡!Q24&amp;" "&amp;角色卡!Z24)</f>
        <v/>
      </c>
    </row>
    <row r="48" spans="2:2" x14ac:dyDescent="0.25">
      <c r="B48" s="80" t="str">
        <f>IF(AND(IF(创建调查员!H87=创建调查员!P87,1),ISBLANK(角色卡!X25)),"",角色卡!Q25&amp;" "&amp;角色卡!Z25)</f>
        <v/>
      </c>
    </row>
    <row r="49" spans="2:2" x14ac:dyDescent="0.25">
      <c r="B49" s="80" t="str">
        <f>IF(AND(IF(创建调查员!H88=创建调查员!P88,1),ISBLANK(角色卡!X26)),"",角色卡!Q26&amp;" "&amp;角色卡!Z26)</f>
        <v/>
      </c>
    </row>
    <row r="50" spans="2:2" x14ac:dyDescent="0.25">
      <c r="B50" s="80" t="str">
        <f>IF(AND(IF(创建调查员!Y57=创建调查员!AG57,1),ISBLANK(角色卡!X27)),"",角色卡!Q27&amp;" "&amp;角色卡!Z27)</f>
        <v/>
      </c>
    </row>
    <row r="51" spans="2:2" x14ac:dyDescent="0.25">
      <c r="B51" s="80" t="str">
        <f>IF(AND(IF(创建调查员!Y58=创建调查员!AG58,1),ISBLANK(角色卡!X28)),"",角色卡!Q28&amp;" "&amp;角色卡!Z28)</f>
        <v/>
      </c>
    </row>
    <row r="52" spans="2:2" x14ac:dyDescent="0.25">
      <c r="B52" s="80" t="str">
        <f>IF(AND(IF(创建调查员!Y59=创建调查员!AG59,1),ISBLANK(角色卡!X29)),"",角色卡!Q29&amp;" "&amp;角色卡!Z29)</f>
        <v/>
      </c>
    </row>
    <row r="53" spans="2:2" x14ac:dyDescent="0.25">
      <c r="B53" s="80" t="str">
        <f>IF(AND(IF(创建调查员!Y60=创建调查员!AG60,1),ISBLANK(角色卡!X30)),"",角色卡!Q30&amp;" "&amp;角色卡!Z30)</f>
        <v/>
      </c>
    </row>
    <row r="54" spans="2:2" x14ac:dyDescent="0.25">
      <c r="B54" s="80" t="str">
        <f>IF(AND(IF(创建调查员!Y61=创建调查员!AG61,1),ISBLANK(角色卡!X31)),"",角色卡!Q31&amp;" "&amp;角色卡!Z31)</f>
        <v/>
      </c>
    </row>
    <row r="55" spans="2:2" x14ac:dyDescent="0.25">
      <c r="B55" s="80" t="str">
        <f>IF(AND(IF(创建调查员!Y62=创建调查员!AG62,1),ISBLANK(角色卡!X32)),"",角色卡!Q32&amp;" "&amp;角色卡!Z32)</f>
        <v/>
      </c>
    </row>
    <row r="56" spans="2:2" x14ac:dyDescent="0.25">
      <c r="B56" s="80" t="str">
        <f>IF(AND(IF(创建调查员!Y63=创建调查员!AG63,1),ISBLANK(角色卡!X33)),"",角色卡!Q33&amp;" "&amp;角色卡!Z33)</f>
        <v/>
      </c>
    </row>
    <row r="57" spans="2:2" x14ac:dyDescent="0.25">
      <c r="B57" s="80" t="str">
        <f>IF(AND(IF(创建调查员!Y64=创建调查员!AG64,1),ISBLANK(角色卡!X34)),"",角色卡!Q34&amp;" "&amp;角色卡!Z34)</f>
        <v/>
      </c>
    </row>
    <row r="58" spans="2:2" x14ac:dyDescent="0.25">
      <c r="B58" s="80" t="str">
        <f>IF(AND(IF(创建调查员!Y65=创建调查员!AG65,1),ISBLANK(角色卡!X35)),"",角色卡!Q35&amp;" "&amp;角色卡!Z35)</f>
        <v/>
      </c>
    </row>
    <row r="59" spans="2:2" x14ac:dyDescent="0.25">
      <c r="B59" s="80" t="str">
        <f>IF(AND(IF(创建调查员!Y66=创建调查员!AG66,1),ISBLANK(角色卡!X36)),"",角色卡!Q36&amp;" "&amp;角色卡!Z36)</f>
        <v/>
      </c>
    </row>
    <row r="60" spans="2:2" x14ac:dyDescent="0.25">
      <c r="B60" s="80" t="str">
        <f>IF(AND(IF(创建调查员!Y67=创建调查员!AG67,1),ISBLANK(角色卡!AL16)),"",角色卡!AE16&amp;" "&amp;角色卡!AN16)</f>
        <v/>
      </c>
    </row>
    <row r="61" spans="2:2" x14ac:dyDescent="0.25">
      <c r="B61" s="80" t="str">
        <f>IF(AND(IF(创建调查员!Y68=创建调查员!AG68,1),ISBLANK(角色卡!AL17)),"",角色卡!AE17&amp;" "&amp;角色卡!AN17)</f>
        <v/>
      </c>
    </row>
    <row r="62" spans="2:2" x14ac:dyDescent="0.25">
      <c r="B62" s="80" t="str">
        <f>IF(AND(IF(创建调查员!Y69=创建调查员!AG69,1),ISBLANK(角色卡!AL18)),"",角色卡!AE18&amp;" "&amp;角色卡!AN18)</f>
        <v/>
      </c>
    </row>
    <row r="63" spans="2:2" x14ac:dyDescent="0.25">
      <c r="B63" s="80" t="str">
        <f>IF(AND(IF(创建调查员!Y70=创建调查员!AG70,1),ISBLANK(角色卡!AL19)),"",角色卡!AE19&amp;" "&amp;角色卡!AN19)</f>
        <v/>
      </c>
    </row>
    <row r="64" spans="2:2" x14ac:dyDescent="0.25">
      <c r="B64" s="80" t="str">
        <f>IF(AND(IF(创建调查员!Y71=创建调查员!AG71,1),ISBLANK(角色卡!AL20)),"",角色卡!AE20&amp;" "&amp;角色卡!AN20)</f>
        <v/>
      </c>
    </row>
    <row r="65" spans="2:2" x14ac:dyDescent="0.25">
      <c r="B65" s="80" t="str">
        <f>IF(AND(IF(创建调查员!Y72=创建调查员!AG72,1),ISBLANK(角色卡!AL21)),"",角色卡!AE21&amp;" "&amp;角色卡!AN21)</f>
        <v/>
      </c>
    </row>
    <row r="66" spans="2:2" x14ac:dyDescent="0.25">
      <c r="B66" s="80" t="str">
        <f>IF(AND(IF(创建调查员!Y73=创建调查员!AG73,1),ISBLANK(角色卡!AL22)),"",角色卡!AE22&amp;" "&amp;角色卡!AN22)</f>
        <v/>
      </c>
    </row>
    <row r="67" spans="2:2" x14ac:dyDescent="0.25">
      <c r="B67" s="80" t="str">
        <f>IF(AND(IF(创建调查员!Y74=创建调查员!AG74,1),ISBLANK(角色卡!AL23)),"",角色卡!AE23&amp;" "&amp;角色卡!AN23)</f>
        <v/>
      </c>
    </row>
    <row r="68" spans="2:2" x14ac:dyDescent="0.25">
      <c r="B68" s="80" t="str">
        <f>IF(AND(IF(创建调查员!Y75=创建调查员!AG75,1),ISBLANK(角色卡!AL24)),"",角色卡!AE24&amp;" "&amp;角色卡!AN24)</f>
        <v/>
      </c>
    </row>
    <row r="69" spans="2:2" x14ac:dyDescent="0.25">
      <c r="B69" s="80" t="str">
        <f>IF(AND(IF(创建调查员!Y76=创建调查员!AG76,1),ISBLANK(角色卡!AL25)),"",角色卡!AE25&amp;" "&amp;角色卡!AN25)</f>
        <v/>
      </c>
    </row>
    <row r="70" spans="2:2" x14ac:dyDescent="0.25">
      <c r="B70" s="80" t="str">
        <f>IF(AND(IF(创建调查员!Y77=创建调查员!AG77,1),ISBLANK(角色卡!AL26)),"",角色卡!AE26&amp;" "&amp;角色卡!AN26)</f>
        <v/>
      </c>
    </row>
    <row r="71" spans="2:2" x14ac:dyDescent="0.25">
      <c r="B71" s="80" t="str">
        <f>IF(AND(IF(创建调查员!Y78=创建调查员!AG78,1),ISBLANK(角色卡!AL27)),"",角色卡!AE27&amp;" "&amp;角色卡!AN27)</f>
        <v/>
      </c>
    </row>
    <row r="72" spans="2:2" x14ac:dyDescent="0.25">
      <c r="B72" s="80" t="str">
        <f>IF(AND(IF(创建调查员!Y79=创建调查员!AG79,1),ISBLANK(角色卡!AL28)),"",角色卡!AE28&amp;" "&amp;角色卡!AN28)</f>
        <v/>
      </c>
    </row>
    <row r="73" spans="2:2" x14ac:dyDescent="0.25">
      <c r="B73" s="80" t="str">
        <f>IF(AND(IF(创建调查员!Y80=创建调查员!AG80,1),ISBLANK(角色卡!AL29)),"",角色卡!AE29&amp;" "&amp;角色卡!AN29)</f>
        <v/>
      </c>
    </row>
    <row r="74" spans="2:2" x14ac:dyDescent="0.25">
      <c r="B74" s="80" t="str">
        <f>IF(AND(IF(创建调查员!Y81=创建调查员!AG81,1),ISBLANK(角色卡!AL30)),"",角色卡!AE30&amp;" "&amp;角色卡!AN30)</f>
        <v/>
      </c>
    </row>
    <row r="75" spans="2:2" x14ac:dyDescent="0.25">
      <c r="B75" s="80" t="str">
        <f>IF(AND(IF(创建调查员!Y82=创建调查员!AG82,1),ISBLANK(角色卡!AL31)),"",角色卡!AE31&amp;" "&amp;角色卡!AN31)</f>
        <v/>
      </c>
    </row>
    <row r="76" spans="2:2" x14ac:dyDescent="0.25">
      <c r="B76" s="80" t="str">
        <f>IF(AND(IF(创建调查员!Y83=创建调查员!AG83,1),ISBLANK(角色卡!AL32)),"",角色卡!AE32&amp;" "&amp;角色卡!AN32)</f>
        <v/>
      </c>
    </row>
    <row r="77" spans="2:2" x14ac:dyDescent="0.25">
      <c r="B77" s="80" t="str">
        <f>IF(AND(IF(创建调查员!Y84=创建调查员!AG84,1),ISBLANK(角色卡!AL33)),"",角色卡!AE33&amp;" "&amp;角色卡!AN33)</f>
        <v/>
      </c>
    </row>
    <row r="78" spans="2:2" x14ac:dyDescent="0.25">
      <c r="B78" s="80" t="str">
        <f>IF(AND(IF(创建调查员!Y85=创建调查员!AG85,1),ISBLANK(角色卡!AL34)),"",角色卡!AE34&amp;" "&amp;角色卡!AN34)</f>
        <v/>
      </c>
    </row>
    <row r="79" spans="2:2" x14ac:dyDescent="0.25">
      <c r="B79" s="80" t="str">
        <f>IF(AND(IF(创建调查员!Y86=创建调查员!AG86,1),ISBLANK(角色卡!AL35)),"",角色卡!AE35&amp;" "&amp;角色卡!AN35)</f>
        <v/>
      </c>
    </row>
    <row r="80" spans="2:2" x14ac:dyDescent="0.25">
      <c r="B80" s="80" t="str">
        <f>IF(AND(IF(创建调查员!Y87=创建调查员!AG87,1),ISBLANK(角色卡!AL36)),"",角色卡!AE36&amp;" "&amp;角色卡!AN36)</f>
        <v/>
      </c>
    </row>
    <row r="81" spans="2:2" x14ac:dyDescent="0.25">
      <c r="B81" s="80" t="s">
        <v>350</v>
      </c>
    </row>
    <row r="82" spans="2:2" x14ac:dyDescent="0.25">
      <c r="B82" s="80" t="str">
        <f>角色卡!S50&amp;"："&amp;IF(ISBLANK(角色卡!W50),"（空）",角色卡!W50)</f>
        <v>形象描述：（空）</v>
      </c>
    </row>
    <row r="83" spans="2:2" x14ac:dyDescent="0.25">
      <c r="B83" s="80" t="str">
        <f>角色卡!S53&amp;"："&amp;IF(ISBLANK(角色卡!W53),"（空）",角色卡!W53)</f>
        <v>思想与信念：（空）</v>
      </c>
    </row>
    <row r="84" spans="2:2" x14ac:dyDescent="0.25">
      <c r="B84" s="80" t="str">
        <f>角色卡!S56&amp;"："&amp;IF(ISBLANK(角色卡!W56),"（空）",角色卡!W56)</f>
        <v>重要之人：（空）</v>
      </c>
    </row>
    <row r="85" spans="2:2" x14ac:dyDescent="0.25">
      <c r="B85" s="80" t="str">
        <f>角色卡!S59&amp;"："&amp;IF(ISBLANK(角色卡!W59),"（空）",角色卡!W59)</f>
        <v>意义非凡之地：（空）</v>
      </c>
    </row>
    <row r="86" spans="2:2" x14ac:dyDescent="0.25">
      <c r="B86" s="80" t="str">
        <f>角色卡!S62&amp;"："&amp;IF(ISBLANK(角色卡!W62),"（空）",角色卡!W62)</f>
        <v>宝贵之物：（空）</v>
      </c>
    </row>
    <row r="87" spans="2:2" x14ac:dyDescent="0.25">
      <c r="B87" s="80" t="str">
        <f>角色卡!S65&amp;"："&amp;IF(ISBLANK(角色卡!W65),"（空）",角色卡!W65)</f>
        <v>特质：（空）</v>
      </c>
    </row>
    <row r="88" spans="2:2" x14ac:dyDescent="0.25">
      <c r="B88" s="80" t="str">
        <f>角色卡!S68&amp;"："&amp;IF(ISBLANK(角色卡!W68),"（空）",角色卡!W68)</f>
        <v>创伤和疤痕：（空）</v>
      </c>
    </row>
    <row r="89" spans="2:2" x14ac:dyDescent="0.25">
      <c r="B89" s="80" t="str">
        <f>"恐惧症和躁狂症："&amp;IF(ISBLANK(角色卡!W71),"（空）",角色卡!W71)</f>
        <v>恐惧症和躁狂症：（空）</v>
      </c>
    </row>
    <row r="90" spans="2:2" x14ac:dyDescent="0.25">
      <c r="B90" s="80" t="str">
        <f>IF(ISBLANK(角色卡!AD86),"",角色卡!AD85&amp;"："&amp;附表!K15)</f>
        <v/>
      </c>
    </row>
    <row r="91" spans="2:2" x14ac:dyDescent="0.25">
      <c r="B91" s="80" t="str">
        <f>IF(ISBLANK(角色卡!AK86),"",角色卡!AK85&amp;"："&amp;附表!L15)</f>
        <v/>
      </c>
    </row>
    <row r="92" spans="2:2" x14ac:dyDescent="0.25">
      <c r="B92" s="80" t="str">
        <f>IF(ISBLANK(角色卡!S76),"（没有填写额外背景）",角色卡!S76)</f>
        <v>（没有填写额外背景）</v>
      </c>
    </row>
    <row r="93" spans="2:2" x14ac:dyDescent="0.25">
      <c r="B93" s="80" t="s">
        <v>516</v>
      </c>
    </row>
    <row r="94" spans="2:2" x14ac:dyDescent="0.25">
      <c r="B94" s="80" t="str">
        <f>IF(ISBLANK(角色卡!B50),"（没有携带任何物品）",角色卡!B50)</f>
        <v>（没有携带任何物品）</v>
      </c>
    </row>
    <row r="95" spans="2:2" x14ac:dyDescent="0.25">
      <c r="B95" s="80" t="str">
        <f>IF(ISBLANK(角色卡!B51),"",角色卡!B51)</f>
        <v/>
      </c>
    </row>
    <row r="96" spans="2:2" x14ac:dyDescent="0.25">
      <c r="B96" s="80" t="str">
        <f>IF(ISBLANK(角色卡!B52),"",角色卡!B52)</f>
        <v/>
      </c>
    </row>
    <row r="97" spans="2:2" x14ac:dyDescent="0.25">
      <c r="B97" s="80" t="str">
        <f>IF(ISBLANK(角色卡!B53),"",角色卡!B53)</f>
        <v/>
      </c>
    </row>
    <row r="98" spans="2:2" x14ac:dyDescent="0.25">
      <c r="B98" s="80" t="str">
        <f>IF(ISBLANK(角色卡!B54),"",角色卡!B54)</f>
        <v/>
      </c>
    </row>
    <row r="99" spans="2:2" x14ac:dyDescent="0.25">
      <c r="B99" s="80" t="str">
        <f>IF(ISBLANK(角色卡!B55),"",角色卡!B55)</f>
        <v/>
      </c>
    </row>
    <row r="100" spans="2:2" x14ac:dyDescent="0.25">
      <c r="B100" s="80" t="str">
        <f>IF(ISBLANK(角色卡!B56),"",角色卡!B56)</f>
        <v/>
      </c>
    </row>
    <row r="101" spans="2:2" x14ac:dyDescent="0.25">
      <c r="B101" s="80" t="str">
        <f>IF(ISBLANK(角色卡!B57),"",角色卡!B57)</f>
        <v/>
      </c>
    </row>
    <row r="102" spans="2:2" x14ac:dyDescent="0.25">
      <c r="B102" s="80" t="str">
        <f>IF(ISBLANK(角色卡!B58),"",角色卡!B58)</f>
        <v/>
      </c>
    </row>
    <row r="103" spans="2:2" x14ac:dyDescent="0.25">
      <c r="B103" s="80" t="s">
        <v>347</v>
      </c>
    </row>
    <row r="104" spans="2:2" x14ac:dyDescent="0.25">
      <c r="B104" s="80" t="str">
        <f>"消费水平："&amp;IF(ISBLANK(角色卡!E61),"(未填写)",角色卡!E61)</f>
        <v>消费水平：(未填写)</v>
      </c>
    </row>
    <row r="105" spans="2:2" x14ac:dyDescent="0.25">
      <c r="B105" s="80" t="str">
        <f>"现金："&amp;IF(ISBLANK(角色卡!E62),"(未填写)",角色卡!E62)</f>
        <v>现金：(未填写)</v>
      </c>
    </row>
    <row r="106" spans="2:2" x14ac:dyDescent="0.25">
      <c r="B106" s="80" t="str">
        <f>IF(ISBLANK(Assets),"（未设定其他资产）",Assets)</f>
        <v>（未设定其他资产）</v>
      </c>
    </row>
    <row r="107" spans="2:2" ht="18" thickBot="1" x14ac:dyDescent="0.3">
      <c r="B107" s="81" t="s">
        <v>351</v>
      </c>
    </row>
  </sheetData>
  <sheetProtection autoFilter="0"/>
  <autoFilter ref="B1:B107" xr:uid="{00000000-0009-0000-0000-000006000000}"/>
  <phoneticPr fontId="2"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L40"/>
  <sheetViews>
    <sheetView showGridLines="0" workbookViewId="0">
      <selection activeCell="L15" sqref="L15"/>
    </sheetView>
  </sheetViews>
  <sheetFormatPr defaultColWidth="9.88671875" defaultRowHeight="17.399999999999999" x14ac:dyDescent="0.25"/>
  <cols>
    <col min="1" max="1" width="9.44140625" style="62" bestFit="1" customWidth="1"/>
    <col min="2" max="2" width="8" style="69" bestFit="1" customWidth="1"/>
    <col min="3" max="3" width="6.21875" style="69" bestFit="1" customWidth="1"/>
    <col min="4" max="4" width="9.88671875" style="62"/>
    <col min="5" max="5" width="11.21875" style="62" bestFit="1" customWidth="1"/>
    <col min="6" max="6" width="10.33203125" style="62" bestFit="1" customWidth="1"/>
    <col min="7" max="16384" width="9.88671875" style="62"/>
  </cols>
  <sheetData>
    <row r="1" spans="1:12" x14ac:dyDescent="0.25">
      <c r="A1" s="61" t="s">
        <v>281</v>
      </c>
      <c r="B1" s="61" t="s">
        <v>282</v>
      </c>
      <c r="C1" s="61" t="s">
        <v>320</v>
      </c>
      <c r="E1" s="61" t="s">
        <v>3</v>
      </c>
      <c r="F1" s="61" t="s">
        <v>321</v>
      </c>
      <c r="H1" s="653" t="s">
        <v>663</v>
      </c>
      <c r="I1" s="654"/>
      <c r="J1" s="63"/>
      <c r="K1" s="653" t="s">
        <v>1208</v>
      </c>
      <c r="L1" s="654"/>
    </row>
    <row r="2" spans="1:12" x14ac:dyDescent="0.25">
      <c r="A2" s="64">
        <v>0</v>
      </c>
      <c r="B2" s="65" t="s">
        <v>283</v>
      </c>
      <c r="C2" s="64" t="s">
        <v>283</v>
      </c>
      <c r="E2" s="65">
        <v>0</v>
      </c>
      <c r="F2" s="64">
        <v>0</v>
      </c>
      <c r="H2" s="65" t="s">
        <v>664</v>
      </c>
      <c r="I2" s="90">
        <f>_xlfn.IFNA(SUM(VLOOKUP("闪避",角色卡!C16:O36,6,0),VLOOKUP("闪避",角色卡!C16:O36,8,0)),0)</f>
        <v>0</v>
      </c>
      <c r="K2" s="90" t="str">
        <f>IF(ISBLANK(角色卡!AD86),"",角色卡!AD86&amp;";")</f>
        <v/>
      </c>
      <c r="L2" s="90" t="str">
        <f>IF(ISBLANK(角色卡!AK86),"",角色卡!AK86&amp;";")</f>
        <v/>
      </c>
    </row>
    <row r="3" spans="1:12" x14ac:dyDescent="0.25">
      <c r="A3" s="66">
        <v>2</v>
      </c>
      <c r="B3" s="66">
        <v>-2</v>
      </c>
      <c r="C3" s="66">
        <v>-2</v>
      </c>
      <c r="E3" s="66">
        <v>40</v>
      </c>
      <c r="F3" s="66">
        <v>1</v>
      </c>
      <c r="H3" s="66" t="s">
        <v>665</v>
      </c>
      <c r="I3" s="91">
        <f>_xlfn.IFNA(SUM(VLOOKUP("闪避",角色卡!Q16:AC36,6,0),VLOOKUP("闪避",角色卡!Q16:AC36,8,0)),0)</f>
        <v>0</v>
      </c>
      <c r="K3" s="91" t="str">
        <f>IF(ISBLANK(角色卡!AD87),"",角色卡!AD87&amp;";")</f>
        <v/>
      </c>
      <c r="L3" s="91" t="str">
        <f>IF(ISBLANK(角色卡!AK87),"",角色卡!AK87&amp;";")</f>
        <v/>
      </c>
    </row>
    <row r="4" spans="1:12" x14ac:dyDescent="0.25">
      <c r="A4" s="64">
        <v>65</v>
      </c>
      <c r="B4" s="65">
        <v>-1</v>
      </c>
      <c r="C4" s="64">
        <v>-1</v>
      </c>
      <c r="E4" s="65">
        <v>50</v>
      </c>
      <c r="F4" s="64">
        <v>2</v>
      </c>
      <c r="H4" s="65" t="s">
        <v>666</v>
      </c>
      <c r="I4" s="90">
        <f>MAX(I2:I3)</f>
        <v>0</v>
      </c>
      <c r="K4" s="90" t="str">
        <f>IF(ISBLANK(角色卡!AD88),"",角色卡!AD88&amp;";")</f>
        <v/>
      </c>
      <c r="L4" s="90" t="str">
        <f>IF(ISBLANK(角色卡!AK88),"",角色卡!AK88&amp;";")</f>
        <v/>
      </c>
    </row>
    <row r="5" spans="1:12" x14ac:dyDescent="0.25">
      <c r="A5" s="66">
        <v>85</v>
      </c>
      <c r="B5" s="66">
        <v>0</v>
      </c>
      <c r="C5" s="66">
        <v>0</v>
      </c>
      <c r="E5" s="66">
        <v>60</v>
      </c>
      <c r="F5" s="66">
        <v>3</v>
      </c>
      <c r="K5" s="91" t="str">
        <f>IF(ISBLANK(角色卡!AD89),"",角色卡!AD89&amp;";")</f>
        <v/>
      </c>
      <c r="L5" s="91" t="str">
        <f>IF(ISBLANK(角色卡!AK89),"",角色卡!AK89&amp;";")</f>
        <v/>
      </c>
    </row>
    <row r="6" spans="1:12" x14ac:dyDescent="0.25">
      <c r="A6" s="64">
        <v>125</v>
      </c>
      <c r="B6" s="65" t="s">
        <v>293</v>
      </c>
      <c r="C6" s="64">
        <v>1</v>
      </c>
      <c r="E6" s="65">
        <v>70</v>
      </c>
      <c r="F6" s="64">
        <v>4</v>
      </c>
      <c r="H6" s="653" t="s">
        <v>11</v>
      </c>
      <c r="I6" s="654"/>
      <c r="K6" s="90" t="str">
        <f>IF(ISBLANK(角色卡!AD90),"",角色卡!AD90&amp;";")</f>
        <v/>
      </c>
      <c r="L6" s="90" t="str">
        <f>IF(ISBLANK(角色卡!AK90),"",角色卡!AK90&amp;";")</f>
        <v/>
      </c>
    </row>
    <row r="7" spans="1:12" x14ac:dyDescent="0.25">
      <c r="A7" s="66">
        <v>165</v>
      </c>
      <c r="B7" s="66" t="s">
        <v>294</v>
      </c>
      <c r="C7" s="66">
        <v>2</v>
      </c>
      <c r="E7" s="66">
        <v>80</v>
      </c>
      <c r="F7" s="66">
        <v>5</v>
      </c>
      <c r="H7" s="65" t="s">
        <v>664</v>
      </c>
      <c r="I7" s="90">
        <f>_xlfn.IFNA(SUM(VLOOKUP("克苏鲁神话",角色卡!C16:O36,6,0),VLOOKUP("克苏鲁神话",角色卡!C16:O36,8,0)),0)</f>
        <v>0</v>
      </c>
      <c r="K7" s="91" t="str">
        <f>IF(ISBLANK(角色卡!AD91),"",角色卡!AD91&amp;";")</f>
        <v/>
      </c>
      <c r="L7" s="91" t="str">
        <f>IF(ISBLANK(角色卡!AK91),"",角色卡!AK91&amp;";")</f>
        <v/>
      </c>
    </row>
    <row r="8" spans="1:12" x14ac:dyDescent="0.25">
      <c r="A8" s="64">
        <v>205</v>
      </c>
      <c r="B8" s="65" t="s">
        <v>295</v>
      </c>
      <c r="C8" s="64">
        <v>3</v>
      </c>
      <c r="H8" s="66" t="s">
        <v>665</v>
      </c>
      <c r="I8" s="91">
        <f>_xlfn.IFNA(SUM(VLOOKUP("克苏鲁神话",角色卡!Q16:AC36,6,0),VLOOKUP("克苏鲁神话",角色卡!Q16:AC36,8,0)),0)</f>
        <v>0</v>
      </c>
      <c r="K8" s="90" t="str">
        <f>IF(ISBLANK(角色卡!AD92),"",角色卡!AD92&amp;";")</f>
        <v/>
      </c>
      <c r="L8" s="90" t="str">
        <f>IF(ISBLANK(角色卡!AK92),"",角色卡!AK92&amp;";")</f>
        <v/>
      </c>
    </row>
    <row r="9" spans="1:12" x14ac:dyDescent="0.25">
      <c r="A9" s="66">
        <v>285</v>
      </c>
      <c r="B9" s="66" t="s">
        <v>296</v>
      </c>
      <c r="C9" s="66">
        <v>4</v>
      </c>
      <c r="E9" s="653" t="s">
        <v>324</v>
      </c>
      <c r="F9" s="654"/>
      <c r="H9" s="65" t="s">
        <v>666</v>
      </c>
      <c r="I9" s="90">
        <f>MAX(I7:I8)</f>
        <v>0</v>
      </c>
      <c r="K9" s="91" t="str">
        <f>IF(ISBLANK(角色卡!AD93),"",角色卡!AD93&amp;";")</f>
        <v/>
      </c>
      <c r="L9" s="91" t="str">
        <f>IF(ISBLANK(角色卡!AK93),"",角色卡!AK93&amp;";")</f>
        <v/>
      </c>
    </row>
    <row r="10" spans="1:12" x14ac:dyDescent="0.25">
      <c r="A10" s="64">
        <v>365</v>
      </c>
      <c r="B10" s="65" t="s">
        <v>297</v>
      </c>
      <c r="C10" s="64">
        <v>5</v>
      </c>
      <c r="E10" s="65" t="s">
        <v>322</v>
      </c>
      <c r="F10" s="64">
        <f>STR</f>
        <v>0</v>
      </c>
      <c r="K10" s="90" t="str">
        <f>IF(ISBLANK(角色卡!AD94),"",角色卡!AD94&amp;";")</f>
        <v/>
      </c>
      <c r="L10" s="90" t="str">
        <f>IF(ISBLANK(角色卡!AK94),"",角色卡!AK94&amp;";")</f>
        <v/>
      </c>
    </row>
    <row r="11" spans="1:12" x14ac:dyDescent="0.25">
      <c r="A11" s="66">
        <v>445</v>
      </c>
      <c r="B11" s="66" t="s">
        <v>298</v>
      </c>
      <c r="C11" s="66">
        <v>6</v>
      </c>
      <c r="E11" s="66" t="s">
        <v>323</v>
      </c>
      <c r="F11" s="66">
        <f>DEX</f>
        <v>0</v>
      </c>
      <c r="K11" s="91" t="str">
        <f>IF(ISBLANK(角色卡!AD95),"",角色卡!AD95&amp;";")</f>
        <v/>
      </c>
      <c r="L11" s="91" t="str">
        <f>IF(ISBLANK(角色卡!AK95),"",角色卡!AK95&amp;";")</f>
        <v/>
      </c>
    </row>
    <row r="12" spans="1:12" x14ac:dyDescent="0.25">
      <c r="A12" s="64">
        <v>525</v>
      </c>
      <c r="B12" s="65" t="s">
        <v>299</v>
      </c>
      <c r="C12" s="64">
        <v>7</v>
      </c>
      <c r="E12" s="65" t="s">
        <v>328</v>
      </c>
      <c r="F12" s="64">
        <f>SIZ</f>
        <v>0</v>
      </c>
      <c r="K12" s="90" t="str">
        <f>IF(ISBLANK(角色卡!AD96),"",角色卡!AD96&amp;";")</f>
        <v/>
      </c>
      <c r="L12" s="90" t="str">
        <f>IF(ISBLANK(角色卡!AK96),"",角色卡!AK96&amp;";")</f>
        <v/>
      </c>
    </row>
    <row r="13" spans="1:12" x14ac:dyDescent="0.25">
      <c r="A13" s="66">
        <v>605</v>
      </c>
      <c r="B13" s="66" t="s">
        <v>300</v>
      </c>
      <c r="C13" s="66">
        <v>8</v>
      </c>
      <c r="E13" s="66" t="s">
        <v>329</v>
      </c>
      <c r="F13" s="66" t="b">
        <f>IF(STR&gt;SIZ,TRUE())</f>
        <v>0</v>
      </c>
      <c r="K13" s="91" t="str">
        <f>IF(ISBLANK(角色卡!AD97),"",角色卡!AD97&amp;";")</f>
        <v/>
      </c>
      <c r="L13" s="91" t="str">
        <f>IF(ISBLANK(角色卡!AK97),"",角色卡!AK97&amp;";")</f>
        <v/>
      </c>
    </row>
    <row r="14" spans="1:12" x14ac:dyDescent="0.25">
      <c r="A14" s="64">
        <v>685</v>
      </c>
      <c r="B14" s="65" t="s">
        <v>301</v>
      </c>
      <c r="C14" s="64">
        <v>9</v>
      </c>
      <c r="E14" s="65" t="s">
        <v>330</v>
      </c>
      <c r="F14" s="64" t="b">
        <f>IF(DEX&gt;SIZ,TRUE())</f>
        <v>0</v>
      </c>
      <c r="K14" s="90" t="str">
        <f>IF(ISBLANK(角色卡!AD98),"",角色卡!AD98)</f>
        <v/>
      </c>
      <c r="L14" s="90" t="str">
        <f>IF(ISBLANK(角色卡!AK98),"",角色卡!AK98)</f>
        <v/>
      </c>
    </row>
    <row r="15" spans="1:12" x14ac:dyDescent="0.25">
      <c r="A15" s="66">
        <v>765</v>
      </c>
      <c r="B15" s="66" t="s">
        <v>302</v>
      </c>
      <c r="C15" s="66">
        <v>10</v>
      </c>
      <c r="E15" s="66" t="s">
        <v>331</v>
      </c>
      <c r="F15" s="66" t="b">
        <f>IF(STR&lt;SIZ,TRUE())</f>
        <v>0</v>
      </c>
      <c r="K15" s="152" t="str">
        <f>K2&amp;K3&amp;K4&amp;K5&amp;K6&amp;K7&amp;K8&amp;K9&amp;K10&amp;K11&amp;K12&amp;K13&amp;K14</f>
        <v/>
      </c>
      <c r="L15" s="152" t="str">
        <f>L2&amp;L3&amp;L4&amp;L5&amp;L6&amp;L7&amp;L8&amp;L9&amp;L10&amp;L11&amp;L12&amp;L13&amp;L14</f>
        <v/>
      </c>
    </row>
    <row r="16" spans="1:12" x14ac:dyDescent="0.25">
      <c r="A16" s="64">
        <v>845</v>
      </c>
      <c r="B16" s="65" t="s">
        <v>303</v>
      </c>
      <c r="C16" s="64">
        <v>11</v>
      </c>
      <c r="E16" s="65" t="s">
        <v>332</v>
      </c>
      <c r="F16" s="64" t="b">
        <f>IF(DEX&lt;SIZ,TRUE())</f>
        <v>0</v>
      </c>
    </row>
    <row r="17" spans="1:6" x14ac:dyDescent="0.25">
      <c r="A17" s="66">
        <v>925</v>
      </c>
      <c r="B17" s="66" t="s">
        <v>304</v>
      </c>
      <c r="C17" s="66">
        <v>12</v>
      </c>
      <c r="E17" s="66" t="s">
        <v>371</v>
      </c>
      <c r="F17" s="66" t="b">
        <f>AND(F13:F14)</f>
        <v>0</v>
      </c>
    </row>
    <row r="18" spans="1:6" x14ac:dyDescent="0.25">
      <c r="A18" s="64">
        <v>1005</v>
      </c>
      <c r="B18" s="65" t="s">
        <v>305</v>
      </c>
      <c r="C18" s="64">
        <v>13</v>
      </c>
      <c r="E18" s="65" t="s">
        <v>372</v>
      </c>
      <c r="F18" s="64" t="b">
        <f>AND(F15:F16)</f>
        <v>0</v>
      </c>
    </row>
    <row r="19" spans="1:6" x14ac:dyDescent="0.25">
      <c r="A19" s="66">
        <v>1085</v>
      </c>
      <c r="B19" s="66" t="s">
        <v>306</v>
      </c>
      <c r="C19" s="66">
        <v>14</v>
      </c>
      <c r="E19" s="66" t="s">
        <v>373</v>
      </c>
      <c r="F19" s="66" t="b">
        <f>AND(NOT(F17),NOT(F18))</f>
        <v>1</v>
      </c>
    </row>
    <row r="20" spans="1:6" x14ac:dyDescent="0.25">
      <c r="A20" s="64">
        <v>1165</v>
      </c>
      <c r="B20" s="65" t="s">
        <v>307</v>
      </c>
      <c r="C20" s="64">
        <v>15</v>
      </c>
      <c r="E20" s="65" t="s">
        <v>374</v>
      </c>
      <c r="F20" s="64">
        <f>IF(F17,9,0)</f>
        <v>0</v>
      </c>
    </row>
    <row r="21" spans="1:6" x14ac:dyDescent="0.25">
      <c r="A21" s="66">
        <v>1245</v>
      </c>
      <c r="B21" s="66" t="s">
        <v>308</v>
      </c>
      <c r="C21" s="66">
        <v>16</v>
      </c>
      <c r="E21" s="66" t="s">
        <v>375</v>
      </c>
      <c r="F21" s="66">
        <f>IF(F18,7,0)</f>
        <v>0</v>
      </c>
    </row>
    <row r="22" spans="1:6" x14ac:dyDescent="0.25">
      <c r="A22" s="64">
        <v>1325</v>
      </c>
      <c r="B22" s="65" t="s">
        <v>309</v>
      </c>
      <c r="C22" s="64">
        <v>17</v>
      </c>
      <c r="E22" s="65" t="s">
        <v>333</v>
      </c>
      <c r="F22" s="64">
        <f>IF(F19,8,0)</f>
        <v>8</v>
      </c>
    </row>
    <row r="23" spans="1:6" x14ac:dyDescent="0.25">
      <c r="A23" s="66">
        <v>1405</v>
      </c>
      <c r="B23" s="66" t="s">
        <v>310</v>
      </c>
      <c r="C23" s="66">
        <v>18</v>
      </c>
      <c r="E23" s="66" t="s">
        <v>334</v>
      </c>
      <c r="F23" s="66">
        <f>MAX(F20:F22)</f>
        <v>8</v>
      </c>
    </row>
    <row r="24" spans="1:6" x14ac:dyDescent="0.25">
      <c r="A24" s="64">
        <v>1485</v>
      </c>
      <c r="B24" s="65" t="s">
        <v>311</v>
      </c>
      <c r="C24" s="64">
        <v>19</v>
      </c>
    </row>
    <row r="25" spans="1:6" x14ac:dyDescent="0.25">
      <c r="A25" s="66">
        <v>1565</v>
      </c>
      <c r="B25" s="66" t="s">
        <v>312</v>
      </c>
      <c r="C25" s="66">
        <v>20</v>
      </c>
      <c r="E25" s="653" t="s">
        <v>31</v>
      </c>
      <c r="F25" s="654"/>
    </row>
    <row r="26" spans="1:6" x14ac:dyDescent="0.25">
      <c r="A26" s="64">
        <v>1645</v>
      </c>
      <c r="B26" s="65" t="s">
        <v>313</v>
      </c>
      <c r="C26" s="64">
        <v>21</v>
      </c>
      <c r="E26" s="67" t="s">
        <v>1052</v>
      </c>
      <c r="F26" s="66">
        <f>(EDU+STR)*2</f>
        <v>0</v>
      </c>
    </row>
    <row r="27" spans="1:6" x14ac:dyDescent="0.25">
      <c r="A27" s="66">
        <v>1725</v>
      </c>
      <c r="B27" s="66" t="s">
        <v>314</v>
      </c>
      <c r="C27" s="66">
        <v>22</v>
      </c>
      <c r="E27" s="68" t="s">
        <v>1053</v>
      </c>
      <c r="F27" s="64">
        <f>(EDU+DEX)*2</f>
        <v>0</v>
      </c>
    </row>
    <row r="28" spans="1:6" x14ac:dyDescent="0.25">
      <c r="A28" s="64">
        <v>1805</v>
      </c>
      <c r="B28" s="65" t="s">
        <v>315</v>
      </c>
      <c r="C28" s="64">
        <v>23</v>
      </c>
      <c r="E28" s="67" t="s">
        <v>1054</v>
      </c>
      <c r="F28" s="66">
        <f>(EDU+APP)*2</f>
        <v>0</v>
      </c>
    </row>
    <row r="29" spans="1:6" x14ac:dyDescent="0.25">
      <c r="A29" s="66">
        <v>1885</v>
      </c>
      <c r="B29" s="66" t="s">
        <v>316</v>
      </c>
      <c r="C29" s="66">
        <v>24</v>
      </c>
      <c r="E29" s="68" t="s">
        <v>1055</v>
      </c>
      <c r="F29" s="64">
        <f>(EDU+POW)*2</f>
        <v>0</v>
      </c>
    </row>
    <row r="30" spans="1:6" x14ac:dyDescent="0.25">
      <c r="A30" s="64">
        <v>1965</v>
      </c>
      <c r="B30" s="65" t="s">
        <v>317</v>
      </c>
      <c r="C30" s="64">
        <v>25</v>
      </c>
      <c r="E30" s="67" t="s">
        <v>1056</v>
      </c>
      <c r="F30" s="66">
        <f>(EDU+INT)*2</f>
        <v>0</v>
      </c>
    </row>
    <row r="31" spans="1:6" x14ac:dyDescent="0.25">
      <c r="A31" s="66">
        <v>2045</v>
      </c>
      <c r="B31" s="66" t="s">
        <v>318</v>
      </c>
      <c r="C31" s="66">
        <v>26</v>
      </c>
      <c r="E31" s="68" t="s">
        <v>1051</v>
      </c>
      <c r="F31" s="64">
        <f>EDU*4</f>
        <v>0</v>
      </c>
    </row>
    <row r="32" spans="1:6" x14ac:dyDescent="0.25">
      <c r="A32" s="64">
        <v>2125</v>
      </c>
      <c r="B32" s="65" t="s">
        <v>319</v>
      </c>
      <c r="C32" s="64">
        <v>27</v>
      </c>
    </row>
    <row r="33" spans="5:6" x14ac:dyDescent="0.25">
      <c r="E33" s="653" t="s">
        <v>951</v>
      </c>
      <c r="F33" s="654"/>
    </row>
    <row r="34" spans="5:6" x14ac:dyDescent="0.25">
      <c r="E34" s="91">
        <v>15</v>
      </c>
      <c r="F34" s="66" t="s">
        <v>952</v>
      </c>
    </row>
    <row r="35" spans="5:6" x14ac:dyDescent="0.25">
      <c r="E35" s="90">
        <v>20</v>
      </c>
      <c r="F35" s="64" t="s">
        <v>953</v>
      </c>
    </row>
    <row r="36" spans="5:6" x14ac:dyDescent="0.25">
      <c r="E36" s="91">
        <v>40</v>
      </c>
      <c r="F36" s="66" t="s">
        <v>954</v>
      </c>
    </row>
    <row r="37" spans="5:6" x14ac:dyDescent="0.25">
      <c r="E37" s="90">
        <v>50</v>
      </c>
      <c r="F37" s="64" t="s">
        <v>955</v>
      </c>
    </row>
    <row r="38" spans="5:6" x14ac:dyDescent="0.25">
      <c r="E38" s="91">
        <v>60</v>
      </c>
      <c r="F38" s="66" t="s">
        <v>956</v>
      </c>
    </row>
    <row r="39" spans="5:6" x14ac:dyDescent="0.25">
      <c r="E39" s="90">
        <v>70</v>
      </c>
      <c r="F39" s="64" t="s">
        <v>957</v>
      </c>
    </row>
    <row r="40" spans="5:6" x14ac:dyDescent="0.25">
      <c r="E40" s="91">
        <v>80</v>
      </c>
      <c r="F40" s="66" t="s">
        <v>958</v>
      </c>
    </row>
  </sheetData>
  <sheetProtection algorithmName="SHA-512" hashValue="xtxWCvqV9E0cZZR8Sc92Wrc3hHZfn21F9JXoo2NJLAxB969mYEY232/rZrYf+4ar55/HpDEACP8fLCOVAPtQew==" saltValue="iHf4nQ9tpJJ92KRf+uvw7g==" spinCount="100000" sheet="1" objects="1" scenarios="1" selectLockedCells="1" selectUnlockedCells="1"/>
  <mergeCells count="6">
    <mergeCell ref="E33:F33"/>
    <mergeCell ref="K1:L1"/>
    <mergeCell ref="E9:F9"/>
    <mergeCell ref="E25:F25"/>
    <mergeCell ref="H1:I1"/>
    <mergeCell ref="H6:I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36</vt:i4>
      </vt:variant>
    </vt:vector>
  </HeadingPairs>
  <TitlesOfParts>
    <vt:vector size="46" baseType="lpstr">
      <vt:lpstr>创建调查员</vt:lpstr>
      <vt:lpstr>角色卡</vt:lpstr>
      <vt:lpstr>角色卡模板</vt:lpstr>
      <vt:lpstr>技能专攻</vt:lpstr>
      <vt:lpstr>职业列表</vt:lpstr>
      <vt:lpstr>扩展资源</vt:lpstr>
      <vt:lpstr>资产对照表</vt:lpstr>
      <vt:lpstr>掷骰</vt:lpstr>
      <vt:lpstr>txt输出</vt:lpstr>
      <vt:lpstr>附表</vt:lpstr>
      <vt:lpstr>Age</vt:lpstr>
      <vt:lpstr>APP</vt:lpstr>
      <vt:lpstr>Assets</vt:lpstr>
      <vt:lpstr>Build</vt:lpstr>
      <vt:lpstr>CON</vt:lpstr>
      <vt:lpstr>CthulhuMythos</vt:lpstr>
      <vt:lpstr>DB</vt:lpstr>
      <vt:lpstr>DEX</vt:lpstr>
      <vt:lpstr>Dodge</vt:lpstr>
      <vt:lpstr>EDU</vt:lpstr>
      <vt:lpstr>Gear</vt:lpstr>
      <vt:lpstr>HP</vt:lpstr>
      <vt:lpstr>HPmax</vt:lpstr>
      <vt:lpstr>INT</vt:lpstr>
      <vt:lpstr>Luck</vt:lpstr>
      <vt:lpstr>MOV</vt:lpstr>
      <vt:lpstr>MOV_main</vt:lpstr>
      <vt:lpstr>MP</vt:lpstr>
      <vt:lpstr>MPmax</vt:lpstr>
      <vt:lpstr>OccNo</vt:lpstr>
      <vt:lpstr>POW</vt:lpstr>
      <vt:lpstr>Pulp_Switch</vt:lpstr>
      <vt:lpstr>SAN</vt:lpstr>
      <vt:lpstr>SIZ</vt:lpstr>
      <vt:lpstr>STR</vt:lpstr>
      <vt:lpstr>weapon</vt:lpstr>
      <vt:lpstr>常规技能</vt:lpstr>
      <vt:lpstr>格斗技能</vt:lpstr>
      <vt:lpstr>角色卡模板</vt:lpstr>
      <vt:lpstr>角色卡模板!模板名称</vt:lpstr>
      <vt:lpstr>模板选择</vt:lpstr>
      <vt:lpstr>射击技能</vt:lpstr>
      <vt:lpstr>天赋</vt:lpstr>
      <vt:lpstr>英雄类型</vt:lpstr>
      <vt:lpstr>职业列表</vt:lpstr>
      <vt:lpstr>总括技能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 半自动计算人物卡</dc:title>
  <dc:creator>秋叶EXODUS</dc:creator>
  <cp:lastModifiedBy>莫 亦</cp:lastModifiedBy>
  <cp:lastPrinted>2021-01-31T16:21:44Z</cp:lastPrinted>
  <dcterms:created xsi:type="dcterms:W3CDTF">2015-07-06T01:28:16Z</dcterms:created>
  <dcterms:modified xsi:type="dcterms:W3CDTF">2021-03-16T11:31:04Z</dcterms:modified>
</cp:coreProperties>
</file>