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xrli/Desktop/BA 2002/Week8 0411 Business Dev/"/>
    </mc:Choice>
  </mc:AlternateContent>
  <xr:revisionPtr revIDLastSave="0" documentId="13_ncr:1_{0E3DFF0C-EB50-9645-A90C-388A59074626}" xr6:coauthVersionLast="45" xr6:coauthVersionMax="45" xr10:uidLastSave="{00000000-0000-0000-0000-000000000000}"/>
  <bookViews>
    <workbookView xWindow="1940" yWindow="3220" windowWidth="21720" windowHeight="15540" activeTab="1" xr2:uid="{00000000-000D-0000-FFFF-FFFF00000000}"/>
  </bookViews>
  <sheets>
    <sheet name="Pricing Exercise" sheetId="1" r:id="rId1"/>
    <sheet name="Analysis" sheetId="3" r:id="rId2"/>
    <sheet name="Price Elasticity-Temp" sheetId="2" state="hidden" r:id="rId3"/>
    <sheet name="Income Statement" sheetId="4" r:id="rId4"/>
  </sheets>
  <definedNames>
    <definedName name="_xlnm.Print_Area" localSheetId="0">'Pricing Exercise'!$A$1:$J$39</definedName>
    <definedName name="solver_adj" localSheetId="1" hidden="1">Analysis!$G$3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Analysis!$G$3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Analysis!$G$4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35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3" l="1"/>
  <c r="G5" i="3"/>
  <c r="F7" i="3" l="1"/>
  <c r="L4" i="3" l="1"/>
  <c r="F14" i="3" l="1"/>
  <c r="F1" i="4"/>
  <c r="G10" i="3"/>
  <c r="F3" i="4" s="1"/>
  <c r="H10" i="3"/>
  <c r="F3" i="3"/>
  <c r="B21" i="3"/>
  <c r="B23" i="3"/>
  <c r="F5" i="3" s="1"/>
  <c r="F4" i="3"/>
  <c r="H3" i="3"/>
  <c r="C49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5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F5" i="4"/>
  <c r="C16" i="4"/>
  <c r="C17" i="4"/>
  <c r="D16" i="4"/>
  <c r="D17" i="4"/>
  <c r="E16" i="4"/>
  <c r="E17" i="4"/>
  <c r="F16" i="4"/>
  <c r="F17" i="4"/>
  <c r="B16" i="4"/>
  <c r="B17" i="4"/>
  <c r="H3" i="2"/>
  <c r="G3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E15" i="2"/>
  <c r="E14" i="2"/>
  <c r="K14" i="2" s="1"/>
  <c r="H22" i="2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H14" i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C33" i="1"/>
  <c r="N15" i="2" l="1"/>
  <c r="B5" i="3"/>
  <c r="B6" i="3" s="1"/>
  <c r="H15" i="2"/>
  <c r="K15" i="2"/>
  <c r="G15" i="2"/>
  <c r="F6" i="3"/>
  <c r="B10" i="3" s="1"/>
  <c r="B11" i="3" s="1"/>
  <c r="V15" i="2"/>
  <c r="R14" i="2"/>
  <c r="U15" i="2"/>
  <c r="J15" i="2"/>
  <c r="Q14" i="2"/>
  <c r="T15" i="2"/>
  <c r="P14" i="2"/>
  <c r="S15" i="2"/>
  <c r="Z14" i="2"/>
  <c r="O14" i="2"/>
  <c r="G14" i="2"/>
  <c r="R15" i="2"/>
  <c r="Y14" i="2"/>
  <c r="L14" i="2"/>
  <c r="T14" i="2"/>
  <c r="N14" i="2"/>
  <c r="V14" i="2"/>
  <c r="M14" i="2"/>
  <c r="U14" i="2"/>
  <c r="X14" i="2"/>
  <c r="J14" i="2"/>
  <c r="I15" i="2"/>
  <c r="O15" i="2"/>
  <c r="W15" i="2"/>
  <c r="P15" i="2"/>
  <c r="X15" i="2"/>
  <c r="Q15" i="2"/>
  <c r="Y15" i="2"/>
  <c r="M15" i="2"/>
  <c r="W14" i="2"/>
  <c r="I14" i="2"/>
  <c r="Z15" i="2"/>
  <c r="L15" i="2"/>
  <c r="S14" i="2"/>
  <c r="H14" i="2"/>
  <c r="F8" i="3" l="1"/>
  <c r="G7" i="3"/>
  <c r="F9" i="3"/>
  <c r="F2" i="4"/>
  <c r="B11" i="4" s="1"/>
  <c r="G4" i="3"/>
  <c r="H4" i="3" s="1"/>
  <c r="H5" i="3"/>
  <c r="G6" i="3"/>
  <c r="G4" i="2" a="1"/>
  <c r="R6" i="2" l="1"/>
  <c r="Y7" i="2"/>
  <c r="U4" i="2"/>
  <c r="U9" i="2" s="1"/>
  <c r="X7" i="2"/>
  <c r="L6" i="2"/>
  <c r="T4" i="2"/>
  <c r="J7" i="2"/>
  <c r="J4" i="2"/>
  <c r="I6" i="2"/>
  <c r="K8" i="2"/>
  <c r="S6" i="2"/>
  <c r="G5" i="2"/>
  <c r="J6" i="2"/>
  <c r="Q7" i="2"/>
  <c r="Q4" i="2"/>
  <c r="Q9" i="2" s="1"/>
  <c r="T7" i="2"/>
  <c r="H6" i="2"/>
  <c r="P4" i="2"/>
  <c r="V6" i="2"/>
  <c r="Y8" i="2"/>
  <c r="U5" i="2"/>
  <c r="G8" i="2"/>
  <c r="O6" i="2"/>
  <c r="W4" i="2"/>
  <c r="G4" i="2"/>
  <c r="Z8" i="2"/>
  <c r="V5" i="2"/>
  <c r="I7" i="2"/>
  <c r="I4" i="2"/>
  <c r="P7" i="2"/>
  <c r="X5" i="2"/>
  <c r="L4" i="2"/>
  <c r="L9" i="2" s="1"/>
  <c r="N6" i="2"/>
  <c r="Q8" i="2"/>
  <c r="M5" i="2"/>
  <c r="W7" i="2"/>
  <c r="K6" i="2"/>
  <c r="S4" i="2"/>
  <c r="T5" i="2"/>
  <c r="U6" i="2"/>
  <c r="S7" i="2"/>
  <c r="H8" i="2"/>
  <c r="Y6" i="2"/>
  <c r="Z6" i="2"/>
  <c r="Y5" i="2"/>
  <c r="L7" i="2"/>
  <c r="H5" i="2"/>
  <c r="R5" i="2"/>
  <c r="Q6" i="2"/>
  <c r="K7" i="2"/>
  <c r="O4" i="2"/>
  <c r="O9" i="2" s="1"/>
  <c r="J5" i="2"/>
  <c r="Q5" i="2"/>
  <c r="H7" i="2"/>
  <c r="X4" i="2"/>
  <c r="X9" i="2" s="1"/>
  <c r="N5" i="2"/>
  <c r="Y4" i="2"/>
  <c r="G7" i="2"/>
  <c r="K4" i="2"/>
  <c r="K9" i="2" s="1"/>
  <c r="V4" i="2"/>
  <c r="I5" i="2"/>
  <c r="X6" i="2"/>
  <c r="H4" i="2"/>
  <c r="H9" i="2" s="1"/>
  <c r="M4" i="2"/>
  <c r="M9" i="2" s="1"/>
  <c r="N4" i="2"/>
  <c r="X8" i="2"/>
  <c r="T6" i="2"/>
  <c r="V8" i="2"/>
  <c r="R4" i="2"/>
  <c r="W8" i="2"/>
  <c r="G6" i="2"/>
  <c r="U8" i="2"/>
  <c r="T8" i="2"/>
  <c r="N8" i="2"/>
  <c r="S8" i="2"/>
  <c r="W5" i="2"/>
  <c r="J8" i="2"/>
  <c r="P8" i="2"/>
  <c r="Z7" i="2"/>
  <c r="O8" i="2"/>
  <c r="S5" i="2"/>
  <c r="L8" i="2"/>
  <c r="P5" i="2"/>
  <c r="M7" i="2"/>
  <c r="O5" i="2"/>
  <c r="N7" i="2"/>
  <c r="M6" i="2"/>
  <c r="Z5" i="2"/>
  <c r="K5" i="2"/>
  <c r="W6" i="2"/>
  <c r="R8" i="2"/>
  <c r="P6" i="2"/>
  <c r="I8" i="2"/>
  <c r="M8" i="2"/>
  <c r="U7" i="2"/>
  <c r="V7" i="2"/>
  <c r="R7" i="2"/>
  <c r="L5" i="2"/>
  <c r="O7" i="2"/>
  <c r="Z4" i="2"/>
  <c r="H6" i="3"/>
  <c r="C11" i="4"/>
  <c r="B20" i="4"/>
  <c r="B10" i="4"/>
  <c r="B19" i="4"/>
  <c r="S9" i="2" l="1"/>
  <c r="W9" i="2"/>
  <c r="J9" i="2"/>
  <c r="C20" i="4"/>
  <c r="D11" i="4"/>
  <c r="C10" i="4"/>
  <c r="C19" i="4"/>
  <c r="G8" i="3"/>
  <c r="H8" i="3" s="1"/>
  <c r="G9" i="3"/>
  <c r="H9" i="3" s="1"/>
  <c r="H7" i="3"/>
  <c r="T9" i="2"/>
  <c r="R9" i="2"/>
  <c r="I9" i="2"/>
  <c r="Z9" i="2"/>
  <c r="V9" i="2"/>
  <c r="P9" i="2"/>
  <c r="B13" i="4"/>
  <c r="B18" i="4"/>
  <c r="B22" i="4" s="1"/>
  <c r="N9" i="2"/>
  <c r="Y9" i="2"/>
  <c r="G9" i="2"/>
  <c r="B25" i="4" l="1"/>
  <c r="B26" i="4" s="1"/>
  <c r="B27" i="4"/>
  <c r="B28" i="4" s="1"/>
  <c r="C13" i="4"/>
  <c r="C18" i="4"/>
  <c r="C22" i="4" s="1"/>
  <c r="D20" i="4"/>
  <c r="D10" i="4"/>
  <c r="E11" i="4"/>
  <c r="D19" i="4"/>
  <c r="E10" i="4" l="1"/>
  <c r="E20" i="4"/>
  <c r="F11" i="4"/>
  <c r="E19" i="4"/>
  <c r="D13" i="4"/>
  <c r="D18" i="4"/>
  <c r="D22" i="4" s="1"/>
  <c r="C25" i="4"/>
  <c r="C26" i="4" s="1"/>
  <c r="C27" i="4"/>
  <c r="C28" i="4" s="1"/>
  <c r="D25" i="4" l="1"/>
  <c r="D26" i="4" s="1"/>
  <c r="D27" i="4"/>
  <c r="D28" i="4" s="1"/>
  <c r="F10" i="4"/>
  <c r="F20" i="4"/>
  <c r="F19" i="4"/>
  <c r="E13" i="4"/>
  <c r="E18" i="4"/>
  <c r="E22" i="4" s="1"/>
  <c r="E25" i="4" l="1"/>
  <c r="E26" i="4" s="1"/>
  <c r="E27" i="4"/>
  <c r="E28" i="4" s="1"/>
  <c r="F13" i="4"/>
  <c r="F18" i="4"/>
  <c r="F22" i="4" s="1"/>
  <c r="F27" i="4" l="1"/>
  <c r="F28" i="4" s="1"/>
  <c r="F25" i="4"/>
  <c r="F26" i="4" s="1"/>
</calcChain>
</file>

<file path=xl/sharedStrings.xml><?xml version="1.0" encoding="utf-8"?>
<sst xmlns="http://schemas.openxmlformats.org/spreadsheetml/2006/main" count="169" uniqueCount="146">
  <si>
    <t>R&amp;D Costs</t>
  </si>
  <si>
    <t>Selling Cost</t>
  </si>
  <si>
    <t>see table</t>
  </si>
  <si>
    <t>Manufacturing Plant Cost</t>
  </si>
  <si>
    <t>Cost to produce each unit</t>
  </si>
  <si>
    <t>Fixed Corporate Overhead</t>
  </si>
  <si>
    <t>Product X</t>
  </si>
  <si>
    <t>Product Y</t>
  </si>
  <si>
    <t>Product Z</t>
  </si>
  <si>
    <t>Competitor Pricing Data</t>
  </si>
  <si>
    <t>10% of revenue</t>
  </si>
  <si>
    <t>Costs for myProd</t>
  </si>
  <si>
    <t xml:space="preserve">Per unit production cost of myProd </t>
  </si>
  <si>
    <t>$2 per unit</t>
  </si>
  <si>
    <t>Other Data</t>
  </si>
  <si>
    <t>Market Size</t>
  </si>
  <si>
    <t>$2B</t>
  </si>
  <si>
    <t>CAGR</t>
  </si>
  <si>
    <t>Based on the data and situation above:</t>
  </si>
  <si>
    <t>myProd Growth Rate</t>
  </si>
  <si>
    <t>myProd Market Share</t>
  </si>
  <si>
    <t>2. Build a pricing income statement and do the margin analysis</t>
  </si>
  <si>
    <t>Price</t>
  </si>
  <si>
    <t>Market Price Elasticity</t>
  </si>
  <si>
    <t>Marketing Costs</t>
  </si>
  <si>
    <t>DATA</t>
  </si>
  <si>
    <t>SITUATION</t>
  </si>
  <si>
    <t>OBJECTIVE</t>
  </si>
  <si>
    <t xml:space="preserve">myProd is an established product in the market but it has been losing market-share to its competitors. </t>
  </si>
  <si>
    <t>Product X has comparable features and quality to myProd but has a better marketplace reputation</t>
  </si>
  <si>
    <t>myProd has more features than Product Z but is also known to be harder to use.</t>
  </si>
  <si>
    <t>Product Y is weakest on features among all products  but has a very loyal customer base.</t>
  </si>
  <si>
    <t>NOTE: Data provided above might be incomplete or illustrative. Please make any assumptions neseccary and state them</t>
  </si>
  <si>
    <t>1. Review price for myProd, adjust if necessary and justify any changes</t>
  </si>
  <si>
    <t>myProd</t>
  </si>
  <si>
    <t>3. Carry out any other necessary analysis to support the price</t>
  </si>
  <si>
    <t>Quantity (000s)</t>
  </si>
  <si>
    <t>$50M</t>
  </si>
  <si>
    <t>$2.5M</t>
  </si>
  <si>
    <t>$2M per year</t>
  </si>
  <si>
    <t>1-5,999</t>
  </si>
  <si>
    <t>6,000-11,999</t>
  </si>
  <si>
    <t>12000-17,999</t>
  </si>
  <si>
    <t>18,000+</t>
  </si>
  <si>
    <t>Quantity</t>
  </si>
  <si>
    <t>Retail Price</t>
  </si>
  <si>
    <t>Data</t>
  </si>
  <si>
    <t>Variable Type</t>
  </si>
  <si>
    <t>VIF</t>
  </si>
  <si>
    <t>T</t>
  </si>
  <si>
    <t>Coeff</t>
  </si>
  <si>
    <t>Index</t>
  </si>
  <si>
    <t>Variables</t>
  </si>
  <si>
    <t>Index --&gt;</t>
  </si>
  <si>
    <t>Variables --&gt;</t>
  </si>
  <si>
    <t>SE</t>
  </si>
  <si>
    <t>R^2</t>
  </si>
  <si>
    <t>SS</t>
  </si>
  <si>
    <t>Std Dev</t>
  </si>
  <si>
    <t>Fixed Costs</t>
  </si>
  <si>
    <t>Units</t>
  </si>
  <si>
    <t>Revenue</t>
  </si>
  <si>
    <t>Fixed Corporate Over Head Cost</t>
  </si>
  <si>
    <t>Variable Cost</t>
  </si>
  <si>
    <t>Marketing Cost/Unit</t>
  </si>
  <si>
    <t>Total Fixed Cost</t>
  </si>
  <si>
    <t>Current</t>
  </si>
  <si>
    <t>Elasticity</t>
  </si>
  <si>
    <t>Manufacturing Cost</t>
  </si>
  <si>
    <t>Total Variable Cost</t>
  </si>
  <si>
    <t>Avg Cost/Unit</t>
  </si>
  <si>
    <t>Margin Per Unit</t>
  </si>
  <si>
    <t>dd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</si>
  <si>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</si>
  <si>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</si>
  <si>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</si>
  <si>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</si>
  <si>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</si>
  <si>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</si>
  <si>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</si>
  <si>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</si>
  <si>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</si>
  <si>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</si>
  <si>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</si>
  <si>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</si>
  <si>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</si>
  <si>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</si>
  <si>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</si>
  <si>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</si>
  <si>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</si>
  <si>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</si>
  <si>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</si>
  <si>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</si>
  <si>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</si>
  <si>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</si>
  <si>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</si>
  <si>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MyProd Market Share</t>
  </si>
  <si>
    <t>MyProd Revenue</t>
  </si>
  <si>
    <t>Current Retail Price</t>
  </si>
  <si>
    <t>Volume</t>
  </si>
  <si>
    <t>Margin %</t>
  </si>
  <si>
    <t>Quanity</t>
  </si>
  <si>
    <t>Company</t>
  </si>
  <si>
    <t>XYZ</t>
  </si>
  <si>
    <t>Product Line</t>
  </si>
  <si>
    <t>Document Type</t>
  </si>
  <si>
    <t>Income Statement</t>
  </si>
  <si>
    <t>Year 1</t>
  </si>
  <si>
    <t>Year 2</t>
  </si>
  <si>
    <t>Year 3</t>
  </si>
  <si>
    <t>Year 4</t>
  </si>
  <si>
    <t>Year 5</t>
  </si>
  <si>
    <t>Sales Revenue</t>
  </si>
  <si>
    <t>Recommended Price</t>
  </si>
  <si>
    <t>Formula in Cell</t>
  </si>
  <si>
    <t>Recommendation</t>
  </si>
  <si>
    <t>Total Revenue</t>
  </si>
  <si>
    <t>Expenses</t>
  </si>
  <si>
    <t>Corporate Overhead Cost</t>
  </si>
  <si>
    <t>Selling Expense As % of Revenue</t>
  </si>
  <si>
    <t>Plant Cost</t>
  </si>
  <si>
    <t>Marketing Cost</t>
  </si>
  <si>
    <t>Marketing Cost Per Unit</t>
  </si>
  <si>
    <t>Total Expense</t>
  </si>
  <si>
    <t>Profit</t>
  </si>
  <si>
    <t>Operating Profit</t>
  </si>
  <si>
    <t>Operating Margin</t>
  </si>
  <si>
    <t>Gross Profit</t>
  </si>
  <si>
    <t>Legend</t>
  </si>
  <si>
    <t>Constant Data in Cell</t>
  </si>
  <si>
    <t>R&amp;D Cost*</t>
  </si>
  <si>
    <t>Gross Margin</t>
  </si>
  <si>
    <t>Cost Analysis</t>
  </si>
  <si>
    <t>RESIDUAL OUTPUT</t>
  </si>
  <si>
    <t>Observation</t>
  </si>
  <si>
    <t>Predicted Quanity</t>
  </si>
  <si>
    <t>Residuals</t>
  </si>
  <si>
    <t>Elasticity Calculations</t>
  </si>
  <si>
    <t>% Change</t>
  </si>
  <si>
    <t>Regression Analysis Output</t>
  </si>
  <si>
    <t>% Change in Volume with % Change in Price</t>
  </si>
  <si>
    <t>* R&amp;D cost has been expensed in year 1, rather than amortizing it over a peiod of time</t>
  </si>
  <si>
    <t>Elasticity at Recommended Price</t>
  </si>
  <si>
    <t>(CAGR%+1)^No. Of Years*Initial mount</t>
  </si>
  <si>
    <t>(Last  No./FirstNo.)^(1/Period)-1</t>
  </si>
  <si>
    <t>Market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</si>
</sst>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_(* #,##0_);_(* \(#,##0\);_(* &quot;-&quot;??_);_(@_)"/>
    <numFmt numFmtId="168" formatCode="_(&quot;$&quot;* #,##0_);_(&quot;$&quot;* \(#,##0\);_(&quot;$&quot;* &quot;-&quot;??_);_(@_)"/>
    <numFmt numFmtId="169" formatCode="#,##0;[Red]#,##0"/>
    <numFmt numFmtId="170" formatCode="0.0000"/>
    <numFmt numFmtId="171" formatCode="&quot;$&quot;#,##0.00"/>
    <numFmt numFmtId="172" formatCode="&quot;$&quot;#,##0;[Red]&quot;$&quot;#,##0"/>
    <numFmt numFmtId="173" formatCode="0.0%"/>
    <numFmt numFmtId="174" formatCode="0.000%"/>
    <numFmt numFmtId="175" formatCode="#,##0.00;[Red]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0000CC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DE75"/>
        <bgColor indexed="64"/>
      </patternFill>
    </fill>
    <fill>
      <patternFill patternType="solid">
        <fgColor rgb="FFFFFF00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ashDot">
        <color theme="0" tint="-0.34998626667073579"/>
      </left>
      <right style="dashDot">
        <color theme="0" tint="-0.34998626667073579"/>
      </right>
      <top style="dashDot">
        <color theme="0" tint="-0.34998626667073579"/>
      </top>
      <bottom style="dashDot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ashDot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ashDot">
        <color theme="0" tint="-0.34998626667073579"/>
      </top>
      <bottom style="dashDot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ashDot">
        <color theme="0" tint="-0.34998626667073579"/>
      </top>
      <bottom style="medium">
        <color theme="0" tint="-0.34998626667073579"/>
      </bottom>
      <diagonal/>
    </border>
    <border>
      <left style="dashDot">
        <color theme="0" tint="-0.34998626667073579"/>
      </left>
      <right style="dashDot">
        <color theme="0" tint="-0.34998626667073579"/>
      </right>
      <top/>
      <bottom style="dashDot">
        <color theme="0" tint="-0.34998626667073579"/>
      </bottom>
      <diagonal/>
    </border>
    <border>
      <left style="medium">
        <color theme="0" tint="-0.34998626667073579"/>
      </left>
      <right style="dashDot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dashDot">
        <color theme="0" tint="-0.34998626667073579"/>
      </left>
      <right style="dashDot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dashDot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dashDot">
        <color theme="0" tint="-0.34998626667073579"/>
      </right>
      <top/>
      <bottom style="dashDot">
        <color theme="0" tint="-0.34998626667073579"/>
      </bottom>
      <diagonal/>
    </border>
    <border>
      <left/>
      <right style="dashDot">
        <color theme="0" tint="-0.34998626667073579"/>
      </right>
      <top style="dashDot">
        <color theme="0" tint="-0.34998626667073579"/>
      </top>
      <bottom style="dashDot">
        <color theme="0" tint="-0.34998626667073579"/>
      </bottom>
      <diagonal/>
    </border>
    <border>
      <left style="dashDotDot">
        <color theme="0" tint="-0.34998626667073579"/>
      </left>
      <right style="dashDotDot">
        <color theme="0" tint="-0.34998626667073579"/>
      </right>
      <top style="dashDotDot">
        <color theme="0" tint="-0.34998626667073579"/>
      </top>
      <bottom style="dashDotDot">
        <color theme="0" tint="-0.34998626667073579"/>
      </bottom>
      <diagonal/>
    </border>
    <border>
      <left style="medium">
        <color theme="0" tint="-0.34998626667073579"/>
      </left>
      <right style="dashDotDot">
        <color theme="0" tint="-0.34998626667073579"/>
      </right>
      <top style="medium">
        <color theme="0" tint="-0.34998626667073579"/>
      </top>
      <bottom style="dashDotDot">
        <color theme="0" tint="-0.34998626667073579"/>
      </bottom>
      <diagonal/>
    </border>
    <border>
      <left style="dashDotDot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ashDotDot">
        <color theme="0" tint="-0.34998626667073579"/>
      </bottom>
      <diagonal/>
    </border>
    <border>
      <left style="medium">
        <color theme="0" tint="-0.34998626667073579"/>
      </left>
      <right style="dashDotDot">
        <color theme="0" tint="-0.34998626667073579"/>
      </right>
      <top style="dashDotDot">
        <color theme="0" tint="-0.34998626667073579"/>
      </top>
      <bottom style="dashDotDot">
        <color theme="0" tint="-0.34998626667073579"/>
      </bottom>
      <diagonal/>
    </border>
    <border>
      <left style="dashDotDot">
        <color theme="0" tint="-0.34998626667073579"/>
      </left>
      <right style="medium">
        <color theme="0" tint="-0.34998626667073579"/>
      </right>
      <top style="dashDotDot">
        <color theme="0" tint="-0.34998626667073579"/>
      </top>
      <bottom style="dashDotDot">
        <color theme="0" tint="-0.34998626667073579"/>
      </bottom>
      <diagonal/>
    </border>
    <border>
      <left style="medium">
        <color theme="0" tint="-0.34998626667073579"/>
      </left>
      <right style="dashDotDot">
        <color theme="0" tint="-0.34998626667073579"/>
      </right>
      <top style="dashDotDot">
        <color theme="0" tint="-0.34998626667073579"/>
      </top>
      <bottom style="medium">
        <color theme="0" tint="-0.34998626667073579"/>
      </bottom>
      <diagonal/>
    </border>
    <border>
      <left style="dashDotDot">
        <color theme="0" tint="-0.34998626667073579"/>
      </left>
      <right style="medium">
        <color theme="0" tint="-0.34998626667073579"/>
      </right>
      <top style="dashDotDot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dashDotDot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dashDotDot">
        <color theme="0" tint="-0.34998626667073579"/>
      </left>
      <right style="dashDotDot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dashDotDot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dashDotDot">
        <color theme="0" tint="-0.34998626667073579"/>
      </left>
      <right style="dashDotDot">
        <color theme="0" tint="-0.34998626667073579"/>
      </right>
      <top style="medium">
        <color theme="0" tint="-0.34998626667073579"/>
      </top>
      <bottom style="dashDotDot">
        <color theme="0" tint="-0.34998626667073579"/>
      </bottom>
      <diagonal/>
    </border>
    <border>
      <left style="dashDotDot">
        <color theme="0" tint="-0.34998626667073579"/>
      </left>
      <right style="dashDotDot">
        <color theme="0" tint="-0.34998626667073579"/>
      </right>
      <top style="dashDotDot">
        <color theme="0" tint="-0.34998626667073579"/>
      </top>
      <bottom style="medium">
        <color theme="0" tint="-0.34998626667073579"/>
      </bottom>
      <diagonal/>
    </border>
    <border>
      <left/>
      <right style="dashDotDot">
        <color theme="0" tint="-0.34998626667073579"/>
      </right>
      <top style="dashDotDot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 style="medium">
        <color theme="0" tint="-0.34998626667073579"/>
      </left>
      <right style="dashDotDot">
        <color theme="0" tint="-0.34998626667073579"/>
      </right>
      <top/>
      <bottom style="dashDotDot">
        <color theme="0" tint="-0.34998626667073579"/>
      </bottom>
      <diagonal/>
    </border>
    <border>
      <left style="dashDotDot">
        <color theme="0" tint="-0.34998626667073579"/>
      </left>
      <right style="dashDotDot">
        <color theme="0" tint="-0.34998626667073579"/>
      </right>
      <top/>
      <bottom style="dashDotDot">
        <color theme="0" tint="-0.34998626667073579"/>
      </bottom>
      <diagonal/>
    </border>
    <border>
      <left style="dashDotDot">
        <color theme="0" tint="-0.34998626667073579"/>
      </left>
      <right style="medium">
        <color theme="0" tint="-0.34998626667073579"/>
      </right>
      <top/>
      <bottom style="dashDotDot">
        <color theme="0" tint="-0.34998626667073579"/>
      </bottom>
      <diagonal/>
    </border>
    <border>
      <left/>
      <right style="dashDotDot">
        <color theme="0" tint="-0.34998626667073579"/>
      </right>
      <top/>
      <bottom style="dashDotDot">
        <color theme="0" tint="-0.34998626667073579"/>
      </bottom>
      <diagonal/>
    </border>
    <border>
      <left/>
      <right style="dashDotDot">
        <color theme="0" tint="-0.34998626667073579"/>
      </right>
      <top style="dashDotDot">
        <color theme="0" tint="-0.34998626667073579"/>
      </top>
      <bottom style="dashDotDot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ashDotDot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ashDotDot">
        <color theme="0" tint="-0.34998626667073579"/>
      </top>
      <bottom style="dashDotDot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ashDotDot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dashDotDot">
        <color theme="0" tint="-0.34998626667073579"/>
      </right>
      <top style="medium">
        <color theme="0" tint="-0.34998626667073579"/>
      </top>
      <bottom style="dashDotDot">
        <color theme="0" tint="-0.34998626667073579"/>
      </bottom>
      <diagonal/>
    </border>
    <border>
      <left/>
      <right style="medium">
        <color theme="0" tint="-0.34998626667073579"/>
      </right>
      <top style="dashDotDot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dashDotDot">
        <color theme="0" tint="-0.34998626667073579"/>
      </right>
      <top style="medium">
        <color theme="0" tint="-0.34998626667073579"/>
      </top>
      <bottom/>
      <diagonal/>
    </border>
    <border>
      <left style="dashDotDot">
        <color theme="0" tint="-0.34998626667073579"/>
      </left>
      <right style="dashDotDot">
        <color theme="0" tint="-0.34998626667073579"/>
      </right>
      <top style="medium">
        <color theme="0" tint="-0.34998626667073579"/>
      </top>
      <bottom/>
      <diagonal/>
    </border>
    <border>
      <left style="dashDotDot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/>
      <right style="medium">
        <color theme="0" tint="-0.34998626667073579"/>
      </right>
      <top/>
      <bottom style="double">
        <color theme="0" tint="-0.34998626667073579"/>
      </bottom>
      <diagonal/>
    </border>
    <border>
      <left style="dashDot">
        <color theme="0" tint="-0.249977111117893"/>
      </left>
      <right style="dashDot">
        <color theme="0" tint="-0.249977111117893"/>
      </right>
      <top style="dashDot">
        <color theme="0" tint="-0.249977111117893"/>
      </top>
      <bottom style="dashDot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dashDot">
        <color theme="0" tint="-0.249977111117893"/>
      </right>
      <top style="dashDot">
        <color theme="0" tint="-0.249977111117893"/>
      </top>
      <bottom style="dashDot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dashDot">
        <color theme="0" tint="-0.249977111117893"/>
      </top>
      <bottom style="dashDot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dashDot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dashDot">
        <color theme="0" tint="-0.249977111117893"/>
      </bottom>
      <diagonal/>
    </border>
    <border>
      <left/>
      <right style="dashDot">
        <color theme="0" tint="-0.249977111117893"/>
      </right>
      <top/>
      <bottom style="dashDot">
        <color theme="0" tint="-0.249977111117893"/>
      </bottom>
      <diagonal/>
    </border>
    <border>
      <left style="dashDot">
        <color theme="0" tint="-0.249977111117893"/>
      </left>
      <right style="dashDot">
        <color theme="0" tint="-0.249977111117893"/>
      </right>
      <top/>
      <bottom style="dashDot">
        <color theme="0" tint="-0.249977111117893"/>
      </bottom>
      <diagonal/>
    </border>
    <border>
      <left/>
      <right style="dashDot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dashDot">
        <color theme="0" tint="-0.249977111117893"/>
      </left>
      <right style="dashDot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dashDot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dashDot">
        <color theme="0" tint="-0.249977111117893"/>
      </left>
      <right style="medium">
        <color theme="0" tint="-0.249977111117893"/>
      </right>
      <top/>
      <bottom style="dashDot">
        <color theme="0" tint="-0.249977111117893"/>
      </bottom>
      <diagonal/>
    </border>
    <border>
      <left/>
      <right style="dashDot">
        <color theme="0" tint="-0.249977111117893"/>
      </right>
      <top style="dashDot">
        <color theme="0" tint="-0.249977111117893"/>
      </top>
      <bottom style="medium">
        <color theme="0" tint="-0.249977111117893"/>
      </bottom>
      <diagonal/>
    </border>
    <border>
      <left style="dashDot">
        <color theme="0" tint="-0.249977111117893"/>
      </left>
      <right style="dashDot">
        <color theme="0" tint="-0.249977111117893"/>
      </right>
      <top style="dashDot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dashDotDot">
        <color theme="0" tint="-0.34998626667073579"/>
      </right>
      <top style="medium">
        <color theme="0" tint="-0.249977111117893"/>
      </top>
      <bottom style="dashDotDot">
        <color theme="0" tint="-0.34998626667073579"/>
      </bottom>
      <diagonal/>
    </border>
    <border>
      <left style="dashDotDot">
        <color theme="0" tint="-0.34998626667073579"/>
      </left>
      <right style="medium">
        <color theme="0" tint="-0.249977111117893"/>
      </right>
      <top style="medium">
        <color theme="0" tint="-0.249977111117893"/>
      </top>
      <bottom style="dashDotDot">
        <color theme="0" tint="-0.34998626667073579"/>
      </bottom>
      <diagonal/>
    </border>
    <border>
      <left style="medium">
        <color theme="0" tint="-0.249977111117893"/>
      </left>
      <right style="dashDotDot">
        <color theme="0" tint="-0.34998626667073579"/>
      </right>
      <top style="dashDotDot">
        <color theme="0" tint="-0.34998626667073579"/>
      </top>
      <bottom style="dashDotDot">
        <color theme="0" tint="-0.34998626667073579"/>
      </bottom>
      <diagonal/>
    </border>
    <border>
      <left style="dashDotDot">
        <color theme="0" tint="-0.34998626667073579"/>
      </left>
      <right style="medium">
        <color theme="0" tint="-0.249977111117893"/>
      </right>
      <top style="dashDotDot">
        <color theme="0" tint="-0.34998626667073579"/>
      </top>
      <bottom style="dashDotDot">
        <color theme="0" tint="-0.34998626667073579"/>
      </bottom>
      <diagonal/>
    </border>
    <border>
      <left style="medium">
        <color theme="0" tint="-0.249977111117893"/>
      </left>
      <right style="dashDotDot">
        <color theme="0" tint="-0.34998626667073579"/>
      </right>
      <top style="dashDotDot">
        <color theme="0" tint="-0.34998626667073579"/>
      </top>
      <bottom style="medium">
        <color theme="0" tint="-0.249977111117893"/>
      </bottom>
      <diagonal/>
    </border>
    <border>
      <left style="dashDotDot">
        <color theme="0" tint="-0.34998626667073579"/>
      </left>
      <right style="medium">
        <color theme="0" tint="-0.249977111117893"/>
      </right>
      <top style="dashDotDot">
        <color theme="0" tint="-0.34998626667073579"/>
      </top>
      <bottom style="medium">
        <color theme="0" tint="-0.249977111117893"/>
      </bottom>
      <diagonal/>
    </border>
    <border>
      <left style="medium">
        <color theme="0" tint="-0.249977111117893"/>
      </left>
      <right style="dashDot">
        <color theme="0" tint="-0.249977111117893"/>
      </right>
      <top style="dashDot">
        <color theme="0" tint="-0.249977111117893"/>
      </top>
      <bottom style="dashDot">
        <color theme="0" tint="-0.249977111117893"/>
      </bottom>
      <diagonal/>
    </border>
    <border>
      <left style="dashDot">
        <color theme="0" tint="-0.249977111117893"/>
      </left>
      <right style="medium">
        <color theme="0" tint="-0.249977111117893"/>
      </right>
      <top style="dashDot">
        <color theme="0" tint="-0.249977111117893"/>
      </top>
      <bottom style="dashDot">
        <color theme="0" tint="-0.249977111117893"/>
      </bottom>
      <diagonal/>
    </border>
    <border>
      <left style="medium">
        <color theme="0" tint="-0.249977111117893"/>
      </left>
      <right style="dashDot">
        <color theme="0" tint="-0.249977111117893"/>
      </right>
      <top style="dashDot">
        <color theme="0" tint="-0.249977111117893"/>
      </top>
      <bottom style="medium">
        <color theme="0" tint="-0.249977111117893"/>
      </bottom>
      <diagonal/>
    </border>
    <border>
      <left style="dashDot">
        <color theme="0" tint="-0.249977111117893"/>
      </left>
      <right style="medium">
        <color theme="0" tint="-0.249977111117893"/>
      </right>
      <top style="dashDot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dashDot">
        <color theme="0" tint="-0.249977111117893"/>
      </right>
      <top/>
      <bottom style="dashDot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dashDot">
        <color theme="0" tint="-0.249977111117893"/>
      </right>
      <top style="medium">
        <color theme="0" tint="-0.249977111117893"/>
      </top>
      <bottom style="dashDot">
        <color theme="0" tint="-0.249977111117893"/>
      </bottom>
      <diagonal/>
    </border>
    <border>
      <left style="dashDot">
        <color theme="0" tint="-0.249977111117893"/>
      </left>
      <right style="dashDot">
        <color theme="0" tint="-0.249977111117893"/>
      </right>
      <top style="medium">
        <color theme="0" tint="-0.249977111117893"/>
      </top>
      <bottom style="dashDot">
        <color theme="0" tint="-0.249977111117893"/>
      </bottom>
      <diagonal/>
    </border>
    <border>
      <left style="dashDot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dashDot">
        <color theme="0" tint="-0.249977111117893"/>
      </bottom>
      <diagonal/>
    </border>
    <border>
      <left style="medium">
        <color theme="0" tint="-0.249977111117893"/>
      </left>
      <right/>
      <top style="dashDot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3" xfId="0" quotePrefix="1" applyBorder="1"/>
    <xf numFmtId="0" fontId="0" fillId="0" borderId="0" xfId="0" applyBorder="1"/>
    <xf numFmtId="0" fontId="0" fillId="0" borderId="5" xfId="0" applyFill="1" applyBorder="1"/>
    <xf numFmtId="0" fontId="2" fillId="0" borderId="8" xfId="0" applyFont="1" applyBorder="1"/>
    <xf numFmtId="0" fontId="0" fillId="0" borderId="6" xfId="0" applyBorder="1"/>
    <xf numFmtId="0" fontId="0" fillId="0" borderId="2" xfId="0" applyBorder="1"/>
    <xf numFmtId="0" fontId="2" fillId="0" borderId="1" xfId="0" applyFont="1" applyBorder="1"/>
    <xf numFmtId="0" fontId="2" fillId="0" borderId="0" xfId="0" applyFont="1" applyBorder="1"/>
    <xf numFmtId="9" fontId="0" fillId="0" borderId="0" xfId="0" applyNumberFormat="1" applyBorder="1" applyAlignment="1">
      <alignment horizontal="left"/>
    </xf>
    <xf numFmtId="0" fontId="0" fillId="0" borderId="0" xfId="0" applyFill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6" fontId="0" fillId="0" borderId="3" xfId="2" applyNumberFormat="1" applyFont="1" applyBorder="1" applyAlignment="1">
      <alignment horizontal="center"/>
    </xf>
    <xf numFmtId="166" fontId="0" fillId="0" borderId="5" xfId="2" applyNumberFormat="1" applyFont="1" applyBorder="1" applyAlignment="1">
      <alignment horizontal="center"/>
    </xf>
    <xf numFmtId="167" fontId="0" fillId="0" borderId="4" xfId="1" applyNumberFormat="1" applyFont="1" applyBorder="1" applyAlignment="1">
      <alignment horizontal="center"/>
    </xf>
    <xf numFmtId="167" fontId="0" fillId="0" borderId="6" xfId="1" applyNumberFormat="1" applyFon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 vertical="center"/>
    </xf>
    <xf numFmtId="167" fontId="0" fillId="0" borderId="0" xfId="1" applyNumberFormat="1" applyFont="1"/>
    <xf numFmtId="43" fontId="0" fillId="0" borderId="0" xfId="1" applyNumberFormat="1" applyFont="1"/>
    <xf numFmtId="167" fontId="0" fillId="0" borderId="0" xfId="0" applyNumberFormat="1"/>
    <xf numFmtId="9" fontId="0" fillId="0" borderId="0" xfId="3" applyFont="1"/>
    <xf numFmtId="0" fontId="0" fillId="0" borderId="0" xfId="0" applyAlignment="1">
      <alignment horizontal="center"/>
    </xf>
    <xf numFmtId="167" fontId="0" fillId="0" borderId="0" xfId="1" applyNumberFormat="1" applyFont="1" applyBorder="1" applyAlignment="1">
      <alignment horizontal="center"/>
    </xf>
    <xf numFmtId="167" fontId="0" fillId="0" borderId="10" xfId="1" applyNumberFormat="1" applyFont="1" applyBorder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7" fillId="0" borderId="0" xfId="0" applyFont="1"/>
    <xf numFmtId="4" fontId="7" fillId="0" borderId="0" xfId="0" applyNumberFormat="1" applyFont="1"/>
    <xf numFmtId="0" fontId="7" fillId="2" borderId="12" xfId="0" applyFont="1" applyFill="1" applyBorder="1"/>
    <xf numFmtId="0" fontId="7" fillId="2" borderId="13" xfId="0" applyFont="1" applyFill="1" applyBorder="1"/>
    <xf numFmtId="0" fontId="7" fillId="2" borderId="14" xfId="0" applyFont="1" applyFill="1" applyBorder="1"/>
    <xf numFmtId="167" fontId="7" fillId="0" borderId="11" xfId="1" applyNumberFormat="1" applyFont="1" applyBorder="1" applyAlignment="1">
      <alignment horizontal="right" vertical="center"/>
    </xf>
    <xf numFmtId="0" fontId="7" fillId="0" borderId="11" xfId="0" applyFont="1" applyBorder="1"/>
    <xf numFmtId="166" fontId="7" fillId="0" borderId="15" xfId="2" applyNumberFormat="1" applyFont="1" applyBorder="1" applyAlignment="1">
      <alignment horizontal="right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166" fontId="7" fillId="0" borderId="19" xfId="2" applyNumberFormat="1" applyFont="1" applyBorder="1" applyAlignment="1">
      <alignment horizontal="right" vertical="center"/>
    </xf>
    <xf numFmtId="167" fontId="7" fillId="0" borderId="20" xfId="1" applyNumberFormat="1" applyFont="1" applyBorder="1" applyAlignment="1">
      <alignment horizontal="right" vertical="center"/>
    </xf>
    <xf numFmtId="0" fontId="7" fillId="0" borderId="20" xfId="0" applyFont="1" applyBorder="1"/>
    <xf numFmtId="9" fontId="0" fillId="0" borderId="0" xfId="3" applyNumberFormat="1" applyFont="1"/>
    <xf numFmtId="164" fontId="7" fillId="0" borderId="0" xfId="0" applyNumberFormat="1" applyFont="1" applyBorder="1" applyAlignment="1">
      <alignment horizontal="right"/>
    </xf>
    <xf numFmtId="9" fontId="7" fillId="0" borderId="0" xfId="3" applyFont="1"/>
    <xf numFmtId="168" fontId="7" fillId="0" borderId="0" xfId="2" applyNumberFormat="1" applyFont="1"/>
    <xf numFmtId="3" fontId="7" fillId="0" borderId="0" xfId="0" applyNumberFormat="1" applyFont="1"/>
    <xf numFmtId="2" fontId="7" fillId="0" borderId="0" xfId="0" applyNumberFormat="1" applyFont="1"/>
    <xf numFmtId="168" fontId="7" fillId="0" borderId="0" xfId="0" applyNumberFormat="1" applyFont="1"/>
    <xf numFmtId="169" fontId="7" fillId="0" borderId="0" xfId="0" applyNumberFormat="1" applyFont="1"/>
    <xf numFmtId="0" fontId="0" fillId="0" borderId="0" xfId="0" applyFill="1" applyBorder="1" applyAlignment="1"/>
    <xf numFmtId="43" fontId="0" fillId="0" borderId="0" xfId="0" applyNumberFormat="1"/>
    <xf numFmtId="170" fontId="7" fillId="0" borderId="0" xfId="0" applyNumberFormat="1" applyFont="1"/>
    <xf numFmtId="0" fontId="7" fillId="5" borderId="22" xfId="0" applyFont="1" applyFill="1" applyBorder="1"/>
    <xf numFmtId="0" fontId="7" fillId="5" borderId="23" xfId="0" applyFont="1" applyFill="1" applyBorder="1"/>
    <xf numFmtId="0" fontId="7" fillId="5" borderId="24" xfId="0" applyFont="1" applyFill="1" applyBorder="1"/>
    <xf numFmtId="0" fontId="7" fillId="5" borderId="25" xfId="0" applyFont="1" applyFill="1" applyBorder="1"/>
    <xf numFmtId="0" fontId="7" fillId="5" borderId="26" xfId="0" applyFont="1" applyFill="1" applyBorder="1"/>
    <xf numFmtId="0" fontId="7" fillId="5" borderId="27" xfId="0" applyFont="1" applyFill="1" applyBorder="1"/>
    <xf numFmtId="0" fontId="7" fillId="5" borderId="28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3" fontId="7" fillId="6" borderId="21" xfId="0" applyNumberFormat="1" applyFont="1" applyFill="1" applyBorder="1"/>
    <xf numFmtId="0" fontId="7" fillId="0" borderId="27" xfId="0" applyFont="1" applyBorder="1"/>
    <xf numFmtId="172" fontId="7" fillId="6" borderId="42" xfId="0" applyNumberFormat="1" applyFont="1" applyFill="1" applyBorder="1"/>
    <xf numFmtId="172" fontId="7" fillId="6" borderId="21" xfId="0" applyNumberFormat="1" applyFont="1" applyFill="1" applyBorder="1"/>
    <xf numFmtId="172" fontId="7" fillId="6" borderId="25" xfId="0" applyNumberFormat="1" applyFont="1" applyFill="1" applyBorder="1"/>
    <xf numFmtId="0" fontId="7" fillId="0" borderId="32" xfId="0" applyFont="1" applyBorder="1"/>
    <xf numFmtId="172" fontId="7" fillId="6" borderId="44" xfId="0" applyNumberFormat="1" applyFont="1" applyFill="1" applyBorder="1"/>
    <xf numFmtId="172" fontId="7" fillId="6" borderId="45" xfId="0" applyNumberFormat="1" applyFont="1" applyFill="1" applyBorder="1"/>
    <xf numFmtId="172" fontId="7" fillId="6" borderId="46" xfId="0" applyNumberFormat="1" applyFont="1" applyFill="1" applyBorder="1"/>
    <xf numFmtId="3" fontId="7" fillId="6" borderId="47" xfId="0" applyNumberFormat="1" applyFont="1" applyFill="1" applyBorder="1"/>
    <xf numFmtId="0" fontId="7" fillId="0" borderId="33" xfId="0" applyFont="1" applyBorder="1"/>
    <xf numFmtId="0" fontId="7" fillId="0" borderId="36" xfId="0" applyFont="1" applyBorder="1"/>
    <xf numFmtId="0" fontId="7" fillId="5" borderId="48" xfId="0" applyFont="1" applyFill="1" applyBorder="1"/>
    <xf numFmtId="0" fontId="7" fillId="5" borderId="49" xfId="0" applyFont="1" applyFill="1" applyBorder="1"/>
    <xf numFmtId="0" fontId="7" fillId="5" borderId="50" xfId="0" applyFont="1" applyFill="1" applyBorder="1"/>
    <xf numFmtId="0" fontId="7" fillId="5" borderId="43" xfId="0" applyFont="1" applyFill="1" applyBorder="1"/>
    <xf numFmtId="172" fontId="7" fillId="6" borderId="47" xfId="0" applyNumberFormat="1" applyFont="1" applyFill="1" applyBorder="1"/>
    <xf numFmtId="0" fontId="7" fillId="5" borderId="51" xfId="0" applyFont="1" applyFill="1" applyBorder="1"/>
    <xf numFmtId="0" fontId="7" fillId="5" borderId="36" xfId="0" applyFont="1" applyFill="1" applyBorder="1"/>
    <xf numFmtId="172" fontId="7" fillId="6" borderId="52" xfId="0" applyNumberFormat="1" applyFont="1" applyFill="1" applyBorder="1"/>
    <xf numFmtId="172" fontId="7" fillId="6" borderId="31" xfId="0" applyNumberFormat="1" applyFont="1" applyFill="1" applyBorder="1"/>
    <xf numFmtId="172" fontId="7" fillId="6" borderId="23" xfId="0" applyNumberFormat="1" applyFont="1" applyFill="1" applyBorder="1"/>
    <xf numFmtId="172" fontId="7" fillId="6" borderId="33" xfId="0" applyNumberFormat="1" applyFont="1" applyFill="1" applyBorder="1"/>
    <xf numFmtId="172" fontId="7" fillId="6" borderId="53" xfId="0" applyNumberFormat="1" applyFont="1" applyFill="1" applyBorder="1"/>
    <xf numFmtId="9" fontId="7" fillId="6" borderId="21" xfId="3" applyFont="1" applyFill="1" applyBorder="1"/>
    <xf numFmtId="172" fontId="7" fillId="6" borderId="21" xfId="3" applyNumberFormat="1" applyFont="1" applyFill="1" applyBorder="1"/>
    <xf numFmtId="9" fontId="7" fillId="6" borderId="25" xfId="3" applyFont="1" applyFill="1" applyBorder="1"/>
    <xf numFmtId="172" fontId="7" fillId="6" borderId="25" xfId="3" applyNumberFormat="1" applyFont="1" applyFill="1" applyBorder="1"/>
    <xf numFmtId="9" fontId="7" fillId="6" borderId="32" xfId="3" applyFont="1" applyFill="1" applyBorder="1"/>
    <xf numFmtId="9" fontId="7" fillId="6" borderId="27" xfId="3" applyFont="1" applyFill="1" applyBorder="1"/>
    <xf numFmtId="0" fontId="7" fillId="6" borderId="43" xfId="0" applyFont="1" applyFill="1" applyBorder="1"/>
    <xf numFmtId="0" fontId="7" fillId="0" borderId="45" xfId="0" applyFont="1" applyBorder="1"/>
    <xf numFmtId="0" fontId="7" fillId="0" borderId="37" xfId="0" applyFont="1" applyBorder="1"/>
    <xf numFmtId="0" fontId="7" fillId="6" borderId="57" xfId="0" applyFont="1" applyFill="1" applyBorder="1"/>
    <xf numFmtId="168" fontId="7" fillId="6" borderId="58" xfId="0" applyNumberFormat="1" applyFont="1" applyFill="1" applyBorder="1"/>
    <xf numFmtId="168" fontId="7" fillId="5" borderId="25" xfId="2" applyNumberFormat="1" applyFont="1" applyFill="1" applyBorder="1"/>
    <xf numFmtId="168" fontId="7" fillId="5" borderId="27" xfId="2" applyNumberFormat="1" applyFont="1" applyFill="1" applyBorder="1"/>
    <xf numFmtId="168" fontId="7" fillId="5" borderId="45" xfId="2" applyNumberFormat="1" applyFont="1" applyFill="1" applyBorder="1"/>
    <xf numFmtId="168" fontId="7" fillId="5" borderId="23" xfId="2" applyNumberFormat="1" applyFont="1" applyFill="1" applyBorder="1"/>
    <xf numFmtId="169" fontId="0" fillId="5" borderId="36" xfId="0" applyNumberFormat="1" applyFill="1" applyBorder="1" applyAlignment="1">
      <alignment horizontal="right"/>
    </xf>
    <xf numFmtId="169" fontId="0" fillId="5" borderId="0" xfId="0" applyNumberFormat="1" applyFill="1" applyBorder="1" applyAlignment="1">
      <alignment horizontal="right"/>
    </xf>
    <xf numFmtId="164" fontId="0" fillId="5" borderId="37" xfId="0" applyNumberFormat="1" applyFill="1" applyBorder="1" applyAlignment="1">
      <alignment horizontal="right"/>
    </xf>
    <xf numFmtId="169" fontId="0" fillId="5" borderId="38" xfId="0" applyNumberFormat="1" applyFill="1" applyBorder="1" applyAlignment="1">
      <alignment horizontal="right"/>
    </xf>
    <xf numFmtId="169" fontId="0" fillId="5" borderId="40" xfId="0" applyNumberFormat="1" applyFill="1" applyBorder="1" applyAlignment="1">
      <alignment horizontal="right"/>
    </xf>
    <xf numFmtId="164" fontId="0" fillId="5" borderId="39" xfId="0" applyNumberFormat="1" applyFill="1" applyBorder="1" applyAlignment="1">
      <alignment horizontal="right"/>
    </xf>
    <xf numFmtId="0" fontId="7" fillId="0" borderId="0" xfId="0" quotePrefix="1" applyFont="1"/>
    <xf numFmtId="43" fontId="7" fillId="0" borderId="0" xfId="1" applyFont="1"/>
    <xf numFmtId="0" fontId="9" fillId="0" borderId="0" xfId="0" applyFont="1" applyAlignment="1">
      <alignment horizontal="center" vertical="center" readingOrder="1"/>
    </xf>
    <xf numFmtId="2" fontId="7" fillId="0" borderId="0" xfId="3" applyNumberFormat="1" applyFont="1"/>
    <xf numFmtId="169" fontId="7" fillId="5" borderId="21" xfId="0" applyNumberFormat="1" applyFont="1" applyFill="1" applyBorder="1"/>
    <xf numFmtId="166" fontId="7" fillId="5" borderId="22" xfId="2" applyNumberFormat="1" applyFont="1" applyFill="1" applyBorder="1" applyAlignment="1">
      <alignment horizontal="center"/>
    </xf>
    <xf numFmtId="169" fontId="7" fillId="5" borderId="31" xfId="0" applyNumberFormat="1" applyFont="1" applyFill="1" applyBorder="1"/>
    <xf numFmtId="166" fontId="7" fillId="5" borderId="24" xfId="2" applyNumberFormat="1" applyFont="1" applyFill="1" applyBorder="1" applyAlignment="1">
      <alignment horizontal="center"/>
    </xf>
    <xf numFmtId="2" fontId="7" fillId="5" borderId="25" xfId="0" applyNumberFormat="1" applyFont="1" applyFill="1" applyBorder="1"/>
    <xf numFmtId="166" fontId="7" fillId="5" borderId="26" xfId="2" applyNumberFormat="1" applyFont="1" applyFill="1" applyBorder="1" applyAlignment="1">
      <alignment horizontal="center"/>
    </xf>
    <xf numFmtId="169" fontId="7" fillId="5" borderId="32" xfId="0" applyNumberFormat="1" applyFont="1" applyFill="1" applyBorder="1"/>
    <xf numFmtId="2" fontId="7" fillId="5" borderId="27" xfId="0" applyNumberFormat="1" applyFont="1" applyFill="1" applyBorder="1"/>
    <xf numFmtId="173" fontId="7" fillId="0" borderId="0" xfId="3" applyNumberFormat="1" applyFont="1"/>
    <xf numFmtId="174" fontId="7" fillId="0" borderId="0" xfId="3" applyNumberFormat="1" applyFont="1"/>
    <xf numFmtId="168" fontId="7" fillId="6" borderId="59" xfId="2" applyNumberFormat="1" applyFont="1" applyFill="1" applyBorder="1"/>
    <xf numFmtId="169" fontId="7" fillId="6" borderId="59" xfId="0" applyNumberFormat="1" applyFont="1" applyFill="1" applyBorder="1"/>
    <xf numFmtId="168" fontId="7" fillId="6" borderId="59" xfId="0" applyNumberFormat="1" applyFont="1" applyFill="1" applyBorder="1"/>
    <xf numFmtId="168" fontId="7" fillId="6" borderId="61" xfId="2" applyNumberFormat="1" applyFont="1" applyFill="1" applyBorder="1"/>
    <xf numFmtId="169" fontId="7" fillId="6" borderId="61" xfId="0" applyNumberFormat="1" applyFont="1" applyFill="1" applyBorder="1"/>
    <xf numFmtId="168" fontId="7" fillId="6" borderId="61" xfId="0" applyNumberFormat="1" applyFont="1" applyFill="1" applyBorder="1"/>
    <xf numFmtId="0" fontId="7" fillId="5" borderId="62" xfId="0" applyFont="1" applyFill="1" applyBorder="1"/>
    <xf numFmtId="0" fontId="7" fillId="5" borderId="63" xfId="0" applyFont="1" applyFill="1" applyBorder="1"/>
    <xf numFmtId="0" fontId="7" fillId="5" borderId="64" xfId="0" applyFont="1" applyFill="1" applyBorder="1"/>
    <xf numFmtId="168" fontId="7" fillId="6" borderId="65" xfId="2" applyNumberFormat="1" applyFont="1" applyFill="1" applyBorder="1"/>
    <xf numFmtId="168" fontId="7" fillId="6" borderId="66" xfId="2" applyNumberFormat="1" applyFont="1" applyFill="1" applyBorder="1"/>
    <xf numFmtId="0" fontId="7" fillId="0" borderId="60" xfId="0" applyFont="1" applyBorder="1"/>
    <xf numFmtId="9" fontId="7" fillId="6" borderId="71" xfId="3" applyFont="1" applyFill="1" applyBorder="1"/>
    <xf numFmtId="9" fontId="7" fillId="6" borderId="72" xfId="0" applyNumberFormat="1" applyFont="1" applyFill="1" applyBorder="1"/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69" xfId="0" applyFont="1" applyFill="1" applyBorder="1" applyAlignment="1">
      <alignment horizontal="center" vertical="center"/>
    </xf>
    <xf numFmtId="9" fontId="7" fillId="6" borderId="70" xfId="3" applyFont="1" applyFill="1" applyBorder="1"/>
    <xf numFmtId="9" fontId="7" fillId="6" borderId="61" xfId="3" applyNumberFormat="1" applyFont="1" applyFill="1" applyBorder="1"/>
    <xf numFmtId="9" fontId="7" fillId="6" borderId="59" xfId="3" applyNumberFormat="1" applyFont="1" applyFill="1" applyBorder="1"/>
    <xf numFmtId="173" fontId="7" fillId="6" borderId="70" xfId="3" applyNumberFormat="1" applyFont="1" applyFill="1" applyBorder="1"/>
    <xf numFmtId="0" fontId="7" fillId="5" borderId="73" xfId="0" applyFont="1" applyFill="1" applyBorder="1"/>
    <xf numFmtId="168" fontId="7" fillId="5" borderId="74" xfId="2" applyNumberFormat="1" applyFont="1" applyFill="1" applyBorder="1"/>
    <xf numFmtId="0" fontId="7" fillId="5" borderId="75" xfId="0" applyFont="1" applyFill="1" applyBorder="1"/>
    <xf numFmtId="9" fontId="7" fillId="5" borderId="76" xfId="3" applyFont="1" applyFill="1" applyBorder="1"/>
    <xf numFmtId="168" fontId="7" fillId="5" borderId="76" xfId="2" applyNumberFormat="1" applyFont="1" applyFill="1" applyBorder="1"/>
    <xf numFmtId="0" fontId="7" fillId="5" borderId="77" xfId="0" applyFont="1" applyFill="1" applyBorder="1"/>
    <xf numFmtId="169" fontId="7" fillId="5" borderId="78" xfId="2" applyNumberFormat="1" applyFont="1" applyFill="1" applyBorder="1"/>
    <xf numFmtId="0" fontId="0" fillId="0" borderId="59" xfId="0" applyBorder="1"/>
    <xf numFmtId="0" fontId="3" fillId="0" borderId="59" xfId="0" applyFont="1" applyFill="1" applyBorder="1" applyAlignment="1">
      <alignment horizontal="centerContinuous"/>
    </xf>
    <xf numFmtId="0" fontId="0" fillId="0" borderId="59" xfId="0" applyFill="1" applyBorder="1" applyAlignment="1"/>
    <xf numFmtId="0" fontId="3" fillId="0" borderId="59" xfId="0" applyFont="1" applyFill="1" applyBorder="1" applyAlignment="1">
      <alignment horizontal="center"/>
    </xf>
    <xf numFmtId="43" fontId="0" fillId="0" borderId="59" xfId="1" applyFont="1" applyBorder="1"/>
    <xf numFmtId="169" fontId="0" fillId="0" borderId="59" xfId="0" applyNumberFormat="1" applyFill="1" applyBorder="1" applyAlignment="1"/>
    <xf numFmtId="169" fontId="0" fillId="0" borderId="59" xfId="0" applyNumberFormat="1" applyBorder="1"/>
    <xf numFmtId="0" fontId="7" fillId="0" borderId="79" xfId="0" applyFont="1" applyBorder="1"/>
    <xf numFmtId="0" fontId="0" fillId="0" borderId="80" xfId="0" applyBorder="1"/>
    <xf numFmtId="0" fontId="3" fillId="0" borderId="80" xfId="0" applyFont="1" applyFill="1" applyBorder="1" applyAlignment="1">
      <alignment horizontal="center"/>
    </xf>
    <xf numFmtId="0" fontId="0" fillId="0" borderId="80" xfId="0" applyFill="1" applyBorder="1" applyAlignment="1"/>
    <xf numFmtId="166" fontId="7" fillId="0" borderId="79" xfId="0" applyNumberFormat="1" applyFont="1" applyBorder="1"/>
    <xf numFmtId="166" fontId="7" fillId="0" borderId="81" xfId="0" applyNumberFormat="1" applyFont="1" applyBorder="1"/>
    <xf numFmtId="0" fontId="0" fillId="0" borderId="72" xfId="0" applyFill="1" applyBorder="1" applyAlignment="1"/>
    <xf numFmtId="169" fontId="0" fillId="0" borderId="72" xfId="0" applyNumberFormat="1" applyFill="1" applyBorder="1" applyAlignment="1"/>
    <xf numFmtId="169" fontId="0" fillId="0" borderId="72" xfId="0" applyNumberFormat="1" applyBorder="1"/>
    <xf numFmtId="0" fontId="0" fillId="0" borderId="72" xfId="0" applyBorder="1"/>
    <xf numFmtId="0" fontId="0" fillId="0" borderId="82" xfId="0" applyBorder="1"/>
    <xf numFmtId="0" fontId="7" fillId="0" borderId="83" xfId="0" applyFont="1" applyBorder="1"/>
    <xf numFmtId="0" fontId="0" fillId="0" borderId="66" xfId="0" applyBorder="1"/>
    <xf numFmtId="0" fontId="0" fillId="0" borderId="70" xfId="0" applyBorder="1"/>
    <xf numFmtId="9" fontId="7" fillId="6" borderId="61" xfId="3" applyFont="1" applyFill="1" applyBorder="1"/>
    <xf numFmtId="175" fontId="7" fillId="6" borderId="61" xfId="3" applyNumberFormat="1" applyFont="1" applyFill="1" applyBorder="1"/>
    <xf numFmtId="0" fontId="7" fillId="5" borderId="0" xfId="0" applyFont="1" applyFill="1" applyBorder="1"/>
    <xf numFmtId="0" fontId="7" fillId="5" borderId="37" xfId="0" applyFont="1" applyFill="1" applyBorder="1"/>
    <xf numFmtId="171" fontId="7" fillId="6" borderId="89" xfId="0" applyNumberFormat="1" applyFont="1" applyFill="1" applyBorder="1"/>
    <xf numFmtId="3" fontId="7" fillId="6" borderId="80" xfId="0" applyNumberFormat="1" applyFont="1" applyFill="1" applyBorder="1"/>
    <xf numFmtId="9" fontId="7" fillId="6" borderId="80" xfId="0" applyNumberFormat="1" applyFont="1" applyFill="1" applyBorder="1"/>
    <xf numFmtId="172" fontId="7" fillId="6" borderId="80" xfId="0" applyNumberFormat="1" applyFont="1" applyFill="1" applyBorder="1"/>
    <xf numFmtId="9" fontId="7" fillId="6" borderId="82" xfId="3" applyFont="1" applyFill="1" applyBorder="1"/>
    <xf numFmtId="0" fontId="3" fillId="7" borderId="59" xfId="0" applyFont="1" applyFill="1" applyBorder="1" applyAlignment="1">
      <alignment horizontal="center"/>
    </xf>
    <xf numFmtId="0" fontId="0" fillId="7" borderId="59" xfId="0" applyFill="1" applyBorder="1" applyAlignment="1"/>
    <xf numFmtId="0" fontId="4" fillId="4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7" fillId="5" borderId="84" xfId="0" applyFont="1" applyFill="1" applyBorder="1" applyAlignment="1">
      <alignment horizontal="center"/>
    </xf>
    <xf numFmtId="0" fontId="7" fillId="5" borderId="85" xfId="0" applyFont="1" applyFill="1" applyBorder="1" applyAlignment="1">
      <alignment horizontal="center"/>
    </xf>
    <xf numFmtId="0" fontId="7" fillId="5" borderId="86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0" fontId="7" fillId="5" borderId="41" xfId="0" applyFont="1" applyFill="1" applyBorder="1" applyAlignment="1">
      <alignment horizontal="center"/>
    </xf>
    <xf numFmtId="0" fontId="7" fillId="5" borderId="35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41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  <xf numFmtId="0" fontId="8" fillId="5" borderId="23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left"/>
    </xf>
    <xf numFmtId="0" fontId="7" fillId="5" borderId="27" xfId="0" applyFont="1" applyFill="1" applyBorder="1" applyAlignment="1">
      <alignment horizontal="left"/>
    </xf>
    <xf numFmtId="0" fontId="8" fillId="5" borderId="28" xfId="0" applyFont="1" applyFill="1" applyBorder="1" applyAlignment="1">
      <alignment horizontal="left"/>
    </xf>
    <xf numFmtId="0" fontId="8" fillId="5" borderId="30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8" fillId="5" borderId="54" xfId="0" applyFont="1" applyFill="1" applyBorder="1" applyAlignment="1">
      <alignment horizontal="left"/>
    </xf>
    <xf numFmtId="0" fontId="8" fillId="5" borderId="55" xfId="0" applyFont="1" applyFill="1" applyBorder="1" applyAlignment="1">
      <alignment horizontal="left"/>
    </xf>
    <xf numFmtId="0" fontId="8" fillId="5" borderId="56" xfId="0" applyFont="1" applyFill="1" applyBorder="1" applyAlignment="1">
      <alignment horizontal="left"/>
    </xf>
    <xf numFmtId="0" fontId="7" fillId="0" borderId="28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5" borderId="87" xfId="0" applyFont="1" applyFill="1" applyBorder="1" applyAlignment="1">
      <alignment horizontal="left"/>
    </xf>
    <xf numFmtId="0" fontId="7" fillId="5" borderId="88" xfId="0" applyFont="1" applyFill="1" applyBorder="1" applyAlignment="1">
      <alignment horizontal="left"/>
    </xf>
    <xf numFmtId="0" fontId="7" fillId="5" borderId="79" xfId="0" applyFont="1" applyFill="1" applyBorder="1" applyAlignment="1">
      <alignment horizontal="left"/>
    </xf>
    <xf numFmtId="0" fontId="7" fillId="5" borderId="59" xfId="0" applyFont="1" applyFill="1" applyBorder="1" applyAlignment="1">
      <alignment horizontal="left"/>
    </xf>
    <xf numFmtId="0" fontId="8" fillId="5" borderId="29" xfId="0" applyFont="1" applyFill="1" applyBorder="1" applyAlignment="1">
      <alignment horizontal="left"/>
    </xf>
    <xf numFmtId="0" fontId="7" fillId="5" borderId="90" xfId="0" applyFont="1" applyFill="1" applyBorder="1" applyAlignment="1">
      <alignment horizontal="left"/>
    </xf>
    <xf numFmtId="0" fontId="7" fillId="5" borderId="71" xfId="0" applyFont="1" applyFill="1" applyBorder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CCCCFF"/>
      <color rgb="FFFFDE75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Price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Quanity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Analysis!$J$3:$J$22</c:f>
              <c:numCache>
                <c:formatCode>"$"#,##0</c:formatCode>
                <c:ptCount val="20"/>
                <c:pt idx="0">
                  <c:v>20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38</c:v>
                </c:pt>
                <c:pt idx="7">
                  <c:v>41</c:v>
                </c:pt>
                <c:pt idx="8">
                  <c:v>44</c:v>
                </c:pt>
                <c:pt idx="9">
                  <c:v>47</c:v>
                </c:pt>
                <c:pt idx="10">
                  <c:v>50</c:v>
                </c:pt>
                <c:pt idx="11">
                  <c:v>53</c:v>
                </c:pt>
                <c:pt idx="12">
                  <c:v>56</c:v>
                </c:pt>
                <c:pt idx="13">
                  <c:v>59</c:v>
                </c:pt>
                <c:pt idx="14">
                  <c:v>62</c:v>
                </c:pt>
                <c:pt idx="15">
                  <c:v>65</c:v>
                </c:pt>
                <c:pt idx="16">
                  <c:v>68</c:v>
                </c:pt>
                <c:pt idx="17">
                  <c:v>71</c:v>
                </c:pt>
                <c:pt idx="18">
                  <c:v>74</c:v>
                </c:pt>
                <c:pt idx="19">
                  <c:v>77</c:v>
                </c:pt>
              </c:numCache>
            </c:numRef>
          </c:xVal>
          <c:yVal>
            <c:numRef>
              <c:f>Analysis!$K$3:$K$22</c:f>
              <c:numCache>
                <c:formatCode>#,##0;[Red]#,##0</c:formatCode>
                <c:ptCount val="20"/>
                <c:pt idx="0">
                  <c:v>23450000</c:v>
                </c:pt>
                <c:pt idx="1">
                  <c:v>23400000</c:v>
                </c:pt>
                <c:pt idx="2">
                  <c:v>23200000</c:v>
                </c:pt>
                <c:pt idx="3">
                  <c:v>22800000</c:v>
                </c:pt>
                <c:pt idx="4">
                  <c:v>22200000</c:v>
                </c:pt>
                <c:pt idx="5">
                  <c:v>21400000</c:v>
                </c:pt>
                <c:pt idx="6">
                  <c:v>20400000</c:v>
                </c:pt>
                <c:pt idx="7">
                  <c:v>19200000</c:v>
                </c:pt>
                <c:pt idx="8">
                  <c:v>17800000</c:v>
                </c:pt>
                <c:pt idx="9">
                  <c:v>16300000</c:v>
                </c:pt>
                <c:pt idx="10">
                  <c:v>14800000</c:v>
                </c:pt>
                <c:pt idx="11">
                  <c:v>13300000</c:v>
                </c:pt>
                <c:pt idx="12">
                  <c:v>11700000</c:v>
                </c:pt>
                <c:pt idx="13">
                  <c:v>10100000</c:v>
                </c:pt>
                <c:pt idx="14">
                  <c:v>8500000</c:v>
                </c:pt>
                <c:pt idx="15">
                  <c:v>7000000</c:v>
                </c:pt>
                <c:pt idx="16">
                  <c:v>5600000</c:v>
                </c:pt>
                <c:pt idx="17">
                  <c:v>4300000</c:v>
                </c:pt>
                <c:pt idx="18">
                  <c:v>3100000</c:v>
                </c:pt>
                <c:pt idx="19">
                  <c:v>2000000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B8-4043-9BB3-9B85949E6AB9}"/>
            </c:ext>
          </c:extLst>
        </c:ser>
        <c:ser>
          <c:idx val="1"/>
          <c:order val="1"/>
          <c:tx>
            <c:v>Predicted Quanity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665314725900513"/>
                  <c:y val="-0.52459980494106906"/>
                </c:manualLayout>
              </c:layout>
              <c:numFmt formatCode="General" sourceLinked="0"/>
            </c:trendlineLbl>
          </c:trendline>
          <c:xVal>
            <c:numRef>
              <c:f>Analysis!$J$3:$J$22</c:f>
              <c:numCache>
                <c:formatCode>"$"#,##0</c:formatCode>
                <c:ptCount val="20"/>
                <c:pt idx="0">
                  <c:v>20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38</c:v>
                </c:pt>
                <c:pt idx="7">
                  <c:v>41</c:v>
                </c:pt>
                <c:pt idx="8">
                  <c:v>44</c:v>
                </c:pt>
                <c:pt idx="9">
                  <c:v>47</c:v>
                </c:pt>
                <c:pt idx="10">
                  <c:v>50</c:v>
                </c:pt>
                <c:pt idx="11">
                  <c:v>53</c:v>
                </c:pt>
                <c:pt idx="12">
                  <c:v>56</c:v>
                </c:pt>
                <c:pt idx="13">
                  <c:v>59</c:v>
                </c:pt>
                <c:pt idx="14">
                  <c:v>62</c:v>
                </c:pt>
                <c:pt idx="15">
                  <c:v>65</c:v>
                </c:pt>
                <c:pt idx="16">
                  <c:v>68</c:v>
                </c:pt>
                <c:pt idx="17">
                  <c:v>71</c:v>
                </c:pt>
                <c:pt idx="18">
                  <c:v>74</c:v>
                </c:pt>
                <c:pt idx="19">
                  <c:v>77</c:v>
                </c:pt>
              </c:numCache>
            </c:numRef>
          </c:xVal>
          <c:yVal>
            <c:numRef>
              <c:f>Analysis!$C$54:$C$73</c:f>
              <c:numCache>
                <c:formatCode>#,##0;[Red]#,##0</c:formatCode>
                <c:ptCount val="20"/>
                <c:pt idx="0">
                  <c:v>26439285.714285709</c:v>
                </c:pt>
                <c:pt idx="1">
                  <c:v>25185413.53383458</c:v>
                </c:pt>
                <c:pt idx="2">
                  <c:v>23931541.353383452</c:v>
                </c:pt>
                <c:pt idx="3">
                  <c:v>22677669.172932327</c:v>
                </c:pt>
                <c:pt idx="4">
                  <c:v>21423796.992481198</c:v>
                </c:pt>
                <c:pt idx="5">
                  <c:v>20169924.81203007</c:v>
                </c:pt>
                <c:pt idx="6">
                  <c:v>18916052.631578945</c:v>
                </c:pt>
                <c:pt idx="7">
                  <c:v>17662180.451127816</c:v>
                </c:pt>
                <c:pt idx="8">
                  <c:v>16408308.270676687</c:v>
                </c:pt>
                <c:pt idx="9">
                  <c:v>15154436.090225559</c:v>
                </c:pt>
                <c:pt idx="10">
                  <c:v>13900563.909774434</c:v>
                </c:pt>
                <c:pt idx="11">
                  <c:v>12646691.729323305</c:v>
                </c:pt>
                <c:pt idx="12">
                  <c:v>11392819.548872177</c:v>
                </c:pt>
                <c:pt idx="13">
                  <c:v>10138947.368421052</c:v>
                </c:pt>
                <c:pt idx="14">
                  <c:v>8885075.187969923</c:v>
                </c:pt>
                <c:pt idx="15">
                  <c:v>7631203.0075187944</c:v>
                </c:pt>
                <c:pt idx="16">
                  <c:v>6377330.8270676658</c:v>
                </c:pt>
                <c:pt idx="17">
                  <c:v>5123458.6466165408</c:v>
                </c:pt>
                <c:pt idx="18">
                  <c:v>3869586.4661654122</c:v>
                </c:pt>
                <c:pt idx="19">
                  <c:v>2615714.2857142836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B8-4043-9BB3-9B85949E6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98576"/>
        <c:axId val="140897792"/>
      </c:scatterChart>
      <c:valAx>
        <c:axId val="14089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140897792"/>
        <c:crosses val="autoZero"/>
        <c:crossBetween val="midCat"/>
      </c:valAx>
      <c:valAx>
        <c:axId val="140897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Quanity</a:t>
                </a:r>
              </a:p>
            </c:rich>
          </c:tx>
          <c:overlay val="0"/>
        </c:title>
        <c:numFmt formatCode="#,##0;[Red]#,##0" sourceLinked="1"/>
        <c:majorTickMark val="out"/>
        <c:minorTickMark val="none"/>
        <c:tickLblPos val="nextTo"/>
        <c:crossAx val="1408985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307324</xdr:colOff>
      <xdr:row>25</xdr:row>
      <xdr:rowOff>168602</xdr:rowOff>
    </xdr:from>
    <xdr:to>
      <xdr:col>16</xdr:col>
      <xdr:colOff>51735</xdr:colOff>
      <xdr:row>41</xdr:row>
      <xdr:rowOff>188163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U41"/>
  <sheetViews>
    <sheetView showGridLines="0" topLeftCell="A10" zoomScale="110" zoomScaleNormal="110" workbookViewId="0">
      <selection activeCell="A24" sqref="A24:XFD24"/>
    </sheetView>
  </sheetViews>
  <sheetFormatPr baseColWidth="10" defaultColWidth="8.83203125" defaultRowHeight="15"/>
  <cols>
    <col min="2" max="2" width="26.5" bestFit="1" customWidth="1"/>
    <col min="3" max="3" width="16.1640625" customWidth="1"/>
    <col min="4" max="4" width="11" customWidth="1"/>
    <col min="5" max="5" width="14.5" customWidth="1"/>
    <col min="6" max="6" width="24.5" customWidth="1"/>
    <col min="7" max="7" width="2.5" customWidth="1"/>
    <col min="8" max="8" width="8.33203125" customWidth="1"/>
    <col min="9" max="9" width="15.1640625" bestFit="1" customWidth="1"/>
    <col min="14" max="14" width="11" bestFit="1" customWidth="1"/>
  </cols>
  <sheetData>
    <row r="1" spans="2:21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2:21" ht="16">
      <c r="B2" s="202" t="s">
        <v>26</v>
      </c>
      <c r="C2" s="202"/>
      <c r="D2" s="202"/>
      <c r="E2" s="202"/>
      <c r="F2" s="202"/>
      <c r="G2" s="202"/>
      <c r="H2" s="202"/>
      <c r="I2" s="202"/>
    </row>
    <row r="3" spans="2:21" ht="7.5" customHeight="1">
      <c r="B3" s="18"/>
      <c r="C3" s="18"/>
      <c r="D3" s="18"/>
      <c r="E3" s="18"/>
      <c r="F3" s="18"/>
      <c r="G3" s="5"/>
      <c r="H3" s="5"/>
      <c r="I3" s="5"/>
    </row>
    <row r="4" spans="2:21">
      <c r="B4" s="204" t="s">
        <v>28</v>
      </c>
      <c r="C4" s="204"/>
      <c r="D4" s="204"/>
      <c r="E4" s="204"/>
      <c r="F4" s="204"/>
      <c r="G4" s="204"/>
      <c r="H4" s="204"/>
      <c r="I4" s="204"/>
    </row>
    <row r="5" spans="2:21">
      <c r="B5" s="204" t="s">
        <v>29</v>
      </c>
      <c r="C5" s="204"/>
      <c r="D5" s="204"/>
      <c r="E5" s="204"/>
      <c r="F5" s="204"/>
      <c r="G5" s="204"/>
      <c r="H5" s="204"/>
      <c r="I5" s="204"/>
    </row>
    <row r="6" spans="2:21">
      <c r="B6" s="204" t="s">
        <v>31</v>
      </c>
      <c r="C6" s="204"/>
      <c r="D6" s="204"/>
      <c r="E6" s="204"/>
      <c r="F6" s="204"/>
      <c r="G6" s="204"/>
      <c r="H6" s="204"/>
      <c r="I6" s="204"/>
    </row>
    <row r="7" spans="2:21">
      <c r="B7" s="204" t="s">
        <v>30</v>
      </c>
      <c r="C7" s="204"/>
      <c r="D7" s="204"/>
      <c r="E7" s="204"/>
      <c r="F7" s="204"/>
      <c r="G7" s="204"/>
      <c r="H7" s="204"/>
      <c r="I7" s="204"/>
    </row>
    <row r="9" spans="2:21" ht="16">
      <c r="B9" s="207" t="s">
        <v>25</v>
      </c>
      <c r="C9" s="207"/>
      <c r="D9" s="207"/>
      <c r="E9" s="207"/>
      <c r="F9" s="207"/>
      <c r="G9" s="207"/>
      <c r="H9" s="207"/>
      <c r="I9" s="207"/>
    </row>
    <row r="10" spans="2:21" ht="9.75" customHeight="1">
      <c r="B10" s="17"/>
      <c r="C10" s="17"/>
      <c r="D10" s="18"/>
      <c r="E10" s="17"/>
      <c r="F10" s="17"/>
      <c r="G10" s="18"/>
      <c r="H10" s="18"/>
      <c r="I10" s="18"/>
    </row>
    <row r="11" spans="2:21">
      <c r="B11" s="16" t="s">
        <v>11</v>
      </c>
      <c r="C11" s="8"/>
      <c r="E11" s="205" t="s">
        <v>12</v>
      </c>
      <c r="F11" s="206"/>
      <c r="H11" s="10" t="s">
        <v>23</v>
      </c>
      <c r="I11" s="9"/>
      <c r="O11" s="31"/>
      <c r="P11" s="31"/>
      <c r="Q11" s="31"/>
      <c r="R11" s="31"/>
      <c r="S11" s="31"/>
      <c r="T11" s="31"/>
    </row>
    <row r="12" spans="2:21">
      <c r="B12" s="1" t="s">
        <v>0</v>
      </c>
      <c r="C12" s="40" t="s">
        <v>37</v>
      </c>
      <c r="E12" s="26" t="s">
        <v>40</v>
      </c>
      <c r="F12" s="23">
        <v>27</v>
      </c>
      <c r="H12" s="14" t="s">
        <v>22</v>
      </c>
      <c r="I12" s="15" t="s">
        <v>36</v>
      </c>
    </row>
    <row r="13" spans="2:21">
      <c r="B13" s="2" t="s">
        <v>3</v>
      </c>
      <c r="C13" s="41" t="s">
        <v>38</v>
      </c>
      <c r="E13" s="27" t="s">
        <v>41</v>
      </c>
      <c r="F13" s="24">
        <v>23</v>
      </c>
      <c r="H13" s="19">
        <v>77</v>
      </c>
      <c r="I13" s="21">
        <v>2000</v>
      </c>
      <c r="J13" s="34"/>
    </row>
    <row r="14" spans="2:21">
      <c r="B14" s="2" t="s">
        <v>4</v>
      </c>
      <c r="C14" s="42" t="s">
        <v>2</v>
      </c>
      <c r="E14" s="39" t="s">
        <v>42</v>
      </c>
      <c r="F14" s="24">
        <v>20</v>
      </c>
      <c r="H14" s="19">
        <f t="shared" ref="H14:H32" si="0">H13-3</f>
        <v>74</v>
      </c>
      <c r="I14" s="21">
        <v>3100</v>
      </c>
      <c r="J14" s="34"/>
    </row>
    <row r="15" spans="2:21">
      <c r="B15" s="4" t="s">
        <v>1</v>
      </c>
      <c r="C15" s="43" t="s">
        <v>10</v>
      </c>
      <c r="E15" s="28" t="s">
        <v>43</v>
      </c>
      <c r="F15" s="25">
        <v>18</v>
      </c>
      <c r="H15" s="19">
        <f t="shared" si="0"/>
        <v>71</v>
      </c>
      <c r="I15" s="21">
        <v>4300</v>
      </c>
      <c r="J15" s="34"/>
    </row>
    <row r="16" spans="2:21">
      <c r="B16" s="2" t="s">
        <v>24</v>
      </c>
      <c r="C16" s="42" t="s">
        <v>13</v>
      </c>
      <c r="H16" s="19">
        <f t="shared" si="0"/>
        <v>68</v>
      </c>
      <c r="I16" s="21">
        <v>5600</v>
      </c>
      <c r="J16" s="34"/>
    </row>
    <row r="17" spans="2:14">
      <c r="B17" s="6" t="s">
        <v>5</v>
      </c>
      <c r="C17" s="44" t="s">
        <v>39</v>
      </c>
      <c r="H17" s="19">
        <f t="shared" si="0"/>
        <v>65</v>
      </c>
      <c r="I17" s="21">
        <v>7000</v>
      </c>
      <c r="J17" s="34"/>
      <c r="M17" s="71"/>
      <c r="N17" s="71"/>
    </row>
    <row r="18" spans="2:14">
      <c r="C18" s="36"/>
      <c r="H18" s="19">
        <f t="shared" si="0"/>
        <v>62</v>
      </c>
      <c r="I18" s="21">
        <v>8500</v>
      </c>
      <c r="J18" s="34"/>
      <c r="M18" s="71"/>
      <c r="N18" s="71"/>
    </row>
    <row r="19" spans="2:14">
      <c r="C19" s="36"/>
      <c r="H19" s="19">
        <f t="shared" si="0"/>
        <v>59</v>
      </c>
      <c r="I19" s="21">
        <v>10100</v>
      </c>
      <c r="J19" s="34"/>
    </row>
    <row r="20" spans="2:14">
      <c r="B20" s="10" t="s">
        <v>9</v>
      </c>
      <c r="C20" s="40"/>
      <c r="H20" s="19">
        <f t="shared" si="0"/>
        <v>56</v>
      </c>
      <c r="I20" s="21">
        <v>11700</v>
      </c>
      <c r="J20" s="34"/>
    </row>
    <row r="21" spans="2:14">
      <c r="B21" s="1" t="s">
        <v>34</v>
      </c>
      <c r="C21" s="45">
        <v>45</v>
      </c>
      <c r="D21" s="63"/>
      <c r="E21" s="34"/>
      <c r="F21" s="35"/>
      <c r="H21" s="19">
        <f t="shared" si="0"/>
        <v>53</v>
      </c>
      <c r="I21" s="21">
        <v>13300</v>
      </c>
      <c r="J21" s="34"/>
    </row>
    <row r="22" spans="2:14">
      <c r="B22" s="2" t="s">
        <v>6</v>
      </c>
      <c r="C22" s="42">
        <v>45</v>
      </c>
      <c r="D22" s="32"/>
      <c r="E22" s="34"/>
      <c r="F22" s="35"/>
      <c r="H22" s="19">
        <f t="shared" si="0"/>
        <v>50</v>
      </c>
      <c r="I22" s="21">
        <v>14800</v>
      </c>
      <c r="J22" s="34"/>
    </row>
    <row r="23" spans="2:14">
      <c r="B23" s="2" t="s">
        <v>7</v>
      </c>
      <c r="C23" s="42">
        <v>30</v>
      </c>
      <c r="D23" s="32"/>
      <c r="E23" s="34"/>
      <c r="F23" s="35"/>
      <c r="H23" s="19">
        <f t="shared" si="0"/>
        <v>47</v>
      </c>
      <c r="I23" s="21">
        <v>16300</v>
      </c>
      <c r="J23" s="34"/>
    </row>
    <row r="24" spans="2:14">
      <c r="B24" s="3" t="s">
        <v>8</v>
      </c>
      <c r="C24" s="46">
        <v>35</v>
      </c>
      <c r="D24" s="32"/>
      <c r="E24" s="34"/>
      <c r="F24" s="35"/>
      <c r="H24" s="19">
        <f t="shared" si="0"/>
        <v>44</v>
      </c>
      <c r="I24" s="21">
        <v>17800</v>
      </c>
      <c r="J24" s="34"/>
    </row>
    <row r="25" spans="2:14">
      <c r="C25" s="36"/>
      <c r="D25" s="34"/>
      <c r="E25" s="34"/>
      <c r="F25" s="35"/>
      <c r="H25" s="19">
        <f t="shared" si="0"/>
        <v>41</v>
      </c>
      <c r="I25" s="21">
        <v>19200</v>
      </c>
      <c r="J25" s="34"/>
    </row>
    <row r="26" spans="2:14">
      <c r="B26" s="7" t="s">
        <v>14</v>
      </c>
      <c r="C26" s="47"/>
      <c r="H26" s="19">
        <f t="shared" si="0"/>
        <v>38</v>
      </c>
      <c r="I26" s="21">
        <v>20400</v>
      </c>
      <c r="J26" s="34"/>
    </row>
    <row r="27" spans="2:14">
      <c r="B27" s="2" t="s">
        <v>15</v>
      </c>
      <c r="C27" s="41" t="s">
        <v>16</v>
      </c>
      <c r="H27" s="19">
        <f t="shared" si="0"/>
        <v>35</v>
      </c>
      <c r="I27" s="21">
        <v>21400</v>
      </c>
      <c r="J27" s="34"/>
    </row>
    <row r="28" spans="2:14">
      <c r="B28" s="2" t="s">
        <v>17</v>
      </c>
      <c r="C28" s="43">
        <v>0.1</v>
      </c>
      <c r="H28" s="19">
        <f t="shared" si="0"/>
        <v>32</v>
      </c>
      <c r="I28" s="21">
        <v>22200</v>
      </c>
      <c r="J28" s="34"/>
    </row>
    <row r="29" spans="2:14">
      <c r="B29" s="2" t="s">
        <v>19</v>
      </c>
      <c r="C29" s="43">
        <v>0.03</v>
      </c>
      <c r="H29" s="19">
        <f t="shared" si="0"/>
        <v>29</v>
      </c>
      <c r="I29" s="21">
        <v>22800</v>
      </c>
      <c r="J29" s="34"/>
    </row>
    <row r="30" spans="2:14">
      <c r="B30" s="6" t="s">
        <v>20</v>
      </c>
      <c r="C30" s="48">
        <v>0.25</v>
      </c>
      <c r="H30" s="19">
        <f t="shared" si="0"/>
        <v>26</v>
      </c>
      <c r="I30" s="21">
        <v>23200</v>
      </c>
      <c r="J30" s="34"/>
    </row>
    <row r="31" spans="2:14">
      <c r="B31" s="13"/>
      <c r="C31" s="12"/>
      <c r="H31" s="19">
        <f t="shared" si="0"/>
        <v>23</v>
      </c>
      <c r="I31" s="21">
        <v>23400</v>
      </c>
      <c r="J31" s="34"/>
    </row>
    <row r="32" spans="2:14">
      <c r="C32" s="32"/>
      <c r="H32" s="20">
        <f t="shared" si="0"/>
        <v>20</v>
      </c>
      <c r="I32" s="22">
        <v>23450</v>
      </c>
      <c r="J32" s="34"/>
      <c r="N32" s="72"/>
    </row>
    <row r="33" spans="2:9">
      <c r="C33" s="33">
        <f>C32/45/1000</f>
        <v>0</v>
      </c>
    </row>
    <row r="34" spans="2:9" ht="16">
      <c r="B34" s="203" t="s">
        <v>27</v>
      </c>
      <c r="C34" s="203"/>
      <c r="D34" s="203"/>
      <c r="E34" s="203"/>
      <c r="F34" s="203"/>
      <c r="G34" s="203"/>
      <c r="H34" s="203"/>
      <c r="I34" s="203"/>
    </row>
    <row r="35" spans="2:9" ht="5.25" customHeight="1"/>
    <row r="36" spans="2:9">
      <c r="B36" s="11" t="s">
        <v>18</v>
      </c>
      <c r="C36" s="5"/>
      <c r="D36" s="5"/>
    </row>
    <row r="37" spans="2:9">
      <c r="B37" t="s">
        <v>33</v>
      </c>
    </row>
    <row r="38" spans="2:9">
      <c r="B38" t="s">
        <v>21</v>
      </c>
    </row>
    <row r="39" spans="2:9">
      <c r="B39" t="s">
        <v>35</v>
      </c>
    </row>
    <row r="41" spans="2:9">
      <c r="B41" s="30" t="s">
        <v>32</v>
      </c>
      <c r="C41" s="29"/>
      <c r="D41" s="29"/>
      <c r="E41" s="29"/>
      <c r="F41" s="29"/>
      <c r="G41" s="29"/>
      <c r="H41" s="29"/>
      <c r="I41" s="29"/>
    </row>
  </sheetData>
  <mergeCells count="8">
    <mergeCell ref="B2:I2"/>
    <mergeCell ref="B34:I34"/>
    <mergeCell ref="B4:I4"/>
    <mergeCell ref="B7:I7"/>
    <mergeCell ref="B6:I6"/>
    <mergeCell ref="B5:I5"/>
    <mergeCell ref="E11:F11"/>
    <mergeCell ref="B9:I9"/>
  </mergeCells>
  <pageMargins left="0.25" right="0.25" top="0.75" bottom="0.75" header="0.3" footer="0.3"/>
  <pageSetup scale="80" orientation="portrait" horizontalDpi="200" verticalDpi="200" r:id="rId1"/>
  <headerFooter>
    <oddHeader>&amp;CPrivileged and Confidential / Reflects Legal Advice and Attorney Work Product</oddHeader>
    <oddFooter>&amp;C©2013 AT&amp;&amp;T Intellectual Property. All rights reserved. AT&amp;&amp;T and the AT&amp;&amp;T logo are trademarks of AT&amp;&amp;T Intellectual Property. AT&amp;T Proprietary (Restricted)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3"/>
  <sheetViews>
    <sheetView showGridLines="0" tabSelected="1" zoomScale="78" workbookViewId="0">
      <selection activeCell="F14" sqref="F14"/>
    </sheetView>
  </sheetViews>
  <sheetFormatPr baseColWidth="10" defaultColWidth="9.1640625" defaultRowHeight="14"/>
  <cols>
    <col min="1" max="1" width="27.83203125" style="49" bestFit="1" customWidth="1"/>
    <col min="2" max="2" width="16.33203125" style="49" bestFit="1" customWidth="1"/>
    <col min="3" max="3" width="14.5" style="49" bestFit="1" customWidth="1"/>
    <col min="4" max="4" width="9.1640625" style="49"/>
    <col min="5" max="5" width="39.1640625" style="49" bestFit="1" customWidth="1"/>
    <col min="6" max="6" width="17.5" style="49" bestFit="1" customWidth="1"/>
    <col min="7" max="7" width="16.1640625" style="49" bestFit="1" customWidth="1"/>
    <col min="8" max="8" width="16.1640625" style="49" customWidth="1"/>
    <col min="9" max="9" width="12.5" style="49" bestFit="1" customWidth="1"/>
    <col min="10" max="10" width="9.33203125" style="49" bestFit="1" customWidth="1"/>
    <col min="11" max="14" width="11.5" style="49" bestFit="1" customWidth="1"/>
    <col min="15" max="15" width="18.5" style="49" bestFit="1" customWidth="1"/>
    <col min="16" max="16" width="15" style="49" bestFit="1" customWidth="1"/>
    <col min="17" max="17" width="11" style="49" bestFit="1" customWidth="1"/>
    <col min="18" max="18" width="14.6640625" style="49" bestFit="1" customWidth="1"/>
    <col min="19" max="16384" width="9.1640625" style="49"/>
  </cols>
  <sheetData>
    <row r="1" spans="1:23" ht="15" customHeight="1" thickBot="1">
      <c r="A1" s="217" t="s">
        <v>132</v>
      </c>
      <c r="B1" s="218"/>
      <c r="J1" s="211" t="s">
        <v>137</v>
      </c>
      <c r="K1" s="212"/>
      <c r="L1" s="213"/>
    </row>
    <row r="2" spans="1:23" ht="15" thickBot="1">
      <c r="A2" s="219" t="s">
        <v>59</v>
      </c>
      <c r="B2" s="220"/>
      <c r="E2" s="153"/>
      <c r="F2" s="156" t="s">
        <v>66</v>
      </c>
      <c r="G2" s="157" t="s">
        <v>115</v>
      </c>
      <c r="H2" s="158" t="s">
        <v>138</v>
      </c>
      <c r="J2" s="101" t="s">
        <v>22</v>
      </c>
      <c r="K2" s="193" t="s">
        <v>101</v>
      </c>
      <c r="L2" s="194" t="s">
        <v>67</v>
      </c>
      <c r="O2" s="70"/>
    </row>
    <row r="3" spans="1:23">
      <c r="A3" s="74" t="s">
        <v>3</v>
      </c>
      <c r="B3" s="121">
        <v>2500000</v>
      </c>
      <c r="E3" s="150" t="s">
        <v>45</v>
      </c>
      <c r="F3" s="151">
        <f>B22</f>
        <v>45</v>
      </c>
      <c r="G3" s="152">
        <v>44</v>
      </c>
      <c r="H3" s="159">
        <f>(G3-F3)/G3</f>
        <v>-2.2727272727272728E-2</v>
      </c>
      <c r="J3" s="133">
        <v>20</v>
      </c>
      <c r="K3" s="134">
        <v>23450000</v>
      </c>
      <c r="L3" s="75"/>
      <c r="O3" s="70"/>
      <c r="P3" s="130"/>
      <c r="R3" s="68"/>
    </row>
    <row r="4" spans="1:23">
      <c r="A4" s="76" t="s">
        <v>62</v>
      </c>
      <c r="B4" s="118">
        <v>2000000</v>
      </c>
      <c r="E4" s="148" t="s">
        <v>61</v>
      </c>
      <c r="F4" s="145">
        <f>B21</f>
        <v>500000000</v>
      </c>
      <c r="G4" s="142">
        <f>G3*G5</f>
        <v>500536091.64720279</v>
      </c>
      <c r="H4" s="159">
        <f t="shared" ref="H4:H8" si="0">(G4-F4)/G4</f>
        <v>1.0710349486259382E-3</v>
      </c>
      <c r="I4" s="141"/>
      <c r="J4" s="135">
        <v>23</v>
      </c>
      <c r="K4" s="132">
        <v>23400000</v>
      </c>
      <c r="L4" s="136">
        <f>((K3-K4)/((K3+K4)/2))/((J3-J4)/((J3+J4)/2))</f>
        <v>-1.529704731412309E-2</v>
      </c>
      <c r="Q4" s="64"/>
      <c r="R4" s="131"/>
    </row>
    <row r="5" spans="1:23" ht="15" thickBot="1">
      <c r="A5" s="78" t="s">
        <v>1</v>
      </c>
      <c r="B5" s="119">
        <f>0.1*F4</f>
        <v>50000000</v>
      </c>
      <c r="E5" s="148" t="s">
        <v>99</v>
      </c>
      <c r="F5" s="146">
        <f>B23</f>
        <v>11111111.111111112</v>
      </c>
      <c r="G5" s="143">
        <f>$F$5*(1+$F$13)</f>
        <v>11375820.264709154</v>
      </c>
      <c r="H5" s="159">
        <f t="shared" si="0"/>
        <v>2.3269456394211942E-2</v>
      </c>
      <c r="I5" s="65"/>
      <c r="J5" s="135">
        <v>26</v>
      </c>
      <c r="K5" s="132">
        <v>23200000</v>
      </c>
      <c r="L5" s="136">
        <f t="shared" ref="L5:L22" si="1">((K4-K5)/((K4+K5)/2))/((J4-J5)/((J4+J5)/2))</f>
        <v>-7.0100143061516448E-2</v>
      </c>
      <c r="Q5" s="64"/>
      <c r="R5" s="65"/>
    </row>
    <row r="6" spans="1:23" ht="15" thickBot="1">
      <c r="A6" s="116" t="s">
        <v>65</v>
      </c>
      <c r="B6" s="117">
        <f>SUBTOTAL(9,B3:B5)</f>
        <v>54500000</v>
      </c>
      <c r="E6" s="148" t="s">
        <v>68</v>
      </c>
      <c r="F6" s="145">
        <f>IF(F5&gt;=18000000,$C$17,IF(AND(F5&gt;=12000000,F5&lt;=17999000),$C$16,IF(AND(F5&gt;=6000000,F5&lt;=11999000),$C$15,$C$14)))</f>
        <v>23</v>
      </c>
      <c r="G6" s="142">
        <f>IF(G5&gt;=18000000,$C$17,IF(AND(G5&gt;=12000000,G5&lt;=17999000),$C$16,IF(AND(G5&gt;=6000000,G5&lt;=11999000),$C$15,$C$14)))</f>
        <v>23</v>
      </c>
      <c r="H6" s="159">
        <f t="shared" si="0"/>
        <v>0</v>
      </c>
      <c r="J6" s="135">
        <v>29</v>
      </c>
      <c r="K6" s="132">
        <v>22800000</v>
      </c>
      <c r="L6" s="136">
        <f t="shared" si="1"/>
        <v>-0.15942028985507248</v>
      </c>
      <c r="Q6" s="64"/>
      <c r="R6" s="129"/>
    </row>
    <row r="7" spans="1:23" ht="16" thickTop="1" thickBot="1">
      <c r="A7" s="94"/>
      <c r="B7" s="115"/>
      <c r="E7" s="148" t="s">
        <v>70</v>
      </c>
      <c r="F7" s="145">
        <f>(B6+(B11*B23))/B23</f>
        <v>29.904999999999998</v>
      </c>
      <c r="G7" s="142">
        <f>(B6+((B9+G6)*G5))/G5</f>
        <v>29.790863316386389</v>
      </c>
      <c r="H7" s="159">
        <f t="shared" si="0"/>
        <v>-3.8312647203757951E-3</v>
      </c>
      <c r="J7" s="135">
        <v>32</v>
      </c>
      <c r="K7" s="132">
        <v>22200000</v>
      </c>
      <c r="L7" s="136">
        <f t="shared" si="1"/>
        <v>-0.27111111111111114</v>
      </c>
      <c r="Q7" s="64"/>
      <c r="R7" s="65"/>
    </row>
    <row r="8" spans="1:23" ht="15" thickBot="1">
      <c r="A8" s="221" t="s">
        <v>63</v>
      </c>
      <c r="B8" s="222"/>
      <c r="E8" s="148" t="s">
        <v>71</v>
      </c>
      <c r="F8" s="147">
        <f>(F3-F7)</f>
        <v>15.095000000000002</v>
      </c>
      <c r="G8" s="144">
        <f>(G3-G7)</f>
        <v>14.209136683613611</v>
      </c>
      <c r="H8" s="159">
        <f t="shared" si="0"/>
        <v>-6.2344626285986443E-2</v>
      </c>
      <c r="J8" s="135">
        <v>35</v>
      </c>
      <c r="K8" s="132">
        <v>21400000</v>
      </c>
      <c r="L8" s="136">
        <f t="shared" si="1"/>
        <v>-0.4097859327217126</v>
      </c>
    </row>
    <row r="9" spans="1:23">
      <c r="A9" s="98" t="s">
        <v>64</v>
      </c>
      <c r="B9" s="120">
        <v>2</v>
      </c>
      <c r="E9" s="148" t="s">
        <v>100</v>
      </c>
      <c r="F9" s="160">
        <f>($F$3-$F$7)/$F$3</f>
        <v>0.33544444444444449</v>
      </c>
      <c r="G9" s="161">
        <f>($G$3-$G$7)/$G$3</f>
        <v>0.32293492462758205</v>
      </c>
      <c r="H9" s="162">
        <f>(G9-F9)</f>
        <v>-1.2509519816862436E-2</v>
      </c>
      <c r="J9" s="135">
        <v>38</v>
      </c>
      <c r="K9" s="132">
        <v>20400000</v>
      </c>
      <c r="L9" s="136">
        <f t="shared" si="1"/>
        <v>-0.58213716108452951</v>
      </c>
    </row>
    <row r="10" spans="1:23" ht="15" thickBot="1">
      <c r="A10" s="78" t="s">
        <v>68</v>
      </c>
      <c r="B10" s="119">
        <f>F6</f>
        <v>23</v>
      </c>
      <c r="E10" s="149" t="s">
        <v>19</v>
      </c>
      <c r="F10" s="154">
        <v>0.03</v>
      </c>
      <c r="G10" s="155">
        <f>F10</f>
        <v>0.03</v>
      </c>
      <c r="H10" s="159">
        <f>(G10-F10)</f>
        <v>0</v>
      </c>
      <c r="J10" s="135">
        <v>41</v>
      </c>
      <c r="K10" s="132">
        <v>19200000</v>
      </c>
      <c r="L10" s="136">
        <f t="shared" si="1"/>
        <v>-0.79797979797979801</v>
      </c>
    </row>
    <row r="11" spans="1:23" ht="15" thickBot="1">
      <c r="A11" s="116" t="s">
        <v>69</v>
      </c>
      <c r="B11" s="117">
        <f>SUM(B9:B10)</f>
        <v>25</v>
      </c>
      <c r="E11" s="66"/>
      <c r="J11" s="135">
        <v>44</v>
      </c>
      <c r="K11" s="132">
        <v>17800000</v>
      </c>
      <c r="L11" s="136">
        <f t="shared" si="1"/>
        <v>-1.0720720720720722</v>
      </c>
    </row>
    <row r="12" spans="1:23" ht="17" thickTop="1" thickBot="1">
      <c r="B12" s="69"/>
      <c r="G12" s="70"/>
      <c r="J12" s="135">
        <v>47</v>
      </c>
      <c r="K12" s="132">
        <v>16300000</v>
      </c>
      <c r="L12" s="136">
        <f t="shared" si="1"/>
        <v>-1.3343108504398828</v>
      </c>
      <c r="U12"/>
      <c r="V12"/>
      <c r="W12"/>
    </row>
    <row r="13" spans="1:23" ht="16" thickBot="1">
      <c r="A13" s="214" t="s">
        <v>12</v>
      </c>
      <c r="B13" s="215"/>
      <c r="C13" s="216"/>
      <c r="E13" s="148" t="s">
        <v>140</v>
      </c>
      <c r="F13" s="191">
        <f>((G3/F3)-1)*F14</f>
        <v>2.3823823823823861E-2</v>
      </c>
      <c r="J13" s="135">
        <v>50</v>
      </c>
      <c r="K13" s="132">
        <v>14800000</v>
      </c>
      <c r="L13" s="136">
        <f t="shared" si="1"/>
        <v>-1.5594855305466235</v>
      </c>
      <c r="U13"/>
      <c r="V13"/>
      <c r="W13"/>
    </row>
    <row r="14" spans="1:23" ht="15">
      <c r="A14" s="122">
        <v>1</v>
      </c>
      <c r="B14" s="123">
        <v>5999000</v>
      </c>
      <c r="C14" s="124">
        <v>27</v>
      </c>
      <c r="E14" s="148" t="s">
        <v>142</v>
      </c>
      <c r="F14" s="192">
        <f>IFERROR(VLOOKUP(G3,$J$3:$L$22,3,FALSE),IFERROR(VLOOKUP(G3+1,J3:L22,3,FALSE),VLOOKUP(G3-1,J3:L22,3,FALSE)))</f>
        <v>-1.0720720720720722</v>
      </c>
      <c r="G14" s="140"/>
      <c r="H14" s="140"/>
      <c r="J14" s="135">
        <v>53</v>
      </c>
      <c r="K14" s="132">
        <v>13300000</v>
      </c>
      <c r="L14" s="136">
        <f t="shared" si="1"/>
        <v>-1.8327402135231317</v>
      </c>
      <c r="U14"/>
      <c r="V14"/>
      <c r="W14"/>
    </row>
    <row r="15" spans="1:23" ht="15">
      <c r="A15" s="122">
        <v>6000000</v>
      </c>
      <c r="B15" s="123">
        <v>11999000</v>
      </c>
      <c r="C15" s="124">
        <v>23</v>
      </c>
      <c r="J15" s="135">
        <v>56</v>
      </c>
      <c r="K15" s="132">
        <v>11700000</v>
      </c>
      <c r="L15" s="136">
        <f t="shared" si="1"/>
        <v>-2.3253333333333335</v>
      </c>
      <c r="U15"/>
      <c r="V15"/>
      <c r="W15"/>
    </row>
    <row r="16" spans="1:23" ht="15">
      <c r="A16" s="122">
        <v>12000000</v>
      </c>
      <c r="B16" s="123">
        <v>17999000</v>
      </c>
      <c r="C16" s="124">
        <v>20</v>
      </c>
      <c r="G16" s="129"/>
      <c r="H16" s="129"/>
      <c r="J16" s="135">
        <v>59</v>
      </c>
      <c r="K16" s="132">
        <v>10100000</v>
      </c>
      <c r="L16" s="136">
        <f t="shared" si="1"/>
        <v>-2.813455657492355</v>
      </c>
      <c r="U16"/>
      <c r="V16"/>
      <c r="W16"/>
    </row>
    <row r="17" spans="1:23" ht="16" thickBot="1">
      <c r="A17" s="125">
        <v>18000000</v>
      </c>
      <c r="B17" s="126"/>
      <c r="C17" s="127">
        <v>18</v>
      </c>
      <c r="J17" s="135">
        <v>62</v>
      </c>
      <c r="K17" s="132">
        <v>8500000</v>
      </c>
      <c r="L17" s="136">
        <f t="shared" si="1"/>
        <v>-3.4695340501792118</v>
      </c>
      <c r="U17"/>
      <c r="V17"/>
      <c r="W17"/>
    </row>
    <row r="18" spans="1:23" ht="16" thickBot="1">
      <c r="J18" s="135">
        <v>65</v>
      </c>
      <c r="K18" s="132">
        <v>7000000</v>
      </c>
      <c r="L18" s="136">
        <f t="shared" si="1"/>
        <v>-4.096774193548387</v>
      </c>
      <c r="U18"/>
      <c r="V18"/>
      <c r="W18"/>
    </row>
    <row r="19" spans="1:23" ht="15">
      <c r="A19" s="163" t="s">
        <v>15</v>
      </c>
      <c r="B19" s="164">
        <v>2000000000</v>
      </c>
      <c r="J19" s="135">
        <v>68</v>
      </c>
      <c r="K19" s="132">
        <v>5600000</v>
      </c>
      <c r="L19" s="136">
        <f t="shared" si="1"/>
        <v>-4.9259259259259256</v>
      </c>
      <c r="U19"/>
      <c r="V19"/>
      <c r="W19"/>
    </row>
    <row r="20" spans="1:23" ht="15">
      <c r="A20" s="165" t="s">
        <v>96</v>
      </c>
      <c r="B20" s="166">
        <v>0.25</v>
      </c>
      <c r="J20" s="135">
        <v>71</v>
      </c>
      <c r="K20" s="132">
        <v>4300000</v>
      </c>
      <c r="L20" s="136">
        <f t="shared" si="1"/>
        <v>-6.0841750841750848</v>
      </c>
      <c r="U20"/>
      <c r="V20"/>
      <c r="W20"/>
    </row>
    <row r="21" spans="1:23" ht="15">
      <c r="A21" s="165" t="s">
        <v>97</v>
      </c>
      <c r="B21" s="167">
        <f>B20*B19</f>
        <v>500000000</v>
      </c>
      <c r="C21" s="69"/>
      <c r="J21" s="135">
        <v>74</v>
      </c>
      <c r="K21" s="132">
        <v>3100000</v>
      </c>
      <c r="L21" s="136">
        <f t="shared" si="1"/>
        <v>-7.8378378378378386</v>
      </c>
      <c r="U21"/>
      <c r="V21"/>
      <c r="W21"/>
    </row>
    <row r="22" spans="1:23" ht="16" thickBot="1">
      <c r="A22" s="165" t="s">
        <v>98</v>
      </c>
      <c r="B22" s="167">
        <v>45</v>
      </c>
      <c r="J22" s="137">
        <v>77</v>
      </c>
      <c r="K22" s="138">
        <v>2000000</v>
      </c>
      <c r="L22" s="139">
        <f t="shared" si="1"/>
        <v>-10.856209150326798</v>
      </c>
      <c r="U22"/>
      <c r="V22"/>
      <c r="W22"/>
    </row>
    <row r="23" spans="1:23" ht="16" thickBot="1">
      <c r="A23" s="168" t="s">
        <v>60</v>
      </c>
      <c r="B23" s="169">
        <f>B21/B22</f>
        <v>11111111.111111112</v>
      </c>
      <c r="U23"/>
      <c r="V23"/>
      <c r="W23"/>
    </row>
    <row r="24" spans="1:23" ht="15">
      <c r="U24"/>
      <c r="V24"/>
      <c r="W24"/>
    </row>
    <row r="25" spans="1:23" ht="15">
      <c r="U25"/>
      <c r="V25"/>
      <c r="W25"/>
    </row>
    <row r="26" spans="1:23" ht="15">
      <c r="K26" s="68"/>
      <c r="U26"/>
      <c r="V26"/>
      <c r="W26"/>
    </row>
    <row r="27" spans="1:23" ht="15">
      <c r="J27" s="128"/>
      <c r="U27"/>
      <c r="V27"/>
      <c r="W27"/>
    </row>
    <row r="28" spans="1:23" ht="16" thickBot="1">
      <c r="E28"/>
      <c r="U28"/>
      <c r="V28"/>
      <c r="W28"/>
    </row>
    <row r="29" spans="1:23" ht="16" thickBot="1">
      <c r="A29" s="208" t="s">
        <v>139</v>
      </c>
      <c r="B29" s="209"/>
      <c r="C29" s="209"/>
      <c r="D29" s="209"/>
      <c r="E29" s="209"/>
      <c r="F29" s="209"/>
      <c r="G29" s="209"/>
      <c r="H29" s="209"/>
      <c r="I29" s="209"/>
      <c r="J29" s="209"/>
      <c r="K29" s="210"/>
      <c r="O29"/>
      <c r="P29"/>
      <c r="U29"/>
      <c r="V29"/>
      <c r="W29"/>
    </row>
    <row r="30" spans="1:23" ht="15">
      <c r="A30" s="188"/>
      <c r="B30" s="189" t="s">
        <v>73</v>
      </c>
      <c r="C30" s="189"/>
      <c r="D30" s="189"/>
      <c r="E30" s="189"/>
      <c r="F30" s="189"/>
      <c r="G30" s="189"/>
      <c r="H30" s="189"/>
      <c r="I30" s="189"/>
      <c r="J30" s="189"/>
      <c r="K30" s="190"/>
      <c r="O30"/>
      <c r="P30"/>
      <c r="Q30"/>
      <c r="R30"/>
      <c r="S30"/>
      <c r="T30"/>
      <c r="U30"/>
      <c r="V30"/>
      <c r="W30"/>
    </row>
    <row r="31" spans="1:23" ht="15">
      <c r="A31" s="177"/>
      <c r="B31" s="170"/>
      <c r="C31" s="170"/>
      <c r="D31" s="170"/>
      <c r="E31" s="170"/>
      <c r="F31" s="170"/>
      <c r="G31" s="170"/>
      <c r="H31" s="170"/>
      <c r="I31" s="170"/>
      <c r="J31" s="170"/>
      <c r="K31" s="178"/>
      <c r="O31"/>
      <c r="P31"/>
      <c r="Q31"/>
      <c r="R31"/>
      <c r="S31"/>
      <c r="T31"/>
      <c r="U31"/>
      <c r="V31"/>
      <c r="W31"/>
    </row>
    <row r="32" spans="1:23" ht="15">
      <c r="A32" s="177"/>
      <c r="B32" s="171" t="s">
        <v>74</v>
      </c>
      <c r="C32" s="171"/>
      <c r="D32" s="170"/>
      <c r="E32" s="170"/>
      <c r="F32" s="170"/>
      <c r="G32" s="170"/>
      <c r="H32" s="170"/>
      <c r="I32" s="170"/>
      <c r="J32" s="170"/>
      <c r="K32" s="178"/>
      <c r="Q32"/>
      <c r="R32"/>
      <c r="S32"/>
      <c r="T32"/>
      <c r="U32"/>
      <c r="V32"/>
      <c r="W32"/>
    </row>
    <row r="33" spans="1:11" ht="15">
      <c r="A33" s="177"/>
      <c r="B33" s="172" t="s">
        <v>75</v>
      </c>
      <c r="C33" s="172">
        <v>0.98745336389573801</v>
      </c>
      <c r="D33" s="170"/>
      <c r="E33" s="170"/>
      <c r="F33" s="170"/>
      <c r="G33" s="170"/>
      <c r="H33" s="170"/>
      <c r="I33" s="170"/>
      <c r="J33" s="170"/>
      <c r="K33" s="178"/>
    </row>
    <row r="34" spans="1:11" ht="15">
      <c r="A34" s="177"/>
      <c r="B34" s="172" t="s">
        <v>76</v>
      </c>
      <c r="C34" s="172">
        <v>0.97506414586900869</v>
      </c>
      <c r="D34" s="170"/>
      <c r="E34" s="170"/>
      <c r="F34" s="170"/>
      <c r="G34" s="170"/>
      <c r="H34" s="170"/>
      <c r="I34" s="170"/>
      <c r="J34" s="170"/>
      <c r="K34" s="178"/>
    </row>
    <row r="35" spans="1:11" ht="15">
      <c r="A35" s="177"/>
      <c r="B35" s="172" t="s">
        <v>77</v>
      </c>
      <c r="C35" s="172">
        <v>0.97367882063950917</v>
      </c>
      <c r="D35" s="170"/>
      <c r="E35" s="170"/>
      <c r="F35" s="170"/>
      <c r="G35" s="170"/>
      <c r="H35" s="170"/>
      <c r="I35" s="170"/>
      <c r="J35" s="170"/>
      <c r="K35" s="178"/>
    </row>
    <row r="36" spans="1:11" ht="15">
      <c r="A36" s="177"/>
      <c r="B36" s="172" t="s">
        <v>78</v>
      </c>
      <c r="C36" s="172">
        <v>1218774.5242054127</v>
      </c>
      <c r="D36" s="170"/>
      <c r="E36" s="170"/>
      <c r="F36" s="170"/>
      <c r="G36" s="170"/>
      <c r="H36" s="170"/>
      <c r="I36" s="170"/>
      <c r="J36" s="170"/>
      <c r="K36" s="178"/>
    </row>
    <row r="37" spans="1:11" ht="15">
      <c r="A37" s="177"/>
      <c r="B37" s="172" t="s">
        <v>79</v>
      </c>
      <c r="C37" s="172">
        <v>20</v>
      </c>
      <c r="D37" s="170"/>
      <c r="E37" s="170"/>
      <c r="F37" s="170"/>
      <c r="G37" s="170"/>
      <c r="H37" s="170"/>
      <c r="I37" s="170"/>
      <c r="J37" s="170"/>
      <c r="K37" s="178"/>
    </row>
    <row r="38" spans="1:11" ht="15">
      <c r="A38" s="177"/>
      <c r="B38" s="170"/>
      <c r="C38" s="170"/>
      <c r="D38" s="170"/>
      <c r="E38" s="170"/>
      <c r="F38" s="170"/>
      <c r="G38" s="170"/>
      <c r="H38" s="170"/>
      <c r="I38" s="170"/>
      <c r="J38" s="170"/>
      <c r="K38" s="178"/>
    </row>
    <row r="39" spans="1:11" ht="15">
      <c r="A39" s="177"/>
      <c r="B39" s="170" t="s">
        <v>80</v>
      </c>
      <c r="C39" s="170"/>
      <c r="D39" s="170"/>
      <c r="E39" s="170"/>
      <c r="F39" s="170"/>
      <c r="G39" s="170"/>
      <c r="H39" s="170"/>
      <c r="I39" s="170"/>
      <c r="J39" s="170"/>
      <c r="K39" s="178"/>
    </row>
    <row r="40" spans="1:11" ht="15">
      <c r="A40" s="177"/>
      <c r="B40" s="173"/>
      <c r="C40" s="173" t="s">
        <v>85</v>
      </c>
      <c r="D40" s="173" t="s">
        <v>57</v>
      </c>
      <c r="E40" s="173"/>
      <c r="F40" s="173" t="s">
        <v>86</v>
      </c>
      <c r="G40" s="173" t="s">
        <v>87</v>
      </c>
      <c r="H40" s="173" t="s">
        <v>88</v>
      </c>
      <c r="I40" s="170"/>
      <c r="J40" s="170"/>
      <c r="K40" s="178"/>
    </row>
    <row r="41" spans="1:11" ht="15">
      <c r="A41" s="177"/>
      <c r="B41" s="172" t="s">
        <v>81</v>
      </c>
      <c r="C41" s="172">
        <v>1</v>
      </c>
      <c r="D41" s="172">
        <v>1045509970864661.6</v>
      </c>
      <c r="E41" s="172"/>
      <c r="F41" s="172">
        <v>1045509970864661.6</v>
      </c>
      <c r="G41" s="172">
        <v>703.85215334688917</v>
      </c>
      <c r="H41" s="172">
        <v>6.9923462947093927E-16</v>
      </c>
      <c r="I41" s="170"/>
      <c r="J41" s="170"/>
      <c r="K41" s="178"/>
    </row>
    <row r="42" spans="1:11" ht="15">
      <c r="A42" s="177"/>
      <c r="B42" s="172" t="s">
        <v>82</v>
      </c>
      <c r="C42" s="172">
        <v>18</v>
      </c>
      <c r="D42" s="172">
        <v>26737404135338.34</v>
      </c>
      <c r="E42" s="172"/>
      <c r="F42" s="172">
        <v>1485411340852.1299</v>
      </c>
      <c r="G42" s="172"/>
      <c r="H42" s="172"/>
      <c r="I42" s="170"/>
      <c r="J42" s="170"/>
      <c r="K42" s="178"/>
    </row>
    <row r="43" spans="1:11" ht="15">
      <c r="A43" s="177"/>
      <c r="B43" s="172" t="s">
        <v>83</v>
      </c>
      <c r="C43" s="172">
        <v>19</v>
      </c>
      <c r="D43" s="172">
        <v>1072247375000000</v>
      </c>
      <c r="E43" s="172"/>
      <c r="F43" s="172"/>
      <c r="G43" s="172"/>
      <c r="H43" s="172"/>
      <c r="I43" s="170"/>
      <c r="J43" s="170"/>
      <c r="K43" s="178"/>
    </row>
    <row r="44" spans="1:11" ht="15">
      <c r="A44" s="177"/>
      <c r="B44" s="170"/>
      <c r="C44" s="170"/>
      <c r="D44" s="170"/>
      <c r="E44" s="170"/>
      <c r="F44" s="170"/>
      <c r="G44" s="170"/>
      <c r="H44" s="170"/>
      <c r="I44" s="170"/>
      <c r="J44" s="170"/>
      <c r="K44" s="178"/>
    </row>
    <row r="45" spans="1:11" ht="15">
      <c r="A45" s="177"/>
      <c r="B45" s="200"/>
      <c r="C45" s="200" t="s">
        <v>89</v>
      </c>
      <c r="D45" s="200" t="s">
        <v>78</v>
      </c>
      <c r="E45" s="173"/>
      <c r="F45" s="173" t="s">
        <v>90</v>
      </c>
      <c r="G45" s="173" t="s">
        <v>91</v>
      </c>
      <c r="H45" s="173" t="s">
        <v>92</v>
      </c>
      <c r="I45" s="173" t="s">
        <v>93</v>
      </c>
      <c r="J45" s="173" t="s">
        <v>94</v>
      </c>
      <c r="K45" s="179" t="s">
        <v>95</v>
      </c>
    </row>
    <row r="46" spans="1:11" ht="15">
      <c r="A46" s="177"/>
      <c r="B46" s="201" t="s">
        <v>84</v>
      </c>
      <c r="C46" s="201">
        <v>34798433.583959892</v>
      </c>
      <c r="D46" s="201">
        <v>811217.11730384117</v>
      </c>
      <c r="E46" s="172"/>
      <c r="F46" s="172">
        <v>42.896572128083129</v>
      </c>
      <c r="G46" s="172">
        <v>1.3995035667305238E-19</v>
      </c>
      <c r="H46" s="172">
        <v>33094129.662795454</v>
      </c>
      <c r="I46" s="172">
        <v>36502737.505124331</v>
      </c>
      <c r="J46" s="172">
        <v>33094129.662795454</v>
      </c>
      <c r="K46" s="180">
        <v>36502737.505124331</v>
      </c>
    </row>
    <row r="47" spans="1:11" ht="15">
      <c r="A47" s="177"/>
      <c r="B47" s="201" t="s">
        <v>22</v>
      </c>
      <c r="C47" s="201">
        <v>-417957.39348370919</v>
      </c>
      <c r="D47" s="201">
        <v>15754.01629369932</v>
      </c>
      <c r="E47" s="172"/>
      <c r="F47" s="172">
        <v>-26.530212086353341</v>
      </c>
      <c r="G47" s="172">
        <v>6.992346294709442E-16</v>
      </c>
      <c r="H47" s="172">
        <v>-451055.35353745852</v>
      </c>
      <c r="I47" s="172">
        <v>-384859.43342995987</v>
      </c>
      <c r="J47" s="172">
        <v>-451055.35353745852</v>
      </c>
      <c r="K47" s="180">
        <v>-384859.43342995987</v>
      </c>
    </row>
    <row r="48" spans="1:11" ht="15">
      <c r="A48" s="177"/>
      <c r="B48" s="170"/>
      <c r="C48" s="170"/>
      <c r="D48" s="170"/>
      <c r="E48" s="170"/>
      <c r="F48" s="170"/>
      <c r="G48" s="170"/>
      <c r="H48" s="170"/>
      <c r="I48" s="170"/>
      <c r="J48" s="170"/>
      <c r="K48" s="178"/>
    </row>
    <row r="49" spans="1:11" ht="15">
      <c r="A49" s="177"/>
      <c r="B49" s="170"/>
      <c r="C49" s="174">
        <f>(C47*44)+C46</f>
        <v>16408308.270676687</v>
      </c>
      <c r="D49" s="170"/>
      <c r="E49" s="170"/>
      <c r="F49" s="170"/>
      <c r="G49" s="170"/>
      <c r="H49" s="170"/>
      <c r="I49" s="170"/>
      <c r="J49" s="170"/>
      <c r="K49" s="178"/>
    </row>
    <row r="50" spans="1:11" ht="15">
      <c r="A50" s="177"/>
      <c r="B50" s="170"/>
      <c r="C50" s="170"/>
      <c r="D50" s="170"/>
      <c r="E50" s="170"/>
      <c r="F50" s="170"/>
      <c r="G50" s="170"/>
      <c r="H50" s="170"/>
      <c r="I50" s="170"/>
      <c r="J50" s="170"/>
      <c r="K50" s="178"/>
    </row>
    <row r="51" spans="1:11" ht="15">
      <c r="A51" s="177"/>
      <c r="B51" s="170" t="s">
        <v>133</v>
      </c>
      <c r="C51" s="170"/>
      <c r="D51" s="170"/>
      <c r="E51" s="170"/>
      <c r="F51" s="170"/>
      <c r="G51" s="170"/>
      <c r="H51" s="170"/>
      <c r="I51" s="170"/>
      <c r="J51" s="170"/>
      <c r="K51" s="178"/>
    </row>
    <row r="52" spans="1:11" ht="15">
      <c r="A52" s="177"/>
      <c r="B52" s="170"/>
      <c r="C52" s="170"/>
      <c r="D52" s="170"/>
      <c r="E52" s="170"/>
      <c r="F52" s="170"/>
      <c r="G52" s="170"/>
      <c r="H52" s="170"/>
      <c r="I52" s="170"/>
      <c r="J52" s="170"/>
      <c r="K52" s="178"/>
    </row>
    <row r="53" spans="1:11" ht="15">
      <c r="A53" s="177"/>
      <c r="B53" s="173" t="s">
        <v>134</v>
      </c>
      <c r="C53" s="173" t="s">
        <v>135</v>
      </c>
      <c r="D53" s="173" t="s">
        <v>136</v>
      </c>
      <c r="E53" s="173"/>
      <c r="F53" s="170"/>
      <c r="G53" s="170"/>
      <c r="H53" s="170"/>
      <c r="I53" s="170"/>
      <c r="J53" s="170"/>
      <c r="K53" s="178"/>
    </row>
    <row r="54" spans="1:11" ht="15">
      <c r="A54" s="181">
        <f t="shared" ref="A54:A73" si="2">J3</f>
        <v>20</v>
      </c>
      <c r="B54" s="172">
        <v>1</v>
      </c>
      <c r="C54" s="175">
        <v>26439285.714285709</v>
      </c>
      <c r="D54" s="172">
        <v>-2989285.714285709</v>
      </c>
      <c r="E54" s="172"/>
      <c r="F54" s="176">
        <f>C54+D54</f>
        <v>23450000</v>
      </c>
      <c r="G54" s="170"/>
      <c r="H54" s="170"/>
      <c r="I54" s="170"/>
      <c r="J54" s="170"/>
      <c r="K54" s="178"/>
    </row>
    <row r="55" spans="1:11" ht="15">
      <c r="A55" s="181">
        <f t="shared" si="2"/>
        <v>23</v>
      </c>
      <c r="B55" s="172">
        <v>2</v>
      </c>
      <c r="C55" s="175">
        <v>25185413.53383458</v>
      </c>
      <c r="D55" s="172">
        <v>-1785413.5338345803</v>
      </c>
      <c r="E55" s="172"/>
      <c r="F55" s="176">
        <f t="shared" ref="F55:F73" si="3">C55+D55</f>
        <v>23400000</v>
      </c>
      <c r="G55" s="170"/>
      <c r="H55" s="170"/>
      <c r="I55" s="170"/>
      <c r="J55" s="170"/>
      <c r="K55" s="178"/>
    </row>
    <row r="56" spans="1:11" ht="15">
      <c r="A56" s="181">
        <f t="shared" si="2"/>
        <v>26</v>
      </c>
      <c r="B56" s="172">
        <v>3</v>
      </c>
      <c r="C56" s="175">
        <v>23931541.353383452</v>
      </c>
      <c r="D56" s="172">
        <v>-731541.3533834517</v>
      </c>
      <c r="E56" s="172"/>
      <c r="F56" s="176">
        <f t="shared" si="3"/>
        <v>23200000</v>
      </c>
      <c r="G56" s="170"/>
      <c r="H56" s="170"/>
      <c r="I56" s="170"/>
      <c r="J56" s="170"/>
      <c r="K56" s="178"/>
    </row>
    <row r="57" spans="1:11" ht="15">
      <c r="A57" s="181">
        <f t="shared" si="2"/>
        <v>29</v>
      </c>
      <c r="B57" s="172">
        <v>4</v>
      </c>
      <c r="C57" s="175">
        <v>22677669.172932327</v>
      </c>
      <c r="D57" s="172">
        <v>122330.82706767321</v>
      </c>
      <c r="E57" s="172"/>
      <c r="F57" s="176">
        <f t="shared" si="3"/>
        <v>22800000</v>
      </c>
      <c r="G57" s="170"/>
      <c r="H57" s="170"/>
      <c r="I57" s="170"/>
      <c r="J57" s="170"/>
      <c r="K57" s="178"/>
    </row>
    <row r="58" spans="1:11" ht="15">
      <c r="A58" s="181">
        <f t="shared" si="2"/>
        <v>32</v>
      </c>
      <c r="B58" s="172">
        <v>5</v>
      </c>
      <c r="C58" s="175">
        <v>21423796.992481198</v>
      </c>
      <c r="D58" s="172">
        <v>776203.00751880184</v>
      </c>
      <c r="E58" s="172"/>
      <c r="F58" s="176">
        <f t="shared" si="3"/>
        <v>22200000</v>
      </c>
      <c r="G58" s="170"/>
      <c r="H58" s="170"/>
      <c r="I58" s="170"/>
      <c r="J58" s="170"/>
      <c r="K58" s="178"/>
    </row>
    <row r="59" spans="1:11" ht="15">
      <c r="A59" s="181">
        <f t="shared" si="2"/>
        <v>35</v>
      </c>
      <c r="B59" s="172">
        <v>6</v>
      </c>
      <c r="C59" s="175">
        <v>20169924.81203007</v>
      </c>
      <c r="D59" s="172">
        <v>1230075.1879699305</v>
      </c>
      <c r="E59" s="172"/>
      <c r="F59" s="176">
        <f t="shared" si="3"/>
        <v>21400000</v>
      </c>
      <c r="G59" s="170"/>
      <c r="H59" s="170"/>
      <c r="I59" s="170"/>
      <c r="J59" s="170"/>
      <c r="K59" s="178"/>
    </row>
    <row r="60" spans="1:11" ht="15">
      <c r="A60" s="181">
        <f t="shared" si="2"/>
        <v>38</v>
      </c>
      <c r="B60" s="172">
        <v>7</v>
      </c>
      <c r="C60" s="175">
        <v>18916052.631578945</v>
      </c>
      <c r="D60" s="172">
        <v>1483947.3684210554</v>
      </c>
      <c r="E60" s="172"/>
      <c r="F60" s="176">
        <f t="shared" si="3"/>
        <v>20400000</v>
      </c>
      <c r="G60" s="170"/>
      <c r="H60" s="170"/>
      <c r="I60" s="170"/>
      <c r="J60" s="170"/>
      <c r="K60" s="178"/>
    </row>
    <row r="61" spans="1:11" ht="15">
      <c r="A61" s="181">
        <f t="shared" si="2"/>
        <v>41</v>
      </c>
      <c r="B61" s="172">
        <v>8</v>
      </c>
      <c r="C61" s="175">
        <v>17662180.451127816</v>
      </c>
      <c r="D61" s="172">
        <v>1537819.548872184</v>
      </c>
      <c r="E61" s="172"/>
      <c r="F61" s="176">
        <f t="shared" si="3"/>
        <v>19200000</v>
      </c>
      <c r="G61" s="170"/>
      <c r="H61" s="170"/>
      <c r="I61" s="170"/>
      <c r="J61" s="170"/>
      <c r="K61" s="178"/>
    </row>
    <row r="62" spans="1:11" ht="15">
      <c r="A62" s="181">
        <f t="shared" si="2"/>
        <v>44</v>
      </c>
      <c r="B62" s="172">
        <v>9</v>
      </c>
      <c r="C62" s="175">
        <v>16408308.270676687</v>
      </c>
      <c r="D62" s="175">
        <v>1391691.7293233126</v>
      </c>
      <c r="E62" s="175"/>
      <c r="F62" s="176">
        <f t="shared" si="3"/>
        <v>17800000</v>
      </c>
      <c r="G62" s="170"/>
      <c r="H62" s="170"/>
      <c r="I62" s="170"/>
      <c r="J62" s="170"/>
      <c r="K62" s="178"/>
    </row>
    <row r="63" spans="1:11" ht="15">
      <c r="A63" s="181">
        <f t="shared" si="2"/>
        <v>47</v>
      </c>
      <c r="B63" s="172">
        <v>10</v>
      </c>
      <c r="C63" s="175">
        <v>15154436.090225559</v>
      </c>
      <c r="D63" s="172">
        <v>1145563.9097744413</v>
      </c>
      <c r="E63" s="172"/>
      <c r="F63" s="176">
        <f t="shared" si="3"/>
        <v>16300000</v>
      </c>
      <c r="G63" s="170"/>
      <c r="H63" s="170"/>
      <c r="I63" s="170"/>
      <c r="J63" s="170"/>
      <c r="K63" s="178"/>
    </row>
    <row r="64" spans="1:11" ht="15">
      <c r="A64" s="181">
        <f t="shared" si="2"/>
        <v>50</v>
      </c>
      <c r="B64" s="172">
        <v>11</v>
      </c>
      <c r="C64" s="175">
        <v>13900563.909774434</v>
      </c>
      <c r="D64" s="172">
        <v>899436.09022556618</v>
      </c>
      <c r="E64" s="172"/>
      <c r="F64" s="176">
        <f t="shared" si="3"/>
        <v>14800000</v>
      </c>
      <c r="G64" s="170"/>
      <c r="H64" s="170"/>
      <c r="I64" s="170"/>
      <c r="J64" s="170"/>
      <c r="K64" s="178"/>
    </row>
    <row r="65" spans="1:11" ht="15">
      <c r="A65" s="181">
        <f t="shared" si="2"/>
        <v>53</v>
      </c>
      <c r="B65" s="172">
        <v>12</v>
      </c>
      <c r="C65" s="175">
        <v>12646691.729323305</v>
      </c>
      <c r="D65" s="172">
        <v>653308.27067669481</v>
      </c>
      <c r="E65" s="172"/>
      <c r="F65" s="176">
        <f t="shared" si="3"/>
        <v>13300000</v>
      </c>
      <c r="G65" s="170"/>
      <c r="H65" s="170"/>
      <c r="I65" s="170"/>
      <c r="J65" s="170"/>
      <c r="K65" s="178"/>
    </row>
    <row r="66" spans="1:11" ht="15">
      <c r="A66" s="181">
        <f t="shared" si="2"/>
        <v>56</v>
      </c>
      <c r="B66" s="172">
        <v>13</v>
      </c>
      <c r="C66" s="175">
        <v>11392819.548872177</v>
      </c>
      <c r="D66" s="172">
        <v>307180.45112782344</v>
      </c>
      <c r="E66" s="172"/>
      <c r="F66" s="176">
        <f t="shared" si="3"/>
        <v>11700000</v>
      </c>
      <c r="G66" s="170"/>
      <c r="H66" s="170"/>
      <c r="I66" s="170"/>
      <c r="J66" s="170"/>
      <c r="K66" s="178"/>
    </row>
    <row r="67" spans="1:11" ht="15">
      <c r="A67" s="181">
        <f t="shared" si="2"/>
        <v>59</v>
      </c>
      <c r="B67" s="172">
        <v>14</v>
      </c>
      <c r="C67" s="175">
        <v>10138947.368421052</v>
      </c>
      <c r="D67" s="172">
        <v>-38947.368421051651</v>
      </c>
      <c r="E67" s="172"/>
      <c r="F67" s="176">
        <f t="shared" si="3"/>
        <v>10100000</v>
      </c>
      <c r="G67" s="170"/>
      <c r="H67" s="170"/>
      <c r="I67" s="170"/>
      <c r="J67" s="170"/>
      <c r="K67" s="178"/>
    </row>
    <row r="68" spans="1:11" ht="15">
      <c r="A68" s="181">
        <f t="shared" si="2"/>
        <v>62</v>
      </c>
      <c r="B68" s="172">
        <v>15</v>
      </c>
      <c r="C68" s="175">
        <v>8885075.187969923</v>
      </c>
      <c r="D68" s="172">
        <v>-385075.18796992302</v>
      </c>
      <c r="E68" s="172"/>
      <c r="F68" s="176">
        <f t="shared" si="3"/>
        <v>8500000</v>
      </c>
      <c r="G68" s="170"/>
      <c r="H68" s="170"/>
      <c r="I68" s="170"/>
      <c r="J68" s="170"/>
      <c r="K68" s="178"/>
    </row>
    <row r="69" spans="1:11" ht="15">
      <c r="A69" s="181">
        <f t="shared" si="2"/>
        <v>65</v>
      </c>
      <c r="B69" s="172">
        <v>16</v>
      </c>
      <c r="C69" s="175">
        <v>7631203.0075187944</v>
      </c>
      <c r="D69" s="172">
        <v>-631203.00751879439</v>
      </c>
      <c r="E69" s="172"/>
      <c r="F69" s="176">
        <f t="shared" si="3"/>
        <v>7000000</v>
      </c>
      <c r="G69" s="170"/>
      <c r="H69" s="170"/>
      <c r="I69" s="170"/>
      <c r="J69" s="170"/>
      <c r="K69" s="178"/>
    </row>
    <row r="70" spans="1:11" ht="15">
      <c r="A70" s="181">
        <f t="shared" si="2"/>
        <v>68</v>
      </c>
      <c r="B70" s="172">
        <v>17</v>
      </c>
      <c r="C70" s="175">
        <v>6377330.8270676658</v>
      </c>
      <c r="D70" s="172">
        <v>-777330.82706766576</v>
      </c>
      <c r="E70" s="172"/>
      <c r="F70" s="176">
        <f t="shared" si="3"/>
        <v>5600000</v>
      </c>
      <c r="G70" s="170"/>
      <c r="H70" s="170"/>
      <c r="I70" s="170"/>
      <c r="J70" s="170"/>
      <c r="K70" s="178"/>
    </row>
    <row r="71" spans="1:11" ht="15">
      <c r="A71" s="181">
        <f t="shared" si="2"/>
        <v>71</v>
      </c>
      <c r="B71" s="172">
        <v>18</v>
      </c>
      <c r="C71" s="175">
        <v>5123458.6466165408</v>
      </c>
      <c r="D71" s="172">
        <v>-823458.64661654085</v>
      </c>
      <c r="E71" s="172"/>
      <c r="F71" s="176">
        <f t="shared" si="3"/>
        <v>4300000</v>
      </c>
      <c r="G71" s="170"/>
      <c r="H71" s="170"/>
      <c r="I71" s="170"/>
      <c r="J71" s="170"/>
      <c r="K71" s="178"/>
    </row>
    <row r="72" spans="1:11" ht="15">
      <c r="A72" s="181">
        <f t="shared" si="2"/>
        <v>74</v>
      </c>
      <c r="B72" s="172">
        <v>19</v>
      </c>
      <c r="C72" s="175">
        <v>3869586.4661654122</v>
      </c>
      <c r="D72" s="172">
        <v>-769586.46616541222</v>
      </c>
      <c r="E72" s="172"/>
      <c r="F72" s="176">
        <f t="shared" si="3"/>
        <v>3100000</v>
      </c>
      <c r="G72" s="170"/>
      <c r="H72" s="170"/>
      <c r="I72" s="170"/>
      <c r="J72" s="170"/>
      <c r="K72" s="178"/>
    </row>
    <row r="73" spans="1:11" ht="16" thickBot="1">
      <c r="A73" s="182">
        <f t="shared" si="2"/>
        <v>77</v>
      </c>
      <c r="B73" s="183">
        <v>20</v>
      </c>
      <c r="C73" s="184">
        <v>2615714.2857142836</v>
      </c>
      <c r="D73" s="183">
        <v>-615714.28571428359</v>
      </c>
      <c r="E73" s="183"/>
      <c r="F73" s="185">
        <f t="shared" si="3"/>
        <v>2000000</v>
      </c>
      <c r="G73" s="186"/>
      <c r="H73" s="186"/>
      <c r="I73" s="186"/>
      <c r="J73" s="186"/>
      <c r="K73" s="187"/>
    </row>
  </sheetData>
  <mergeCells count="6">
    <mergeCell ref="A29:K29"/>
    <mergeCell ref="J1:L1"/>
    <mergeCell ref="A13:C13"/>
    <mergeCell ref="A1:B1"/>
    <mergeCell ref="A2:B2"/>
    <mergeCell ref="A8:B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2:Z35"/>
  <sheetViews>
    <sheetView zoomScale="111" workbookViewId="0">
      <selection activeCell="D24" sqref="D24"/>
    </sheetView>
  </sheetViews>
  <sheetFormatPr baseColWidth="10" defaultColWidth="9.1640625" defaultRowHeight="14"/>
  <cols>
    <col min="1" max="4" width="9.1640625" style="49"/>
    <col min="5" max="5" width="12" style="49" bestFit="1" customWidth="1"/>
    <col min="6" max="6" width="11" style="49" bestFit="1" customWidth="1"/>
    <col min="7" max="8" width="10" style="49" bestFit="1" customWidth="1"/>
    <col min="9" max="16384" width="9.1640625" style="49"/>
  </cols>
  <sheetData>
    <row r="2" spans="1:26">
      <c r="F2" s="52" t="s">
        <v>53</v>
      </c>
      <c r="G2" s="49">
        <v>2</v>
      </c>
      <c r="H2" s="49">
        <v>1</v>
      </c>
    </row>
    <row r="3" spans="1:26">
      <c r="F3" s="52" t="s">
        <v>54</v>
      </c>
      <c r="G3" s="49" t="str">
        <f>INDEX($F$14:$F$15,G$2)</f>
        <v>Retail Price</v>
      </c>
      <c r="H3" s="49" t="str">
        <f>INDEX($F$14:$F$15,H$2)</f>
        <v>Quantity</v>
      </c>
    </row>
    <row r="4" spans="1:26">
      <c r="A4" s="49" t="s">
        <v>143</v>
      </c>
      <c r="F4" s="52" t="s">
        <v>50</v>
      </c>
      <c r="G4" s="73">
        <f t="array" ref="G4:Z8">LINEST(G14:Z14,G15:Z15,,TRUE)</f>
        <v>-3.8607711924022653E-2</v>
      </c>
      <c r="H4" s="68">
        <v>18.164446286003436</v>
      </c>
      <c r="I4" s="49" t="e">
        <v>#N/A</v>
      </c>
      <c r="J4" s="49" t="e">
        <v>#N/A</v>
      </c>
      <c r="K4" s="49" t="e">
        <v>#N/A</v>
      </c>
      <c r="L4" s="49" t="e">
        <v>#N/A</v>
      </c>
      <c r="M4" s="49" t="e">
        <v>#N/A</v>
      </c>
      <c r="N4" s="49" t="e">
        <v>#N/A</v>
      </c>
      <c r="O4" s="49" t="e">
        <v>#N/A</v>
      </c>
      <c r="P4" s="49" t="e">
        <v>#N/A</v>
      </c>
      <c r="Q4" s="49" t="e">
        <v>#N/A</v>
      </c>
      <c r="R4" s="49" t="e">
        <v>#N/A</v>
      </c>
      <c r="S4" s="49" t="e">
        <v>#N/A</v>
      </c>
      <c r="T4" s="49" t="e">
        <v>#N/A</v>
      </c>
      <c r="U4" s="49" t="e">
        <v>#N/A</v>
      </c>
      <c r="V4" s="49" t="e">
        <v>#N/A</v>
      </c>
      <c r="W4" s="49" t="e">
        <v>#N/A</v>
      </c>
      <c r="X4" s="49" t="e">
        <v>#N/A</v>
      </c>
      <c r="Y4" s="49" t="e">
        <v>#N/A</v>
      </c>
      <c r="Z4" s="49" t="e">
        <v>#N/A</v>
      </c>
    </row>
    <row r="5" spans="1:26">
      <c r="A5" s="49" t="s">
        <v>144</v>
      </c>
      <c r="F5" s="52" t="s">
        <v>55</v>
      </c>
      <c r="G5" s="68">
        <v>3.6746850471921213E-3</v>
      </c>
      <c r="H5" s="68">
        <v>0.1892195206231273</v>
      </c>
      <c r="I5" s="49" t="e">
        <v>#N/A</v>
      </c>
      <c r="J5" s="49" t="e">
        <v>#N/A</v>
      </c>
      <c r="K5" s="49" t="e">
        <v>#N/A</v>
      </c>
      <c r="L5" s="49" t="e">
        <v>#N/A</v>
      </c>
      <c r="M5" s="49" t="e">
        <v>#N/A</v>
      </c>
      <c r="N5" s="49" t="e">
        <v>#N/A</v>
      </c>
      <c r="O5" s="49" t="e">
        <v>#N/A</v>
      </c>
      <c r="P5" s="49" t="e">
        <v>#N/A</v>
      </c>
      <c r="Q5" s="49" t="e">
        <v>#N/A</v>
      </c>
      <c r="R5" s="49" t="e">
        <v>#N/A</v>
      </c>
      <c r="S5" s="49" t="e">
        <v>#N/A</v>
      </c>
      <c r="T5" s="49" t="e">
        <v>#N/A</v>
      </c>
      <c r="U5" s="49" t="e">
        <v>#N/A</v>
      </c>
      <c r="V5" s="49" t="e">
        <v>#N/A</v>
      </c>
      <c r="W5" s="49" t="e">
        <v>#N/A</v>
      </c>
      <c r="X5" s="49" t="e">
        <v>#N/A</v>
      </c>
      <c r="Y5" s="49" t="e">
        <v>#N/A</v>
      </c>
      <c r="Z5" s="49" t="e">
        <v>#N/A</v>
      </c>
    </row>
    <row r="6" spans="1:26">
      <c r="F6" s="52" t="s">
        <v>56</v>
      </c>
      <c r="G6" s="68">
        <v>0.85979610061456446</v>
      </c>
      <c r="H6" s="68">
        <v>0.28428385730358191</v>
      </c>
      <c r="I6" s="49" t="e">
        <v>#N/A</v>
      </c>
      <c r="J6" s="49" t="e">
        <v>#N/A</v>
      </c>
      <c r="K6" s="49" t="e">
        <v>#N/A</v>
      </c>
      <c r="L6" s="49" t="e">
        <v>#N/A</v>
      </c>
      <c r="M6" s="49" t="e">
        <v>#N/A</v>
      </c>
      <c r="N6" s="49" t="e">
        <v>#N/A</v>
      </c>
      <c r="O6" s="49" t="e">
        <v>#N/A</v>
      </c>
      <c r="P6" s="49" t="e">
        <v>#N/A</v>
      </c>
      <c r="Q6" s="49" t="e">
        <v>#N/A</v>
      </c>
      <c r="R6" s="49" t="e">
        <v>#N/A</v>
      </c>
      <c r="S6" s="49" t="e">
        <v>#N/A</v>
      </c>
      <c r="T6" s="49" t="e">
        <v>#N/A</v>
      </c>
      <c r="U6" s="49" t="e">
        <v>#N/A</v>
      </c>
      <c r="V6" s="49" t="e">
        <v>#N/A</v>
      </c>
      <c r="W6" s="49" t="e">
        <v>#N/A</v>
      </c>
      <c r="X6" s="49" t="e">
        <v>#N/A</v>
      </c>
      <c r="Y6" s="49" t="e">
        <v>#N/A</v>
      </c>
      <c r="Z6" s="49" t="e">
        <v>#N/A</v>
      </c>
    </row>
    <row r="7" spans="1:26">
      <c r="F7" s="52" t="s">
        <v>72</v>
      </c>
      <c r="G7" s="68">
        <v>110.38444635919915</v>
      </c>
      <c r="H7" s="68">
        <v>18</v>
      </c>
      <c r="I7" s="49" t="e">
        <v>#N/A</v>
      </c>
      <c r="J7" s="49" t="e">
        <v>#N/A</v>
      </c>
      <c r="K7" s="49" t="e">
        <v>#N/A</v>
      </c>
      <c r="L7" s="49" t="e">
        <v>#N/A</v>
      </c>
      <c r="M7" s="49" t="e">
        <v>#N/A</v>
      </c>
      <c r="N7" s="49" t="e">
        <v>#N/A</v>
      </c>
      <c r="O7" s="49" t="e">
        <v>#N/A</v>
      </c>
      <c r="P7" s="49" t="e">
        <v>#N/A</v>
      </c>
      <c r="Q7" s="49" t="e">
        <v>#N/A</v>
      </c>
      <c r="R7" s="49" t="e">
        <v>#N/A</v>
      </c>
      <c r="S7" s="49" t="e">
        <v>#N/A</v>
      </c>
      <c r="T7" s="49" t="e">
        <v>#N/A</v>
      </c>
      <c r="U7" s="49" t="e">
        <v>#N/A</v>
      </c>
      <c r="V7" s="49" t="e">
        <v>#N/A</v>
      </c>
      <c r="W7" s="49" t="e">
        <v>#N/A</v>
      </c>
      <c r="X7" s="49" t="e">
        <v>#N/A</v>
      </c>
      <c r="Y7" s="49" t="e">
        <v>#N/A</v>
      </c>
      <c r="Z7" s="49" t="e">
        <v>#N/A</v>
      </c>
    </row>
    <row r="8" spans="1:26">
      <c r="F8" s="52" t="s">
        <v>57</v>
      </c>
      <c r="G8" s="68">
        <v>8.9209741887498009</v>
      </c>
      <c r="H8" s="68">
        <v>1.4547116074212598</v>
      </c>
      <c r="I8" s="49" t="e">
        <v>#N/A</v>
      </c>
      <c r="J8" s="49" t="e">
        <v>#N/A</v>
      </c>
      <c r="K8" s="49" t="e">
        <v>#N/A</v>
      </c>
      <c r="L8" s="49" t="e">
        <v>#N/A</v>
      </c>
      <c r="M8" s="49" t="e">
        <v>#N/A</v>
      </c>
      <c r="N8" s="49" t="e">
        <v>#N/A</v>
      </c>
      <c r="O8" s="49" t="e">
        <v>#N/A</v>
      </c>
      <c r="P8" s="49" t="e">
        <v>#N/A</v>
      </c>
      <c r="Q8" s="49" t="e">
        <v>#N/A</v>
      </c>
      <c r="R8" s="49" t="e">
        <v>#N/A</v>
      </c>
      <c r="S8" s="49" t="e">
        <v>#N/A</v>
      </c>
      <c r="T8" s="49" t="e">
        <v>#N/A</v>
      </c>
      <c r="U8" s="49" t="e">
        <v>#N/A</v>
      </c>
      <c r="V8" s="49" t="e">
        <v>#N/A</v>
      </c>
      <c r="W8" s="49" t="e">
        <v>#N/A</v>
      </c>
      <c r="X8" s="49" t="e">
        <v>#N/A</v>
      </c>
      <c r="Y8" s="49" t="e">
        <v>#N/A</v>
      </c>
      <c r="Z8" s="49" t="e">
        <v>#N/A</v>
      </c>
    </row>
    <row r="9" spans="1:26">
      <c r="F9" s="52" t="s">
        <v>49</v>
      </c>
      <c r="G9" s="68">
        <f>IFERROR(G4/G5,0)</f>
        <v>-10.506400256948103</v>
      </c>
      <c r="H9" s="68">
        <f t="shared" ref="H9:Z9" si="0">IFERROR(H4/H5,0)</f>
        <v>95.996682721662552</v>
      </c>
      <c r="I9" s="49">
        <f t="shared" si="0"/>
        <v>0</v>
      </c>
      <c r="J9" s="49">
        <f t="shared" si="0"/>
        <v>0</v>
      </c>
      <c r="K9" s="49">
        <f t="shared" si="0"/>
        <v>0</v>
      </c>
      <c r="L9" s="49">
        <f t="shared" si="0"/>
        <v>0</v>
      </c>
      <c r="M9" s="49">
        <f t="shared" si="0"/>
        <v>0</v>
      </c>
      <c r="N9" s="49">
        <f t="shared" si="0"/>
        <v>0</v>
      </c>
      <c r="O9" s="49">
        <f t="shared" si="0"/>
        <v>0</v>
      </c>
      <c r="P9" s="49">
        <f t="shared" si="0"/>
        <v>0</v>
      </c>
      <c r="Q9" s="49">
        <f t="shared" si="0"/>
        <v>0</v>
      </c>
      <c r="R9" s="49">
        <f t="shared" si="0"/>
        <v>0</v>
      </c>
      <c r="S9" s="49">
        <f t="shared" si="0"/>
        <v>0</v>
      </c>
      <c r="T9" s="49">
        <f t="shared" si="0"/>
        <v>0</v>
      </c>
      <c r="U9" s="49">
        <f t="shared" si="0"/>
        <v>0</v>
      </c>
      <c r="V9" s="49">
        <f t="shared" si="0"/>
        <v>0</v>
      </c>
      <c r="W9" s="49">
        <f t="shared" si="0"/>
        <v>0</v>
      </c>
      <c r="X9" s="49">
        <f t="shared" si="0"/>
        <v>0</v>
      </c>
      <c r="Y9" s="49">
        <f t="shared" si="0"/>
        <v>0</v>
      </c>
      <c r="Z9" s="49">
        <f t="shared" si="0"/>
        <v>0</v>
      </c>
    </row>
    <row r="10" spans="1:26">
      <c r="F10" s="52" t="s">
        <v>58</v>
      </c>
    </row>
    <row r="11" spans="1:26">
      <c r="F11" s="52" t="s">
        <v>48</v>
      </c>
    </row>
    <row r="13" spans="1:26">
      <c r="A13" s="49" t="s">
        <v>51</v>
      </c>
      <c r="B13" s="49" t="s">
        <v>50</v>
      </c>
      <c r="C13" s="49" t="s">
        <v>49</v>
      </c>
      <c r="D13" s="49" t="s">
        <v>48</v>
      </c>
      <c r="E13" s="49" t="s">
        <v>47</v>
      </c>
      <c r="F13" s="49" t="s">
        <v>52</v>
      </c>
    </row>
    <row r="14" spans="1:26">
      <c r="A14" s="49">
        <v>2</v>
      </c>
      <c r="E14" s="49" t="str">
        <f>IF(F14="Quantity","LN","Int")</f>
        <v>LN</v>
      </c>
      <c r="F14" s="49" t="s">
        <v>44</v>
      </c>
      <c r="G14" s="50">
        <f>IFERROR(IF($E14="LN",LN(SUMIF($F$22:$F$35,$F14,G22:G35)),SUMIF($F$22:$F$35,$F14,G$22:G$35)),0)</f>
        <v>14.508657738524219</v>
      </c>
      <c r="H14" s="50">
        <f t="shared" ref="H14:Z14" si="1">IFERROR(IF($E14="LN",LN(SUMIF($F$22:$F$35,$F14,H22:H35)),SUMIF($F$22:$F$35,$F14,H$22:H$35)),0)</f>
        <v>14.946912669455374</v>
      </c>
      <c r="I14" s="50">
        <f t="shared" si="1"/>
        <v>15.274125580663791</v>
      </c>
      <c r="J14" s="50">
        <f t="shared" si="1"/>
        <v>15.538277155705378</v>
      </c>
      <c r="K14" s="50">
        <f t="shared" si="1"/>
        <v>15.761420707019587</v>
      </c>
      <c r="L14" s="50">
        <f t="shared" si="1"/>
        <v>15.955576721460545</v>
      </c>
      <c r="M14" s="50">
        <f t="shared" si="1"/>
        <v>16.128045981811489</v>
      </c>
      <c r="N14" s="50">
        <f t="shared" si="1"/>
        <v>16.275099399767985</v>
      </c>
      <c r="O14" s="50">
        <f t="shared" si="1"/>
        <v>16.403274593191981</v>
      </c>
      <c r="P14" s="50">
        <f t="shared" si="1"/>
        <v>16.510137738734343</v>
      </c>
      <c r="Q14" s="50">
        <f t="shared" si="1"/>
        <v>16.60667566577699</v>
      </c>
      <c r="R14" s="50">
        <f t="shared" si="1"/>
        <v>16.694709015262312</v>
      </c>
      <c r="S14" s="50">
        <f t="shared" si="1"/>
        <v>16.77042083699801</v>
      </c>
      <c r="T14" s="50">
        <f t="shared" si="1"/>
        <v>16.831045458814444</v>
      </c>
      <c r="U14" s="50">
        <f t="shared" si="1"/>
        <v>16.878901479992081</v>
      </c>
      <c r="V14" s="50">
        <f t="shared" si="1"/>
        <v>16.915602846842507</v>
      </c>
      <c r="W14" s="50">
        <f t="shared" si="1"/>
        <v>16.942271093924671</v>
      </c>
      <c r="X14" s="50">
        <f t="shared" si="1"/>
        <v>16.959662836636539</v>
      </c>
      <c r="Y14" s="50">
        <f t="shared" si="1"/>
        <v>16.968246580327929</v>
      </c>
      <c r="Z14" s="50">
        <f t="shared" si="1"/>
        <v>16.970381052856563</v>
      </c>
    </row>
    <row r="15" spans="1:26">
      <c r="A15" s="49">
        <v>1</v>
      </c>
      <c r="E15" s="49" t="str">
        <f>IF(F15="Quantity","LN","Int")</f>
        <v>Int</v>
      </c>
      <c r="F15" s="49" t="s">
        <v>45</v>
      </c>
      <c r="G15" s="50">
        <f>IFERROR(IF($E15="LN",LN(SUMIF($F$22:$F$35,$F15,G$22:G$35)),SUMIF($F$22:$F$35,$F15,G$22:G$35)),0)</f>
        <v>77</v>
      </c>
      <c r="H15" s="50">
        <f t="shared" ref="H15:Z15" si="2">IFERROR(IF($E15="LN",LN(SUMIF($F$22:$F$35,$F15,H23:H36)),SUMIF($F$22:$F$35,$F15,H$22:H$35)),0)</f>
        <v>74</v>
      </c>
      <c r="I15" s="50">
        <f t="shared" si="2"/>
        <v>71</v>
      </c>
      <c r="J15" s="50">
        <f t="shared" si="2"/>
        <v>68</v>
      </c>
      <c r="K15" s="50">
        <f t="shared" si="2"/>
        <v>65</v>
      </c>
      <c r="L15" s="50">
        <f t="shared" si="2"/>
        <v>62</v>
      </c>
      <c r="M15" s="50">
        <f t="shared" si="2"/>
        <v>59</v>
      </c>
      <c r="N15" s="50">
        <f t="shared" si="2"/>
        <v>56</v>
      </c>
      <c r="O15" s="50">
        <f t="shared" si="2"/>
        <v>53</v>
      </c>
      <c r="P15" s="50">
        <f t="shared" si="2"/>
        <v>50</v>
      </c>
      <c r="Q15" s="50">
        <f t="shared" si="2"/>
        <v>47</v>
      </c>
      <c r="R15" s="50">
        <f t="shared" si="2"/>
        <v>44</v>
      </c>
      <c r="S15" s="50">
        <f t="shared" si="2"/>
        <v>41</v>
      </c>
      <c r="T15" s="50">
        <f t="shared" si="2"/>
        <v>38</v>
      </c>
      <c r="U15" s="50">
        <f t="shared" si="2"/>
        <v>35</v>
      </c>
      <c r="V15" s="50">
        <f t="shared" si="2"/>
        <v>32</v>
      </c>
      <c r="W15" s="50">
        <f t="shared" si="2"/>
        <v>29</v>
      </c>
      <c r="X15" s="50">
        <f t="shared" si="2"/>
        <v>26</v>
      </c>
      <c r="Y15" s="50">
        <f t="shared" si="2"/>
        <v>23</v>
      </c>
      <c r="Z15" s="50">
        <f t="shared" si="2"/>
        <v>20</v>
      </c>
    </row>
    <row r="16" spans="1:26"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6:26"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6:26"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20" spans="6:26" ht="15" thickBot="1"/>
    <row r="21" spans="6:26" ht="15" thickBot="1">
      <c r="F21" s="49" t="s">
        <v>46</v>
      </c>
      <c r="G21" s="57">
        <v>1</v>
      </c>
      <c r="H21" s="58">
        <f>G21+1</f>
        <v>2</v>
      </c>
      <c r="I21" s="58">
        <f t="shared" ref="I21:Z21" si="3">H21+1</f>
        <v>3</v>
      </c>
      <c r="J21" s="58">
        <f t="shared" si="3"/>
        <v>4</v>
      </c>
      <c r="K21" s="58">
        <f t="shared" si="3"/>
        <v>5</v>
      </c>
      <c r="L21" s="58">
        <f t="shared" si="3"/>
        <v>6</v>
      </c>
      <c r="M21" s="58">
        <f t="shared" si="3"/>
        <v>7</v>
      </c>
      <c r="N21" s="58">
        <f t="shared" si="3"/>
        <v>8</v>
      </c>
      <c r="O21" s="58">
        <f t="shared" si="3"/>
        <v>9</v>
      </c>
      <c r="P21" s="58">
        <f t="shared" si="3"/>
        <v>10</v>
      </c>
      <c r="Q21" s="58">
        <f t="shared" si="3"/>
        <v>11</v>
      </c>
      <c r="R21" s="58">
        <f t="shared" si="3"/>
        <v>12</v>
      </c>
      <c r="S21" s="58">
        <f t="shared" si="3"/>
        <v>13</v>
      </c>
      <c r="T21" s="58">
        <f t="shared" si="3"/>
        <v>14</v>
      </c>
      <c r="U21" s="58">
        <f t="shared" si="3"/>
        <v>15</v>
      </c>
      <c r="V21" s="58">
        <f t="shared" si="3"/>
        <v>16</v>
      </c>
      <c r="W21" s="58">
        <f t="shared" si="3"/>
        <v>17</v>
      </c>
      <c r="X21" s="58">
        <f t="shared" si="3"/>
        <v>18</v>
      </c>
      <c r="Y21" s="58">
        <f t="shared" si="3"/>
        <v>19</v>
      </c>
      <c r="Z21" s="59">
        <f t="shared" si="3"/>
        <v>20</v>
      </c>
    </row>
    <row r="22" spans="6:26">
      <c r="F22" s="51" t="s">
        <v>45</v>
      </c>
      <c r="G22" s="60">
        <v>77</v>
      </c>
      <c r="H22" s="56">
        <f t="shared" ref="H22:Z22" si="4">G22-3</f>
        <v>74</v>
      </c>
      <c r="I22" s="56">
        <f t="shared" si="4"/>
        <v>71</v>
      </c>
      <c r="J22" s="56">
        <f t="shared" si="4"/>
        <v>68</v>
      </c>
      <c r="K22" s="56">
        <f t="shared" si="4"/>
        <v>65</v>
      </c>
      <c r="L22" s="56">
        <f t="shared" si="4"/>
        <v>62</v>
      </c>
      <c r="M22" s="56">
        <f t="shared" si="4"/>
        <v>59</v>
      </c>
      <c r="N22" s="56">
        <f t="shared" si="4"/>
        <v>56</v>
      </c>
      <c r="O22" s="56">
        <f t="shared" si="4"/>
        <v>53</v>
      </c>
      <c r="P22" s="56">
        <f t="shared" si="4"/>
        <v>50</v>
      </c>
      <c r="Q22" s="56">
        <f t="shared" si="4"/>
        <v>47</v>
      </c>
      <c r="R22" s="56">
        <f t="shared" si="4"/>
        <v>44</v>
      </c>
      <c r="S22" s="56">
        <f t="shared" si="4"/>
        <v>41</v>
      </c>
      <c r="T22" s="56">
        <f t="shared" si="4"/>
        <v>38</v>
      </c>
      <c r="U22" s="56">
        <f t="shared" si="4"/>
        <v>35</v>
      </c>
      <c r="V22" s="56">
        <f t="shared" si="4"/>
        <v>32</v>
      </c>
      <c r="W22" s="56">
        <f t="shared" si="4"/>
        <v>29</v>
      </c>
      <c r="X22" s="56">
        <f t="shared" si="4"/>
        <v>26</v>
      </c>
      <c r="Y22" s="56">
        <f t="shared" si="4"/>
        <v>23</v>
      </c>
      <c r="Z22" s="56">
        <f t="shared" si="4"/>
        <v>20</v>
      </c>
    </row>
    <row r="23" spans="6:26">
      <c r="F23" s="52" t="s">
        <v>44</v>
      </c>
      <c r="G23" s="61">
        <v>2000000</v>
      </c>
      <c r="H23" s="54">
        <v>3100000</v>
      </c>
      <c r="I23" s="54">
        <v>4300000</v>
      </c>
      <c r="J23" s="54">
        <v>5600000</v>
      </c>
      <c r="K23" s="54">
        <v>7000000</v>
      </c>
      <c r="L23" s="54">
        <v>8500000</v>
      </c>
      <c r="M23" s="54">
        <v>10100000</v>
      </c>
      <c r="N23" s="54">
        <v>11700000</v>
      </c>
      <c r="O23" s="54">
        <v>13300000</v>
      </c>
      <c r="P23" s="54">
        <v>14800000</v>
      </c>
      <c r="Q23" s="54">
        <v>16300000</v>
      </c>
      <c r="R23" s="54">
        <v>17800000</v>
      </c>
      <c r="S23" s="54">
        <v>19200000</v>
      </c>
      <c r="T23" s="54">
        <v>20400000</v>
      </c>
      <c r="U23" s="54">
        <v>21400000</v>
      </c>
      <c r="V23" s="54">
        <v>22200000</v>
      </c>
      <c r="W23" s="54">
        <v>22800000</v>
      </c>
      <c r="X23" s="54">
        <v>23200000</v>
      </c>
      <c r="Y23" s="54">
        <v>23400000</v>
      </c>
      <c r="Z23" s="54">
        <v>23450000</v>
      </c>
    </row>
    <row r="24" spans="6:26">
      <c r="F24" s="52"/>
      <c r="G24" s="62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6:26">
      <c r="F25" s="52"/>
      <c r="G25" s="62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6:26">
      <c r="F26" s="52"/>
      <c r="G26" s="62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6:26">
      <c r="F27" s="52"/>
      <c r="G27" s="62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6:26">
      <c r="F28" s="52"/>
      <c r="G28" s="62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6:26">
      <c r="F29" s="52"/>
      <c r="G29" s="62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6:26">
      <c r="F30" s="52"/>
      <c r="G30" s="62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6:26">
      <c r="F31" s="52"/>
      <c r="G31" s="62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6:26">
      <c r="F32" s="52"/>
      <c r="G32" s="62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6:26">
      <c r="F33" s="52"/>
      <c r="G33" s="62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6:26">
      <c r="F34" s="52"/>
      <c r="G34" s="62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6:26" ht="15" thickBot="1">
      <c r="F35" s="53"/>
      <c r="G35" s="62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</sheetData>
  <dataValidations count="1">
    <dataValidation type="list" allowBlank="1" showInputMessage="1" showErrorMessage="1" sqref="E14:E19" xr:uid="{00000000-0002-0000-0200-000000000000}">
      <formula1>"LN,Int"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showGridLines="0" topLeftCell="A7" workbookViewId="0">
      <selection activeCell="F26" sqref="F26"/>
    </sheetView>
  </sheetViews>
  <sheetFormatPr baseColWidth="10" defaultColWidth="9.1640625" defaultRowHeight="14"/>
  <cols>
    <col min="1" max="1" width="21" style="49" bestFit="1" customWidth="1"/>
    <col min="2" max="2" width="15" style="49" bestFit="1" customWidth="1"/>
    <col min="3" max="4" width="11.83203125" style="49" bestFit="1" customWidth="1"/>
    <col min="5" max="5" width="13.6640625" style="49" customWidth="1"/>
    <col min="6" max="6" width="11.83203125" style="49" bestFit="1" customWidth="1"/>
    <col min="7" max="7" width="14.5" style="49" bestFit="1" customWidth="1"/>
    <col min="8" max="8" width="11" style="49" bestFit="1" customWidth="1"/>
    <col min="9" max="9" width="23.1640625" style="49" bestFit="1" customWidth="1"/>
    <col min="10" max="13" width="12.33203125" style="49" bestFit="1" customWidth="1"/>
    <col min="14" max="16384" width="9.1640625" style="49"/>
  </cols>
  <sheetData>
    <row r="1" spans="1:13" ht="15" thickBot="1">
      <c r="A1" s="74" t="s">
        <v>102</v>
      </c>
      <c r="B1" s="75" t="s">
        <v>103</v>
      </c>
      <c r="D1" s="229" t="s">
        <v>113</v>
      </c>
      <c r="E1" s="230"/>
      <c r="F1" s="195">
        <f>Analysis!$G$3</f>
        <v>44</v>
      </c>
      <c r="H1" s="227" t="s">
        <v>128</v>
      </c>
      <c r="I1" s="228"/>
    </row>
    <row r="2" spans="1:13">
      <c r="A2" s="76" t="s">
        <v>104</v>
      </c>
      <c r="B2" s="77" t="s">
        <v>34</v>
      </c>
      <c r="D2" s="231" t="s">
        <v>99</v>
      </c>
      <c r="E2" s="232"/>
      <c r="F2" s="196">
        <f>Analysis!$G$5</f>
        <v>11375820.264709154</v>
      </c>
      <c r="H2" s="113"/>
      <c r="I2" s="114" t="s">
        <v>114</v>
      </c>
    </row>
    <row r="3" spans="1:13" ht="15" thickBot="1">
      <c r="A3" s="78" t="s">
        <v>105</v>
      </c>
      <c r="B3" s="79" t="s">
        <v>106</v>
      </c>
      <c r="D3" s="231" t="s">
        <v>19</v>
      </c>
      <c r="E3" s="232"/>
      <c r="F3" s="197">
        <f>Analysis!$G$10</f>
        <v>0.03</v>
      </c>
      <c r="H3" s="78"/>
      <c r="I3" s="84" t="s">
        <v>129</v>
      </c>
    </row>
    <row r="4" spans="1:13">
      <c r="D4" s="231" t="s">
        <v>119</v>
      </c>
      <c r="E4" s="232"/>
      <c r="F4" s="197">
        <v>0.1</v>
      </c>
    </row>
    <row r="5" spans="1:13" ht="15.75" customHeight="1">
      <c r="D5" s="231" t="s">
        <v>122</v>
      </c>
      <c r="E5" s="232"/>
      <c r="F5" s="198">
        <f>Analysis!$B$9</f>
        <v>2</v>
      </c>
    </row>
    <row r="6" spans="1:13" ht="15.75" customHeight="1" thickBot="1">
      <c r="D6" s="234" t="s">
        <v>145</v>
      </c>
      <c r="E6" s="235"/>
      <c r="F6" s="199">
        <v>0.1</v>
      </c>
    </row>
    <row r="7" spans="1:13" ht="15.75" customHeight="1" thickBot="1"/>
    <row r="8" spans="1:13" ht="15" thickBot="1">
      <c r="A8" s="221" t="s">
        <v>61</v>
      </c>
      <c r="B8" s="233"/>
      <c r="C8" s="233"/>
      <c r="D8" s="233"/>
      <c r="E8" s="233"/>
      <c r="F8" s="222"/>
    </row>
    <row r="9" spans="1:13" ht="15" thickBot="1">
      <c r="A9" s="101"/>
      <c r="B9" s="80" t="s">
        <v>107</v>
      </c>
      <c r="C9" s="81" t="s">
        <v>108</v>
      </c>
      <c r="D9" s="81" t="s">
        <v>109</v>
      </c>
      <c r="E9" s="81" t="s">
        <v>110</v>
      </c>
      <c r="F9" s="82" t="s">
        <v>111</v>
      </c>
      <c r="I9" s="70"/>
      <c r="J9" s="70"/>
      <c r="K9" s="70"/>
      <c r="L9" s="70"/>
      <c r="M9" s="70"/>
    </row>
    <row r="10" spans="1:13">
      <c r="A10" s="95" t="s">
        <v>112</v>
      </c>
      <c r="B10" s="91">
        <f>B$11*$F$1</f>
        <v>500536091.64720279</v>
      </c>
      <c r="C10" s="89">
        <f t="shared" ref="C10:F10" si="0">C$11*$F$1</f>
        <v>565605783.56133926</v>
      </c>
      <c r="D10" s="89">
        <f t="shared" si="0"/>
        <v>639134535.42431343</v>
      </c>
      <c r="E10" s="89">
        <f t="shared" si="0"/>
        <v>722222025.02947426</v>
      </c>
      <c r="F10" s="90">
        <f t="shared" si="0"/>
        <v>816110888.28330588</v>
      </c>
      <c r="G10" s="65"/>
      <c r="I10" s="70"/>
      <c r="J10" s="70"/>
      <c r="K10" s="70"/>
      <c r="L10" s="70"/>
      <c r="M10" s="70"/>
    </row>
    <row r="11" spans="1:13">
      <c r="A11" s="96" t="s">
        <v>99</v>
      </c>
      <c r="B11" s="92">
        <f>F2</f>
        <v>11375820.264709154</v>
      </c>
      <c r="C11" s="83">
        <f>(1+$F$6)^1*B$11+($F$3*B$11)</f>
        <v>12854676.899121346</v>
      </c>
      <c r="D11" s="83">
        <f t="shared" ref="D11:F11" si="1">(1+$F$6)^1*C$11+($F$3*C$11)</f>
        <v>14525784.896007122</v>
      </c>
      <c r="E11" s="83">
        <f t="shared" si="1"/>
        <v>16414136.93248805</v>
      </c>
      <c r="F11" s="83">
        <f t="shared" si="1"/>
        <v>18547974.733711496</v>
      </c>
      <c r="G11" s="65"/>
      <c r="H11" s="65"/>
      <c r="I11" s="70"/>
      <c r="J11" s="70"/>
      <c r="K11" s="70"/>
      <c r="L11" s="70"/>
      <c r="M11" s="70"/>
    </row>
    <row r="12" spans="1:13" ht="15" thickBot="1">
      <c r="A12" s="97"/>
      <c r="B12" s="93"/>
      <c r="C12" s="88"/>
      <c r="D12" s="88"/>
      <c r="E12" s="88"/>
      <c r="F12" s="84"/>
    </row>
    <row r="13" spans="1:13" ht="15" thickBot="1">
      <c r="A13" s="100" t="s">
        <v>116</v>
      </c>
      <c r="B13" s="85">
        <f>B10</f>
        <v>500536091.64720279</v>
      </c>
      <c r="C13" s="85">
        <f t="shared" ref="C13:F13" si="2">C10</f>
        <v>565605783.56133926</v>
      </c>
      <c r="D13" s="85">
        <f t="shared" si="2"/>
        <v>639134535.42431343</v>
      </c>
      <c r="E13" s="85">
        <f t="shared" si="2"/>
        <v>722222025.02947426</v>
      </c>
      <c r="F13" s="85">
        <f t="shared" si="2"/>
        <v>816110888.28330588</v>
      </c>
      <c r="G13" s="70"/>
      <c r="H13" s="70"/>
      <c r="I13" s="70"/>
      <c r="J13" s="70"/>
      <c r="K13" s="70"/>
    </row>
    <row r="14" spans="1:13" ht="15" thickBot="1"/>
    <row r="15" spans="1:13" ht="15" thickBot="1">
      <c r="A15" s="221" t="s">
        <v>117</v>
      </c>
      <c r="B15" s="233"/>
      <c r="C15" s="233"/>
      <c r="D15" s="233"/>
      <c r="E15" s="233"/>
      <c r="F15" s="222"/>
    </row>
    <row r="16" spans="1:13">
      <c r="A16" s="95" t="s">
        <v>120</v>
      </c>
      <c r="B16" s="102">
        <f>Analysis!$B$3</f>
        <v>2500000</v>
      </c>
      <c r="C16" s="103">
        <f>Analysis!$B$3</f>
        <v>2500000</v>
      </c>
      <c r="D16" s="103">
        <f>Analysis!$B$3</f>
        <v>2500000</v>
      </c>
      <c r="E16" s="103">
        <f>Analysis!$B$3</f>
        <v>2500000</v>
      </c>
      <c r="F16" s="104">
        <f>Analysis!$B$3</f>
        <v>2500000</v>
      </c>
    </row>
    <row r="17" spans="1:6">
      <c r="A17" s="96" t="s">
        <v>118</v>
      </c>
      <c r="B17" s="99">
        <f>Analysis!$B$4</f>
        <v>2000000</v>
      </c>
      <c r="C17" s="86">
        <f>Analysis!$B$4</f>
        <v>2000000</v>
      </c>
      <c r="D17" s="86">
        <f>Analysis!$B$4</f>
        <v>2000000</v>
      </c>
      <c r="E17" s="86">
        <f>Analysis!$B$4</f>
        <v>2000000</v>
      </c>
      <c r="F17" s="87">
        <f>Analysis!$B$4</f>
        <v>2000000</v>
      </c>
    </row>
    <row r="18" spans="1:6">
      <c r="A18" s="96" t="s">
        <v>1</v>
      </c>
      <c r="B18" s="99">
        <f>$F$4*B10</f>
        <v>50053609.164720282</v>
      </c>
      <c r="C18" s="86">
        <f t="shared" ref="C18:F18" si="3">$F$4*C10</f>
        <v>56560578.35613393</v>
      </c>
      <c r="D18" s="86">
        <f t="shared" si="3"/>
        <v>63913453.542431347</v>
      </c>
      <c r="E18" s="86">
        <f t="shared" si="3"/>
        <v>72222202.502947435</v>
      </c>
      <c r="F18" s="87">
        <f t="shared" si="3"/>
        <v>81611088.828330591</v>
      </c>
    </row>
    <row r="19" spans="1:6">
      <c r="A19" s="96" t="s">
        <v>121</v>
      </c>
      <c r="B19" s="99">
        <f>($F$5*B$11)</f>
        <v>22751640.529418308</v>
      </c>
      <c r="C19" s="86">
        <f t="shared" ref="C19:F19" si="4">($F$5*C$11)</f>
        <v>25709353.798242692</v>
      </c>
      <c r="D19" s="86">
        <f t="shared" si="4"/>
        <v>29051569.792014245</v>
      </c>
      <c r="E19" s="86">
        <f t="shared" si="4"/>
        <v>32828273.864976101</v>
      </c>
      <c r="F19" s="87">
        <f t="shared" si="4"/>
        <v>37095949.467422992</v>
      </c>
    </row>
    <row r="20" spans="1:6">
      <c r="A20" s="96" t="s">
        <v>68</v>
      </c>
      <c r="B20" s="99">
        <f>(IF(B$11&gt;=Analysis!$A$17,Analysis!$C$17,IF(AND('Income Statement'!B$11&gt;=Analysis!$A$16,'Income Statement'!B$11&lt;=Analysis!$B$16),Analysis!$C$16,IF(AND('Income Statement'!B$11&gt;=Analysis!$A$15,'Income Statement'!B$11&lt;=Analysis!$B$15),Analysis!$C$15,Analysis!$C$14)))*B$11)</f>
        <v>261643866.08831054</v>
      </c>
      <c r="C20" s="99">
        <f>(IF(C$11&gt;=Analysis!$A$17,Analysis!$C$17,IF(AND('Income Statement'!C$11&gt;=Analysis!$A$16,'Income Statement'!C$11&lt;=Analysis!$B$16),Analysis!$C$16,IF(AND('Income Statement'!C$11&gt;=Analysis!$A$15,'Income Statement'!C$11&lt;=Analysis!$B$15),Analysis!$C$15,Analysis!$C$14)))*C$11)</f>
        <v>257093537.98242691</v>
      </c>
      <c r="D20" s="99">
        <f>(IF(D$11&gt;=Analysis!$A$17,Analysis!$C$17,IF(AND('Income Statement'!D$11&gt;=Analysis!$A$16,'Income Statement'!D$11&lt;=Analysis!$B$16),Analysis!$C$16,IF(AND('Income Statement'!D$11&gt;=Analysis!$A$15,'Income Statement'!D$11&lt;=Analysis!$B$15),Analysis!$C$15,Analysis!$C$14)))*D$11)</f>
        <v>290515697.92014247</v>
      </c>
      <c r="E20" s="99">
        <f>(IF(E$11&gt;=Analysis!$A$17,Analysis!$C$17,IF(AND('Income Statement'!E$11&gt;=Analysis!$A$16,'Income Statement'!E$11&lt;=Analysis!$B$16),Analysis!$C$16,IF(AND('Income Statement'!E$11&gt;=Analysis!$A$15,'Income Statement'!E$11&lt;=Analysis!$B$15),Analysis!$C$15,Analysis!$C$14)))*E$11)</f>
        <v>328282738.64976102</v>
      </c>
      <c r="F20" s="99">
        <f>(IF(F$11&gt;=Analysis!$A$17,Analysis!$C$17,IF(AND('Income Statement'!F$11&gt;=Analysis!$A$16,'Income Statement'!F$11&lt;=Analysis!$B$16),Analysis!$C$16,IF(AND('Income Statement'!F$11&gt;=Analysis!$A$15,'Income Statement'!F$11&lt;=Analysis!$B$15),Analysis!$C$15,Analysis!$C$14)))*F$11)</f>
        <v>333863545.2068069</v>
      </c>
    </row>
    <row r="21" spans="1:6" ht="15" thickBot="1">
      <c r="A21" s="97" t="s">
        <v>130</v>
      </c>
      <c r="B21" s="105">
        <v>50000000</v>
      </c>
      <c r="C21" s="105"/>
      <c r="D21" s="105"/>
      <c r="E21" s="105"/>
      <c r="F21" s="106"/>
    </row>
    <row r="22" spans="1:6" ht="15" thickBot="1">
      <c r="A22" s="100" t="s">
        <v>123</v>
      </c>
      <c r="B22" s="85">
        <f>SUBTOTAL(9,B$16:B$21)</f>
        <v>388949115.78244913</v>
      </c>
      <c r="C22" s="85">
        <f t="shared" ref="C22:F22" si="5">SUBTOTAL(9,C$16:C$20)</f>
        <v>343863470.13680351</v>
      </c>
      <c r="D22" s="85">
        <f t="shared" si="5"/>
        <v>387980721.25458807</v>
      </c>
      <c r="E22" s="85">
        <f t="shared" si="5"/>
        <v>437833215.01768458</v>
      </c>
      <c r="F22" s="85">
        <f t="shared" si="5"/>
        <v>457070583.5025605</v>
      </c>
    </row>
    <row r="23" spans="1:6" ht="15" thickBot="1"/>
    <row r="24" spans="1:6" ht="15" thickBot="1">
      <c r="A24" s="224" t="s">
        <v>124</v>
      </c>
      <c r="B24" s="225"/>
      <c r="C24" s="225"/>
      <c r="D24" s="225"/>
      <c r="E24" s="225"/>
      <c r="F24" s="226"/>
    </row>
    <row r="25" spans="1:6">
      <c r="A25" s="74" t="s">
        <v>127</v>
      </c>
      <c r="B25" s="103">
        <f>B13-B22</f>
        <v>111586975.86475366</v>
      </c>
      <c r="C25" s="103">
        <f t="shared" ref="C25:F25" si="6">C13-C22</f>
        <v>221742313.42453575</v>
      </c>
      <c r="D25" s="103">
        <f t="shared" si="6"/>
        <v>251153814.16972536</v>
      </c>
      <c r="E25" s="103">
        <f t="shared" si="6"/>
        <v>284388810.01178968</v>
      </c>
      <c r="F25" s="104">
        <f t="shared" si="6"/>
        <v>359040304.78074539</v>
      </c>
    </row>
    <row r="26" spans="1:6">
      <c r="A26" s="76" t="s">
        <v>131</v>
      </c>
      <c r="B26" s="107">
        <f>B25/B13</f>
        <v>0.22293492462758208</v>
      </c>
      <c r="C26" s="107">
        <f t="shared" ref="C26:F26" si="7">C25/C13</f>
        <v>0.39204392859693604</v>
      </c>
      <c r="D26" s="107">
        <f t="shared" si="7"/>
        <v>0.39295922884684598</v>
      </c>
      <c r="E26" s="107">
        <f t="shared" si="7"/>
        <v>0.39376922906800527</v>
      </c>
      <c r="F26" s="109">
        <f t="shared" si="7"/>
        <v>0.43994058887755905</v>
      </c>
    </row>
    <row r="27" spans="1:6">
      <c r="A27" s="76" t="s">
        <v>125</v>
      </c>
      <c r="B27" s="108">
        <f>(B$13-SUM(B$16:B$20))</f>
        <v>161586975.86475366</v>
      </c>
      <c r="C27" s="108">
        <f t="shared" ref="C27:F27" si="8">(C$13-SUM(C$16:C$20))</f>
        <v>221742313.42453575</v>
      </c>
      <c r="D27" s="108">
        <f t="shared" si="8"/>
        <v>251153814.16972536</v>
      </c>
      <c r="E27" s="108">
        <f t="shared" si="8"/>
        <v>284388810.01178968</v>
      </c>
      <c r="F27" s="110">
        <f t="shared" si="8"/>
        <v>359040304.78074539</v>
      </c>
    </row>
    <row r="28" spans="1:6" ht="15" thickBot="1">
      <c r="A28" s="78" t="s">
        <v>126</v>
      </c>
      <c r="B28" s="111">
        <f>B27/B13</f>
        <v>0.32282782113271946</v>
      </c>
      <c r="C28" s="111">
        <f t="shared" ref="C28:F28" si="9">C27/C13</f>
        <v>0.39204392859693604</v>
      </c>
      <c r="D28" s="111">
        <f t="shared" si="9"/>
        <v>0.39295922884684598</v>
      </c>
      <c r="E28" s="111">
        <f t="shared" si="9"/>
        <v>0.39376922906800527</v>
      </c>
      <c r="F28" s="112">
        <f t="shared" si="9"/>
        <v>0.43994058887755905</v>
      </c>
    </row>
    <row r="30" spans="1:6">
      <c r="A30" s="223" t="s">
        <v>141</v>
      </c>
      <c r="B30" s="223"/>
      <c r="C30" s="223"/>
      <c r="D30" s="223"/>
      <c r="E30" s="223"/>
      <c r="F30" s="223"/>
    </row>
  </sheetData>
  <mergeCells count="11">
    <mergeCell ref="A30:F30"/>
    <mergeCell ref="A24:F24"/>
    <mergeCell ref="H1:I1"/>
    <mergeCell ref="D1:E1"/>
    <mergeCell ref="D2:E2"/>
    <mergeCell ref="D3:E3"/>
    <mergeCell ref="D4:E4"/>
    <mergeCell ref="D5:E5"/>
    <mergeCell ref="A15:F15"/>
    <mergeCell ref="A8:F8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Pricing Exercise</vt:lpstr>
      <vt:lpstr>Analysis</vt:lpstr>
      <vt:lpstr>Price Elasticity-Temp</vt:lpstr>
      <vt:lpstr>Income Statement</vt:lpstr>
      <vt:lpstr>'Pricing Exercise'!Print_Area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</dc:creator>
  <cp:lastModifiedBy>Microsoft Office 用户</cp:lastModifiedBy>
  <cp:lastPrinted>2013-06-18T14:59:20Z</cp:lastPrinted>
  <dcterms:created xsi:type="dcterms:W3CDTF">2013-06-18T12:34:26Z</dcterms:created>
  <dcterms:modified xsi:type="dcterms:W3CDTF">2020-04-13T03:42:14Z</dcterms:modified>
</cp:coreProperties>
</file>